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sharedStrings.xml" ContentType="application/vnd.openxmlformats-officedocument.spreadsheetml.sharedStrings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comments28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9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5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22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18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Reporting\WUTC\2022 Reporting\Exhibits\Exhibit 2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Web-Enabled Thermostats {E}" sheetId="13" r:id="rId10"/>
    <sheet name="Residential Showerheads {E}" sheetId="14" r:id="rId11"/>
    <sheet name="SF Existing Weatherization {E}" sheetId="15" r:id="rId12"/>
    <sheet name="Home Energy Reports {E}" sheetId="16" r:id="rId13"/>
    <sheet name="Efficiency Boost {E}" sheetId="74" r:id="rId14"/>
    <sheet name="Res Midstream HVAC &amp; WH {E}" sheetId="77" r:id="rId15"/>
    <sheet name="SF New Construction {E}" sheetId="18" r:id="rId16"/>
    <sheet name="MH New Construction {E}" sheetId="19" r:id="rId17"/>
    <sheet name="Multi Family Retrofit {E}" sheetId="20" r:id="rId18"/>
    <sheet name="MF New Construction {E}" sheetId="21" r:id="rId19"/>
    <sheet name="CI Retrofit {E}" sheetId="22" r:id="rId20"/>
    <sheet name="Bus Lighting Grants {E}" sheetId="69" r:id="rId21"/>
    <sheet name="Industrial EM {E}" sheetId="70" r:id="rId22"/>
    <sheet name="Indust Opt {E}" sheetId="78" r:id="rId23"/>
    <sheet name="CBA {E}" sheetId="72" r:id="rId24"/>
    <sheet name="SMB Virtual Cx {E}" sheetId="76" r:id="rId25"/>
    <sheet name="Telecom Efficiency {E}" sheetId="79" r:id="rId26"/>
    <sheet name="CI New Construction {E}" sheetId="23" r:id="rId27"/>
    <sheet name="Com SEM {E}" sheetId="24" r:id="rId28"/>
    <sheet name="P4P {E}" sheetId="25" r:id="rId29"/>
    <sheet name="LPU 449 {E}" sheetId="26" r:id="rId30"/>
    <sheet name="LPU Non-449 {E}" sheetId="27" r:id="rId31"/>
    <sheet name="Lighting to Go {E}" sheetId="28" r:id="rId32"/>
    <sheet name="Commercial Foodservice {E}" sheetId="29" r:id="rId33"/>
    <sheet name="Commercial HVAC {E}" sheetId="30" r:id="rId34"/>
    <sheet name="Commercial Midstream {E}" sheetId="31" r:id="rId35"/>
    <sheet name="SBDI {E}" sheetId="32" r:id="rId36"/>
    <sheet name="Lodging Rebates {E}" sheetId="33" r:id="rId37"/>
    <sheet name="Residential Pilots {E}" sheetId="34" r:id="rId38"/>
    <sheet name="Commercial Pilots {E}" sheetId="35" r:id="rId39"/>
    <sheet name="TDSM {E}" sheetId="36" r:id="rId40"/>
    <sheet name="NEEA {E}" sheetId="37" r:id="rId41"/>
    <sheet name="T&amp;D {E}" sheetId="38" r:id="rId42"/>
    <sheet name="G201 LIW {G}" sheetId="66" r:id="rId43"/>
    <sheet name="SF Existing Space Heat {G}" sheetId="39" r:id="rId44"/>
    <sheet name="SF Existing Water Heat {G}" sheetId="40" r:id="rId45"/>
    <sheet name="Home Energy Assessments {G}" sheetId="41" r:id="rId46"/>
    <sheet name="Single Family Rental Pilot {G}" sheetId="42" r:id="rId47"/>
    <sheet name="Home Appliances {G}" sheetId="43" r:id="rId48"/>
    <sheet name="Web Enabled Thermostats {G}" sheetId="44" r:id="rId49"/>
    <sheet name="Residential Showerheads {G}" sheetId="45" r:id="rId50"/>
    <sheet name="SF Existing Weatherization {G}" sheetId="46" r:id="rId51"/>
    <sheet name="Home Energy Reports {G}" sheetId="47" r:id="rId52"/>
    <sheet name="Efficiency Boost {G}" sheetId="75" r:id="rId53"/>
    <sheet name="SF New Construction {G}" sheetId="49" r:id="rId54"/>
    <sheet name="MH New Construction {G}" sheetId="50" r:id="rId55"/>
    <sheet name="Multi Family Retrofit {G}" sheetId="51" r:id="rId56"/>
    <sheet name="MF New Construction {G}" sheetId="52" r:id="rId57"/>
    <sheet name="CI Retrofit {G}" sheetId="53" r:id="rId58"/>
    <sheet name="CBA {G}" sheetId="71" r:id="rId59"/>
    <sheet name="Industrial EM {G}" sheetId="73" r:id="rId60"/>
    <sheet name="CI New Construction {G}" sheetId="54" r:id="rId61"/>
    <sheet name="Com SEM {G}" sheetId="55" r:id="rId62"/>
    <sheet name="P4P {G}" sheetId="56" r:id="rId63"/>
    <sheet name="Commercial Kitchen Laundry {G}" sheetId="57" r:id="rId64"/>
    <sheet name="Commercial HVAC {G}" sheetId="58" r:id="rId65"/>
    <sheet name="Commercial Midstream {G}" sheetId="59" r:id="rId66"/>
    <sheet name="SBDI {G}" sheetId="60" r:id="rId67"/>
    <sheet name="G245 NEEA GAS" sheetId="61" r:id="rId68"/>
    <sheet name="G249 Res Gas Pilot" sheetId="62" r:id="rId69"/>
    <sheet name="G249 Com Gas Pilot" sheetId="63" r:id="rId70"/>
    <sheet name="TDSM {G}" sheetId="64" r:id="rId71"/>
    <sheet name="ElecAvoidedCostsWOCC" sheetId="9" r:id="rId72"/>
    <sheet name="GasAvoidedCostsWOCC" sheetId="10" r:id="rId73"/>
  </sheets>
  <externalReferences>
    <externalReference r:id="rId74"/>
  </externalReferences>
  <definedNames>
    <definedName name="_xlnm._FilterDatabase" localSheetId="32" hidden="1">'Commercial Foodservice {E}'!$B$4:$AP$130</definedName>
    <definedName name="_xlnm._FilterDatabase" localSheetId="4" hidden="1">'E201 LIW {E}'!$B$4:$AP$194</definedName>
    <definedName name="_xlnm._FilterDatabase" localSheetId="42" hidden="1">'G201 LIW {G}'!$B$4:$AP$131</definedName>
    <definedName name="_xlnm._FilterDatabase" localSheetId="3" hidden="1">'Program Costs'!$A$1:$P$124</definedName>
    <definedName name="ElecDiscountRate">0.068</definedName>
    <definedName name="GasDiscountRate">0.068</definedName>
    <definedName name="_xlnm.Print_Area" localSheetId="1">'Electric CE'!$A$1:$W$77</definedName>
    <definedName name="_xlnm.Print_Area" localSheetId="2">'Gas CE'!$A$1:$W$67</definedName>
    <definedName name="_xlnm.Print_Area" localSheetId="0">Summary!$A$1:$P$64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" i="18" l="1"/>
  <c r="K10" i="18"/>
  <c r="K9" i="18"/>
  <c r="K8" i="18"/>
  <c r="K6" i="18"/>
  <c r="K5" i="18"/>
  <c r="E44" i="2" l="1"/>
  <c r="L34" i="2" l="1"/>
  <c r="M34" i="2"/>
  <c r="K34" i="2"/>
  <c r="O26" i="2"/>
  <c r="N26" i="2"/>
  <c r="M26" i="2"/>
  <c r="L26" i="2"/>
  <c r="K26" i="2"/>
  <c r="O25" i="2"/>
  <c r="N25" i="2"/>
  <c r="M25" i="2"/>
  <c r="L25" i="2"/>
  <c r="K25" i="2"/>
  <c r="O24" i="2"/>
  <c r="N24" i="2"/>
  <c r="M24" i="2"/>
  <c r="L24" i="2"/>
  <c r="K24" i="2"/>
  <c r="D44" i="2"/>
  <c r="C44" i="2"/>
  <c r="G32" i="2"/>
  <c r="F32" i="2"/>
  <c r="E32" i="2"/>
  <c r="D32" i="2"/>
  <c r="C32" i="2"/>
  <c r="G31" i="2"/>
  <c r="F31" i="2"/>
  <c r="E31" i="2"/>
  <c r="D31" i="2"/>
  <c r="C31" i="2"/>
  <c r="G30" i="2"/>
  <c r="F30" i="2"/>
  <c r="E30" i="2"/>
  <c r="D30" i="2"/>
  <c r="C30" i="2"/>
  <c r="G29" i="2"/>
  <c r="F29" i="2"/>
  <c r="E29" i="2"/>
  <c r="D29" i="2"/>
  <c r="C29" i="2"/>
  <c r="G28" i="2"/>
  <c r="F28" i="2"/>
  <c r="E28" i="2"/>
  <c r="D28" i="2"/>
  <c r="C28" i="2"/>
  <c r="G27" i="2"/>
  <c r="F27" i="2"/>
  <c r="E27" i="2"/>
  <c r="D27" i="2"/>
  <c r="C27" i="2"/>
  <c r="G26" i="2"/>
  <c r="F26" i="2"/>
  <c r="E26" i="2"/>
  <c r="D26" i="2"/>
  <c r="C26" i="2"/>
  <c r="N65" i="67"/>
  <c r="O102" i="1"/>
  <c r="R77" i="68"/>
  <c r="Q77" i="68"/>
  <c r="O77" i="68"/>
  <c r="N77" i="68"/>
  <c r="J77" i="68"/>
  <c r="I77" i="68"/>
  <c r="O76" i="68"/>
  <c r="Q76" i="68"/>
  <c r="R76" i="68"/>
  <c r="N76" i="68"/>
  <c r="I76" i="68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2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83" i="1"/>
  <c r="I65" i="67"/>
  <c r="H7" i="67"/>
  <c r="M7" i="68"/>
  <c r="H23" i="67" l="1"/>
  <c r="S31" i="68"/>
  <c r="P31" i="68"/>
  <c r="L31" i="68"/>
  <c r="K31" i="68"/>
  <c r="J31" i="68"/>
  <c r="H31" i="68"/>
  <c r="F31" i="68"/>
  <c r="AM91" i="79"/>
  <c r="AK91" i="79"/>
  <c r="AF91" i="79"/>
  <c r="AG91" i="79" s="1"/>
  <c r="AE91" i="79"/>
  <c r="Y91" i="79"/>
  <c r="V91" i="79"/>
  <c r="T91" i="79"/>
  <c r="AD91" i="79" s="1"/>
  <c r="AM90" i="79"/>
  <c r="AK90" i="79"/>
  <c r="AF90" i="79"/>
  <c r="AG90" i="79" s="1"/>
  <c r="AE90" i="79"/>
  <c r="AD90" i="79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N88" i="79"/>
  <c r="AM88" i="79"/>
  <c r="AK88" i="79"/>
  <c r="AH88" i="79"/>
  <c r="AI88" i="79" s="1"/>
  <c r="AF88" i="79"/>
  <c r="AG88" i="79" s="1"/>
  <c r="AE88" i="79"/>
  <c r="AD88" i="79"/>
  <c r="Y88" i="79"/>
  <c r="V88" i="79"/>
  <c r="T88" i="79"/>
  <c r="AM87" i="79"/>
  <c r="AK87" i="79"/>
  <c r="AH87" i="79"/>
  <c r="AI87" i="79" s="1"/>
  <c r="AG87" i="79"/>
  <c r="AL87" i="79" s="1"/>
  <c r="AF87" i="79"/>
  <c r="AE87" i="79"/>
  <c r="AD87" i="79"/>
  <c r="Y87" i="79"/>
  <c r="V87" i="79"/>
  <c r="T87" i="79"/>
  <c r="AM86" i="79"/>
  <c r="AL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E84" i="79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E83" i="79"/>
  <c r="AD83" i="79"/>
  <c r="Y83" i="79"/>
  <c r="V83" i="79"/>
  <c r="T83" i="79"/>
  <c r="AH83" i="79" s="1"/>
  <c r="AI83" i="79" s="1"/>
  <c r="AN82" i="79"/>
  <c r="AM82" i="79"/>
  <c r="AK82" i="79"/>
  <c r="AH82" i="79"/>
  <c r="AI82" i="79" s="1"/>
  <c r="AF82" i="79"/>
  <c r="AG82" i="79" s="1"/>
  <c r="AE82" i="79"/>
  <c r="AD82" i="79"/>
  <c r="Y82" i="79"/>
  <c r="V82" i="79"/>
  <c r="T82" i="79"/>
  <c r="AM81" i="79"/>
  <c r="AK81" i="79"/>
  <c r="AH81" i="79"/>
  <c r="AI81" i="79" s="1"/>
  <c r="AG81" i="79"/>
  <c r="AF81" i="79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AE79" i="79"/>
  <c r="Y79" i="79"/>
  <c r="V79" i="79"/>
  <c r="T79" i="79"/>
  <c r="AD79" i="79" s="1"/>
  <c r="AN79" i="79" s="1"/>
  <c r="AM78" i="79"/>
  <c r="AK78" i="79"/>
  <c r="AG78" i="79"/>
  <c r="AL78" i="79" s="1"/>
  <c r="AF78" i="79"/>
  <c r="AE78" i="79"/>
  <c r="AD78" i="79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N76" i="79"/>
  <c r="AM76" i="79"/>
  <c r="AK76" i="79"/>
  <c r="AH76" i="79"/>
  <c r="AI76" i="79" s="1"/>
  <c r="AF76" i="79"/>
  <c r="AG76" i="79" s="1"/>
  <c r="AE76" i="79"/>
  <c r="AD76" i="79"/>
  <c r="Y76" i="79"/>
  <c r="V76" i="79"/>
  <c r="T76" i="79"/>
  <c r="AM75" i="79"/>
  <c r="AK75" i="79"/>
  <c r="AH75" i="79"/>
  <c r="AI75" i="79" s="1"/>
  <c r="AG75" i="79"/>
  <c r="AF75" i="79"/>
  <c r="AE75" i="79"/>
  <c r="AD75" i="79"/>
  <c r="Y75" i="79"/>
  <c r="V75" i="79"/>
  <c r="T75" i="79"/>
  <c r="AM74" i="79"/>
  <c r="AK74" i="79"/>
  <c r="AF74" i="79"/>
  <c r="AG74" i="79" s="1"/>
  <c r="AJ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J72" i="79"/>
  <c r="AG72" i="79"/>
  <c r="AF72" i="79"/>
  <c r="AE72" i="79"/>
  <c r="AD72" i="79"/>
  <c r="Y72" i="79"/>
  <c r="V72" i="79"/>
  <c r="T72" i="79"/>
  <c r="AH72" i="79" s="1"/>
  <c r="AI72" i="79" s="1"/>
  <c r="AL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E70" i="79"/>
  <c r="AD70" i="79"/>
  <c r="AN70" i="79" s="1"/>
  <c r="Y70" i="79"/>
  <c r="V70" i="79"/>
  <c r="T70" i="79"/>
  <c r="AM69" i="79"/>
  <c r="AK69" i="79"/>
  <c r="AH69" i="79"/>
  <c r="AI69" i="79" s="1"/>
  <c r="AG69" i="79"/>
  <c r="AF69" i="79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G66" i="79"/>
  <c r="AL66" i="79" s="1"/>
  <c r="AF66" i="79"/>
  <c r="AE66" i="79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H64" i="79"/>
  <c r="AI64" i="79" s="1"/>
  <c r="AF64" i="79"/>
  <c r="AG64" i="79" s="1"/>
  <c r="AE64" i="79"/>
  <c r="Y64" i="79"/>
  <c r="V64" i="79"/>
  <c r="T64" i="79"/>
  <c r="AD64" i="79" s="1"/>
  <c r="AN64" i="79" s="1"/>
  <c r="AM63" i="79"/>
  <c r="AK63" i="79"/>
  <c r="AH63" i="79"/>
  <c r="AI63" i="79" s="1"/>
  <c r="AG63" i="79"/>
  <c r="AF63" i="79"/>
  <c r="AE63" i="79"/>
  <c r="AD63" i="79"/>
  <c r="Y63" i="79"/>
  <c r="V63" i="79"/>
  <c r="T63" i="79"/>
  <c r="AM62" i="79"/>
  <c r="AK62" i="79"/>
  <c r="AF62" i="79"/>
  <c r="AG62" i="79" s="1"/>
  <c r="AJ62" i="79" s="1"/>
  <c r="Y62" i="79"/>
  <c r="V62" i="79"/>
  <c r="T62" i="79"/>
  <c r="AH62" i="79" s="1"/>
  <c r="AI62" i="79" s="1"/>
  <c r="AM61" i="79"/>
  <c r="AK61" i="79"/>
  <c r="AF61" i="79"/>
  <c r="AG61" i="79" s="1"/>
  <c r="AE61" i="79"/>
  <c r="Y61" i="79"/>
  <c r="V61" i="79"/>
  <c r="T61" i="79"/>
  <c r="AH61" i="79" s="1"/>
  <c r="AI61" i="79" s="1"/>
  <c r="AM60" i="79"/>
  <c r="AK60" i="79"/>
  <c r="AJ60" i="79"/>
  <c r="AG60" i="79"/>
  <c r="AL60" i="79" s="1"/>
  <c r="AF60" i="79"/>
  <c r="AE60" i="79"/>
  <c r="AD60" i="79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H58" i="79"/>
  <c r="AI58" i="79" s="1"/>
  <c r="AF58" i="79"/>
  <c r="AG58" i="79" s="1"/>
  <c r="AE58" i="79"/>
  <c r="Y58" i="79"/>
  <c r="V58" i="79"/>
  <c r="T58" i="79"/>
  <c r="AD58" i="79" s="1"/>
  <c r="AN58" i="79" s="1"/>
  <c r="AM57" i="79"/>
  <c r="AK57" i="79"/>
  <c r="AH57" i="79"/>
  <c r="AI57" i="79" s="1"/>
  <c r="AG57" i="79"/>
  <c r="AF57" i="79"/>
  <c r="AE57" i="79"/>
  <c r="AD57" i="79"/>
  <c r="Y57" i="79"/>
  <c r="V57" i="79"/>
  <c r="T57" i="79"/>
  <c r="AM56" i="79"/>
  <c r="AK56" i="79"/>
  <c r="AF56" i="79"/>
  <c r="AG56" i="79" s="1"/>
  <c r="Y56" i="79"/>
  <c r="V56" i="79"/>
  <c r="T56" i="79"/>
  <c r="AM55" i="79"/>
  <c r="AK55" i="79"/>
  <c r="AF55" i="79"/>
  <c r="AG55" i="79" s="1"/>
  <c r="AE55" i="79"/>
  <c r="Y55" i="79"/>
  <c r="V55" i="79"/>
  <c r="T55" i="79"/>
  <c r="AD55" i="79" s="1"/>
  <c r="AN55" i="79" s="1"/>
  <c r="AM54" i="79"/>
  <c r="AK54" i="79"/>
  <c r="AH54" i="79"/>
  <c r="AI54" i="79" s="1"/>
  <c r="AG54" i="79"/>
  <c r="AL54" i="79" s="1"/>
  <c r="AF54" i="79"/>
  <c r="AE54" i="79"/>
  <c r="AD54" i="79"/>
  <c r="Y54" i="79"/>
  <c r="V54" i="79"/>
  <c r="T54" i="79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AE52" i="79"/>
  <c r="Y52" i="79"/>
  <c r="V52" i="79"/>
  <c r="T52" i="79"/>
  <c r="AD52" i="79" s="1"/>
  <c r="AN52" i="79" s="1"/>
  <c r="AM51" i="79"/>
  <c r="AK51" i="79"/>
  <c r="AH51" i="79"/>
  <c r="AI51" i="79" s="1"/>
  <c r="AG51" i="79"/>
  <c r="AL51" i="79" s="1"/>
  <c r="AF51" i="79"/>
  <c r="AE51" i="79"/>
  <c r="AD51" i="79"/>
  <c r="Y51" i="79"/>
  <c r="V51" i="79"/>
  <c r="T51" i="79"/>
  <c r="AM50" i="79"/>
  <c r="AL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AE49" i="79"/>
  <c r="Y49" i="79"/>
  <c r="V49" i="79"/>
  <c r="T49" i="79"/>
  <c r="AH49" i="79" s="1"/>
  <c r="AI49" i="79" s="1"/>
  <c r="AM48" i="79"/>
  <c r="AK48" i="79"/>
  <c r="AJ48" i="79"/>
  <c r="AG48" i="79"/>
  <c r="AF48" i="79"/>
  <c r="AE48" i="79"/>
  <c r="AD48" i="79"/>
  <c r="Y48" i="79"/>
  <c r="V48" i="79"/>
  <c r="T48" i="79"/>
  <c r="AH48" i="79" s="1"/>
  <c r="AI48" i="79" s="1"/>
  <c r="AM47" i="79"/>
  <c r="AL47" i="79"/>
  <c r="AK47" i="79"/>
  <c r="AI47" i="79"/>
  <c r="AF47" i="79"/>
  <c r="AG47" i="79" s="1"/>
  <c r="AJ47" i="79" s="1"/>
  <c r="AD47" i="79"/>
  <c r="Y47" i="79"/>
  <c r="V47" i="79"/>
  <c r="T47" i="79"/>
  <c r="AH47" i="79" s="1"/>
  <c r="AM46" i="79"/>
  <c r="AK46" i="79"/>
  <c r="AH46" i="79"/>
  <c r="AI46" i="79" s="1"/>
  <c r="AF46" i="79"/>
  <c r="AG46" i="79" s="1"/>
  <c r="AE46" i="79"/>
  <c r="Y46" i="79"/>
  <c r="V46" i="79"/>
  <c r="T46" i="79"/>
  <c r="AD46" i="79" s="1"/>
  <c r="AM45" i="79"/>
  <c r="AK45" i="79"/>
  <c r="AJ45" i="79"/>
  <c r="AH45" i="79"/>
  <c r="AI45" i="79" s="1"/>
  <c r="AG45" i="79"/>
  <c r="AF45" i="79"/>
  <c r="AE45" i="79"/>
  <c r="AD45" i="79"/>
  <c r="Y45" i="79"/>
  <c r="V45" i="79"/>
  <c r="T45" i="79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G42" i="79"/>
  <c r="AL42" i="79" s="1"/>
  <c r="AF42" i="79"/>
  <c r="AE42" i="79"/>
  <c r="AD42" i="79"/>
  <c r="Y42" i="79"/>
  <c r="V42" i="79"/>
  <c r="T42" i="79"/>
  <c r="AM41" i="79"/>
  <c r="AK41" i="79"/>
  <c r="AF41" i="79"/>
  <c r="AG41" i="79" s="1"/>
  <c r="AD41" i="79"/>
  <c r="Y41" i="79"/>
  <c r="V41" i="79"/>
  <c r="T41" i="79"/>
  <c r="AM40" i="79"/>
  <c r="AK40" i="79"/>
  <c r="AI40" i="79"/>
  <c r="AH40" i="79"/>
  <c r="AF40" i="79"/>
  <c r="AG40" i="79" s="1"/>
  <c r="Y40" i="79"/>
  <c r="V40" i="79"/>
  <c r="T40" i="79"/>
  <c r="AD40" i="79" s="1"/>
  <c r="AM39" i="79"/>
  <c r="AN39" i="79" s="1"/>
  <c r="AK39" i="79"/>
  <c r="AH39" i="79"/>
  <c r="AI39" i="79" s="1"/>
  <c r="AG39" i="79"/>
  <c r="AL39" i="79" s="1"/>
  <c r="AF39" i="79"/>
  <c r="AE39" i="79"/>
  <c r="AD39" i="79"/>
  <c r="Y39" i="79"/>
  <c r="V39" i="79"/>
  <c r="T39" i="79"/>
  <c r="AM38" i="79"/>
  <c r="AK38" i="79"/>
  <c r="AF38" i="79"/>
  <c r="AG38" i="79" s="1"/>
  <c r="Y38" i="79"/>
  <c r="V38" i="79"/>
  <c r="T38" i="79"/>
  <c r="AD38" i="79" s="1"/>
  <c r="AM37" i="79"/>
  <c r="AK37" i="79"/>
  <c r="AH37" i="79"/>
  <c r="AI37" i="79" s="1"/>
  <c r="AL37" i="79" s="1"/>
  <c r="AF37" i="79"/>
  <c r="AG37" i="79" s="1"/>
  <c r="Y37" i="79"/>
  <c r="V37" i="79"/>
  <c r="T37" i="79"/>
  <c r="AD37" i="79" s="1"/>
  <c r="AM36" i="79"/>
  <c r="AK36" i="79"/>
  <c r="AG36" i="79"/>
  <c r="AF36" i="79"/>
  <c r="AE36" i="79"/>
  <c r="AD36" i="79"/>
  <c r="Y36" i="79"/>
  <c r="V36" i="79"/>
  <c r="T36" i="79"/>
  <c r="AH36" i="79" s="1"/>
  <c r="AI36" i="79" s="1"/>
  <c r="AM35" i="79"/>
  <c r="AK35" i="79"/>
  <c r="AF35" i="79"/>
  <c r="AG35" i="79" s="1"/>
  <c r="AD35" i="79"/>
  <c r="Y35" i="79"/>
  <c r="V35" i="79"/>
  <c r="T35" i="79"/>
  <c r="AM34" i="79"/>
  <c r="AK34" i="79"/>
  <c r="AI34" i="79"/>
  <c r="AL34" i="79" s="1"/>
  <c r="AH34" i="79"/>
  <c r="AF34" i="79"/>
  <c r="AG34" i="79" s="1"/>
  <c r="Y34" i="79"/>
  <c r="V34" i="79"/>
  <c r="T34" i="79"/>
  <c r="AD34" i="79" s="1"/>
  <c r="AM33" i="79"/>
  <c r="AK33" i="79"/>
  <c r="AG33" i="79"/>
  <c r="AF33" i="79"/>
  <c r="AE33" i="79"/>
  <c r="AD33" i="79"/>
  <c r="AN33" i="79" s="1"/>
  <c r="Y33" i="79"/>
  <c r="V33" i="79"/>
  <c r="T33" i="79"/>
  <c r="AH33" i="79" s="1"/>
  <c r="AI33" i="79" s="1"/>
  <c r="AJ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I31" i="79"/>
  <c r="AH31" i="79"/>
  <c r="AF31" i="79"/>
  <c r="AG31" i="79" s="1"/>
  <c r="AE31" i="79"/>
  <c r="Y31" i="79"/>
  <c r="V31" i="79"/>
  <c r="T31" i="79"/>
  <c r="AD31" i="79" s="1"/>
  <c r="AM30" i="79"/>
  <c r="AK30" i="79"/>
  <c r="AH30" i="79"/>
  <c r="AI30" i="79" s="1"/>
  <c r="AG30" i="79"/>
  <c r="AF30" i="79"/>
  <c r="AD30" i="79"/>
  <c r="Y30" i="79"/>
  <c r="V30" i="79"/>
  <c r="T30" i="79"/>
  <c r="AE30" i="79" s="1"/>
  <c r="AM29" i="79"/>
  <c r="AK29" i="79"/>
  <c r="AG29" i="79"/>
  <c r="AF29" i="79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AE27" i="79"/>
  <c r="AD27" i="79"/>
  <c r="Y27" i="79"/>
  <c r="V27" i="79"/>
  <c r="T27" i="79"/>
  <c r="AM26" i="79"/>
  <c r="AK26" i="79"/>
  <c r="AG26" i="79"/>
  <c r="AF26" i="79"/>
  <c r="AD26" i="79"/>
  <c r="Y26" i="79"/>
  <c r="V26" i="79"/>
  <c r="T26" i="79"/>
  <c r="AH26" i="79" s="1"/>
  <c r="AI26" i="79" s="1"/>
  <c r="AM25" i="79"/>
  <c r="AK25" i="79"/>
  <c r="AH25" i="79"/>
  <c r="AI25" i="79" s="1"/>
  <c r="AF25" i="79"/>
  <c r="AG25" i="79" s="1"/>
  <c r="Y25" i="79"/>
  <c r="V25" i="79"/>
  <c r="T25" i="79"/>
  <c r="AE25" i="79" s="1"/>
  <c r="AN24" i="79"/>
  <c r="AM24" i="79"/>
  <c r="AK24" i="79"/>
  <c r="AG24" i="79"/>
  <c r="AF24" i="79"/>
  <c r="AE24" i="79"/>
  <c r="AD24" i="79"/>
  <c r="Y24" i="79"/>
  <c r="V24" i="79"/>
  <c r="T24" i="79"/>
  <c r="AH24" i="79" s="1"/>
  <c r="AI24" i="79" s="1"/>
  <c r="AM23" i="79"/>
  <c r="AK23" i="79"/>
  <c r="AG23" i="79"/>
  <c r="AF23" i="79"/>
  <c r="AE23" i="79"/>
  <c r="AN23" i="79" s="1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H20" i="79"/>
  <c r="AI20" i="79" s="1"/>
  <c r="AF20" i="79"/>
  <c r="AG20" i="79" s="1"/>
  <c r="AE20" i="79"/>
  <c r="AD20" i="79"/>
  <c r="Y20" i="79"/>
  <c r="V20" i="79"/>
  <c r="T20" i="79"/>
  <c r="AM19" i="79"/>
  <c r="AK19" i="79"/>
  <c r="AH19" i="79"/>
  <c r="AI19" i="79" s="1"/>
  <c r="AF19" i="79"/>
  <c r="AG19" i="79" s="1"/>
  <c r="AE19" i="79"/>
  <c r="AD19" i="79"/>
  <c r="AN19" i="79" s="1"/>
  <c r="Y19" i="79"/>
  <c r="V19" i="79"/>
  <c r="T19" i="79"/>
  <c r="AM18" i="79"/>
  <c r="AK18" i="79"/>
  <c r="AG18" i="79"/>
  <c r="AF18" i="79"/>
  <c r="AD18" i="79"/>
  <c r="Y18" i="79"/>
  <c r="V18" i="79"/>
  <c r="T18" i="79"/>
  <c r="AH18" i="79" s="1"/>
  <c r="AI18" i="79" s="1"/>
  <c r="AM17" i="79"/>
  <c r="AK17" i="79"/>
  <c r="AG17" i="79"/>
  <c r="AF17" i="79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I14" i="79"/>
  <c r="AH14" i="79"/>
  <c r="AF14" i="79"/>
  <c r="AG14" i="79" s="1"/>
  <c r="AE14" i="79"/>
  <c r="Y14" i="79"/>
  <c r="V14" i="79"/>
  <c r="T14" i="79"/>
  <c r="AD14" i="79" s="1"/>
  <c r="AN14" i="79" s="1"/>
  <c r="AM13" i="79"/>
  <c r="AK13" i="79"/>
  <c r="AI13" i="79"/>
  <c r="AH13" i="79"/>
  <c r="AF13" i="79"/>
  <c r="AG13" i="79" s="1"/>
  <c r="AE13" i="79"/>
  <c r="Y13" i="79"/>
  <c r="V13" i="79"/>
  <c r="T13" i="79"/>
  <c r="AD13" i="79" s="1"/>
  <c r="AN13" i="79" s="1"/>
  <c r="AM12" i="79"/>
  <c r="AK12" i="79"/>
  <c r="AH12" i="79"/>
  <c r="AI12" i="79" s="1"/>
  <c r="AG12" i="79"/>
  <c r="AL12" i="79" s="1"/>
  <c r="AF12" i="79"/>
  <c r="AE12" i="79"/>
  <c r="AD12" i="79"/>
  <c r="Y12" i="79"/>
  <c r="V12" i="79"/>
  <c r="T12" i="79"/>
  <c r="A12" i="79"/>
  <c r="AM11" i="79"/>
  <c r="AK11" i="79"/>
  <c r="AH11" i="79"/>
  <c r="AI11" i="79" s="1"/>
  <c r="AG11" i="79"/>
  <c r="AL11" i="79" s="1"/>
  <c r="AF11" i="79"/>
  <c r="AE11" i="79"/>
  <c r="AD11" i="79"/>
  <c r="Y11" i="79"/>
  <c r="V11" i="79"/>
  <c r="T11" i="79"/>
  <c r="AM10" i="79"/>
  <c r="AK10" i="79"/>
  <c r="AG10" i="79"/>
  <c r="AF10" i="79"/>
  <c r="Y10" i="79"/>
  <c r="W10" i="79"/>
  <c r="V10" i="79"/>
  <c r="T10" i="79"/>
  <c r="AE10" i="79" s="1"/>
  <c r="A10" i="79"/>
  <c r="U32" i="79" s="1"/>
  <c r="AM9" i="79"/>
  <c r="AK9" i="79"/>
  <c r="AG9" i="79"/>
  <c r="AF9" i="79"/>
  <c r="Y9" i="79"/>
  <c r="V9" i="79"/>
  <c r="U9" i="79"/>
  <c r="T9" i="79"/>
  <c r="AE9" i="79" s="1"/>
  <c r="AM8" i="79"/>
  <c r="AK8" i="79"/>
  <c r="AF8" i="79"/>
  <c r="AG8" i="79" s="1"/>
  <c r="AD8" i="79"/>
  <c r="AN8" i="79" s="1"/>
  <c r="Y8" i="79"/>
  <c r="W8" i="79"/>
  <c r="V8" i="79"/>
  <c r="T8" i="79"/>
  <c r="AH8" i="79" s="1"/>
  <c r="AI8" i="79" s="1"/>
  <c r="AM7" i="79"/>
  <c r="AK7" i="79"/>
  <c r="AH7" i="79"/>
  <c r="AI7" i="79" s="1"/>
  <c r="AF7" i="79"/>
  <c r="AG7" i="79" s="1"/>
  <c r="AD7" i="79"/>
  <c r="Y7" i="79"/>
  <c r="V7" i="79"/>
  <c r="U7" i="79"/>
  <c r="T7" i="79"/>
  <c r="AM6" i="79"/>
  <c r="AK6" i="79"/>
  <c r="AH6" i="79"/>
  <c r="AI6" i="79" s="1"/>
  <c r="AF6" i="79"/>
  <c r="AG6" i="79" s="1"/>
  <c r="Y6" i="79"/>
  <c r="V6" i="79"/>
  <c r="U6" i="79"/>
  <c r="T6" i="79"/>
  <c r="AD6" i="79" s="1"/>
  <c r="AN6" i="79" s="1"/>
  <c r="A6" i="79"/>
  <c r="AM5" i="79"/>
  <c r="AK5" i="79"/>
  <c r="AF5" i="79"/>
  <c r="AG5" i="79" s="1"/>
  <c r="AD5" i="79"/>
  <c r="AN5" i="79" s="1"/>
  <c r="Y5" i="79"/>
  <c r="A14" i="79" s="1"/>
  <c r="V5" i="79"/>
  <c r="T5" i="79"/>
  <c r="AH5" i="79" s="1"/>
  <c r="AI5" i="79" s="1"/>
  <c r="F1" i="79"/>
  <c r="P28" i="68"/>
  <c r="L28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E21" i="78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F17" i="78"/>
  <c r="AG17" i="78" s="1"/>
  <c r="AE17" i="78"/>
  <c r="AD17" i="78"/>
  <c r="Y17" i="78"/>
  <c r="V17" i="78"/>
  <c r="T17" i="78"/>
  <c r="AH17" i="78" s="1"/>
  <c r="AI17" i="78" s="1"/>
  <c r="AM16" i="78"/>
  <c r="AK16" i="78"/>
  <c r="AG16" i="78"/>
  <c r="AF16" i="78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AE12" i="78"/>
  <c r="Y12" i="78"/>
  <c r="V12" i="78"/>
  <c r="T12" i="78"/>
  <c r="AH12" i="78" s="1"/>
  <c r="AI12" i="78" s="1"/>
  <c r="A12" i="78"/>
  <c r="J28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Y7" i="78"/>
  <c r="V7" i="78"/>
  <c r="U7" i="78"/>
  <c r="T7" i="78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F30" i="68"/>
  <c r="S30" i="68"/>
  <c r="P30" i="68"/>
  <c r="L30" i="68"/>
  <c r="K30" i="68"/>
  <c r="J30" i="68"/>
  <c r="H30" i="68"/>
  <c r="H29" i="68"/>
  <c r="J29" i="68"/>
  <c r="K29" i="68"/>
  <c r="L29" i="68"/>
  <c r="P29" i="68"/>
  <c r="S29" i="68"/>
  <c r="AN20" i="79" l="1"/>
  <c r="AN31" i="79"/>
  <c r="AN36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L10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13" i="79"/>
  <c r="AJ1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N17" i="78"/>
  <c r="AH9" i="79"/>
  <c r="AI9" i="79" s="1"/>
  <c r="AJ9" i="79" s="1"/>
  <c r="AH10" i="79"/>
  <c r="AI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J10" i="79"/>
  <c r="AD21" i="79"/>
  <c r="AD22" i="79"/>
  <c r="U26" i="79"/>
  <c r="W28" i="79"/>
  <c r="AL43" i="79"/>
  <c r="AJ43" i="79"/>
  <c r="AL45" i="79"/>
  <c r="AL48" i="79"/>
  <c r="AL56" i="79"/>
  <c r="AJ56" i="79"/>
  <c r="W59" i="79"/>
  <c r="W71" i="79"/>
  <c r="AL77" i="79"/>
  <c r="AJ77" i="79"/>
  <c r="AE21" i="79"/>
  <c r="AE22" i="79"/>
  <c r="U25" i="79"/>
  <c r="W27" i="79"/>
  <c r="W34" i="79"/>
  <c r="AH43" i="79"/>
  <c r="AI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N12" i="79"/>
  <c r="AD15" i="79"/>
  <c r="AN15" i="79" s="1"/>
  <c r="AD16" i="79"/>
  <c r="AE17" i="79"/>
  <c r="AN17" i="79" s="1"/>
  <c r="AE18" i="79"/>
  <c r="AN18" i="79" s="1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N44" i="79" s="1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N27" i="79"/>
  <c r="AD29" i="79"/>
  <c r="AN29" i="79" s="1"/>
  <c r="AE34" i="79"/>
  <c r="AN34" i="79" s="1"/>
  <c r="AL36" i="79"/>
  <c r="AE37" i="79"/>
  <c r="AN37" i="79" s="1"/>
  <c r="AE40" i="79"/>
  <c r="AN40" i="79" s="1"/>
  <c r="AJ50" i="79"/>
  <c r="AL55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AJ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D68" i="79"/>
  <c r="AH68" i="79"/>
  <c r="AI68" i="79" s="1"/>
  <c r="AL68" i="79" s="1"/>
  <c r="AL69" i="79"/>
  <c r="AJ69" i="79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62" i="79" s="1"/>
  <c r="AN72" i="79"/>
  <c r="AD74" i="79"/>
  <c r="AN84" i="79"/>
  <c r="AD86" i="79"/>
  <c r="AN86" i="79" s="1"/>
  <c r="AD49" i="79"/>
  <c r="AN49" i="79" s="1"/>
  <c r="AE50" i="79"/>
  <c r="AN50" i="79" s="1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45" i="79"/>
  <c r="AN57" i="79"/>
  <c r="AN69" i="79"/>
  <c r="AN81" i="79"/>
  <c r="AE47" i="79"/>
  <c r="AN47" i="79" s="1"/>
  <c r="AN56" i="79"/>
  <c r="AE59" i="79"/>
  <c r="AN59" i="79" s="1"/>
  <c r="AN68" i="79"/>
  <c r="AE71" i="79"/>
  <c r="AN71" i="79" s="1"/>
  <c r="AN80" i="79"/>
  <c r="AJ51" i="79"/>
  <c r="AJ63" i="79"/>
  <c r="AJ75" i="79"/>
  <c r="AJ87" i="79"/>
  <c r="AN91" i="79"/>
  <c r="AN42" i="79"/>
  <c r="AN54" i="79"/>
  <c r="AN66" i="79"/>
  <c r="AN78" i="79"/>
  <c r="AN90" i="79"/>
  <c r="A14" i="78"/>
  <c r="K28" i="68" s="1"/>
  <c r="AD16" i="78"/>
  <c r="AD5" i="78"/>
  <c r="AE11" i="78"/>
  <c r="AE16" i="78"/>
  <c r="AD15" i="78"/>
  <c r="AN15" i="78" s="1"/>
  <c r="AD20" i="78"/>
  <c r="AE23" i="78"/>
  <c r="AN23" i="78" s="1"/>
  <c r="H28" i="68"/>
  <c r="AE15" i="78"/>
  <c r="AL16" i="78"/>
  <c r="AE20" i="78"/>
  <c r="AN8" i="78"/>
  <c r="AD10" i="78"/>
  <c r="AD19" i="78"/>
  <c r="AD22" i="78"/>
  <c r="AN22" i="78" s="1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S28" i="68" s="1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AN21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E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/>
  <c r="AH56" i="57"/>
  <c r="AI56" i="57" s="1"/>
  <c r="AL56" i="57" s="1"/>
  <c r="AK56" i="57"/>
  <c r="AM56" i="57"/>
  <c r="T57" i="57"/>
  <c r="AE57" i="57" s="1"/>
  <c r="V57" i="57"/>
  <c r="Y57" i="57"/>
  <c r="AD57" i="57"/>
  <c r="AF57" i="57"/>
  <c r="AG57" i="57" s="1"/>
  <c r="AH57" i="57"/>
  <c r="AI57" i="57" s="1"/>
  <c r="AK57" i="57"/>
  <c r="AM57" i="57"/>
  <c r="T58" i="57"/>
  <c r="V58" i="57"/>
  <c r="Y58" i="57"/>
  <c r="AD58" i="57"/>
  <c r="AE58" i="57"/>
  <c r="AF58" i="57"/>
  <c r="AG58" i="57"/>
  <c r="AL58" i="57" s="1"/>
  <c r="AH58" i="57"/>
  <c r="AI58" i="57"/>
  <c r="AJ58" i="57" s="1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/>
  <c r="AJ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/>
  <c r="AK63" i="57"/>
  <c r="AM63" i="57"/>
  <c r="T64" i="57"/>
  <c r="V64" i="57"/>
  <c r="Y64" i="57"/>
  <c r="AD64" i="57"/>
  <c r="AE64" i="57"/>
  <c r="AF64" i="57"/>
  <c r="AG64" i="57"/>
  <c r="AH64" i="57"/>
  <c r="AI64" i="57" s="1"/>
  <c r="AK64" i="57"/>
  <c r="AM64" i="57"/>
  <c r="T65" i="57"/>
  <c r="V65" i="57"/>
  <c r="Y65" i="57"/>
  <c r="AD65" i="57"/>
  <c r="AE65" i="57"/>
  <c r="AF65" i="57"/>
  <c r="AG65" i="57" s="1"/>
  <c r="AH65" i="57"/>
  <c r="AI65" i="57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/>
  <c r="AH68" i="57"/>
  <c r="AI68" i="57" s="1"/>
  <c r="AL68" i="57" s="1"/>
  <c r="AK68" i="57"/>
  <c r="AM68" i="57"/>
  <c r="T69" i="57"/>
  <c r="V69" i="57"/>
  <c r="Y69" i="57"/>
  <c r="AD69" i="57"/>
  <c r="AE69" i="57"/>
  <c r="AF69" i="57"/>
  <c r="AG69" i="57"/>
  <c r="AJ69" i="57" s="1"/>
  <c r="AH69" i="57"/>
  <c r="AI69" i="57" s="1"/>
  <c r="AL69" i="57" s="1"/>
  <c r="AK69" i="57"/>
  <c r="AM69" i="57"/>
  <c r="T70" i="57"/>
  <c r="V70" i="57"/>
  <c r="Y70" i="57"/>
  <c r="AD70" i="57"/>
  <c r="AN70" i="57" s="1"/>
  <c r="AE70" i="57"/>
  <c r="AF70" i="57"/>
  <c r="AG70" i="57" s="1"/>
  <c r="AH70" i="57"/>
  <c r="AI70" i="57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D72" i="57"/>
  <c r="AF72" i="57"/>
  <c r="AG72" i="57"/>
  <c r="AK72" i="57"/>
  <c r="AM72" i="57"/>
  <c r="T73" i="57"/>
  <c r="V73" i="57"/>
  <c r="Y73" i="57"/>
  <c r="AD73" i="57"/>
  <c r="AE73" i="57"/>
  <c r="AF73" i="57"/>
  <c r="AG73" i="57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/>
  <c r="AJ75" i="57" s="1"/>
  <c r="AK75" i="57"/>
  <c r="AM75" i="57"/>
  <c r="T76" i="57"/>
  <c r="V76" i="57"/>
  <c r="Y76" i="57"/>
  <c r="AD76" i="57"/>
  <c r="AE76" i="57"/>
  <c r="AF76" i="57"/>
  <c r="AG76" i="57"/>
  <c r="AH76" i="57"/>
  <c r="AI76" i="57" s="1"/>
  <c r="AJ76" i="57" s="1"/>
  <c r="AK76" i="57"/>
  <c r="AM76" i="57"/>
  <c r="T77" i="57"/>
  <c r="V77" i="57"/>
  <c r="Y77" i="57"/>
  <c r="AD77" i="57"/>
  <c r="AE77" i="57"/>
  <c r="AF77" i="57"/>
  <c r="AG77" i="57" s="1"/>
  <c r="AH77" i="57"/>
  <c r="AI77" i="57"/>
  <c r="AK77" i="57"/>
  <c r="AM77" i="57"/>
  <c r="T78" i="57"/>
  <c r="AD78" i="57" s="1"/>
  <c r="V78" i="57"/>
  <c r="Y78" i="57"/>
  <c r="AE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/>
  <c r="AH80" i="57"/>
  <c r="AI80" i="57" s="1"/>
  <c r="AL80" i="57" s="1"/>
  <c r="AK80" i="57"/>
  <c r="AM80" i="57"/>
  <c r="T81" i="57"/>
  <c r="V81" i="57"/>
  <c r="Y81" i="57"/>
  <c r="AD81" i="57"/>
  <c r="AE81" i="57"/>
  <c r="AF81" i="57"/>
  <c r="AG81" i="57"/>
  <c r="AH81" i="57"/>
  <c r="AI81" i="57" s="1"/>
  <c r="AL81" i="57" s="1"/>
  <c r="AK81" i="57"/>
  <c r="AM81" i="57"/>
  <c r="T82" i="57"/>
  <c r="V82" i="57"/>
  <c r="Y82" i="57"/>
  <c r="AD82" i="57"/>
  <c r="AN82" i="57" s="1"/>
  <c r="AE82" i="57"/>
  <c r="AF82" i="57"/>
  <c r="AG82" i="57" s="1"/>
  <c r="AH82" i="57"/>
  <c r="AI82" i="57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D84" i="57"/>
  <c r="AF84" i="57"/>
  <c r="AG84" i="57"/>
  <c r="AK84" i="57"/>
  <c r="AM84" i="57"/>
  <c r="T85" i="57"/>
  <c r="V85" i="57"/>
  <c r="Y85" i="57"/>
  <c r="AD85" i="57"/>
  <c r="AE85" i="57"/>
  <c r="AF85" i="57"/>
  <c r="AG85" i="57"/>
  <c r="AH85" i="57"/>
  <c r="AI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J87" i="57" s="1"/>
  <c r="AK87" i="57"/>
  <c r="AM87" i="57"/>
  <c r="T88" i="57"/>
  <c r="V88" i="57"/>
  <c r="Y88" i="57"/>
  <c r="AD88" i="57"/>
  <c r="AE88" i="57"/>
  <c r="AF88" i="57"/>
  <c r="AG88" i="57"/>
  <c r="AL88" i="57" s="1"/>
  <c r="AH88" i="57"/>
  <c r="AI88" i="57" s="1"/>
  <c r="AJ88" i="57" s="1"/>
  <c r="AK88" i="57"/>
  <c r="AM88" i="57"/>
  <c r="AN32" i="79" l="1"/>
  <c r="AN74" i="79"/>
  <c r="T31" i="68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N65" i="57"/>
  <c r="AL38" i="79"/>
  <c r="AJ91" i="79"/>
  <c r="AJ67" i="79"/>
  <c r="A16" i="79"/>
  <c r="AJ29" i="79"/>
  <c r="AJ68" i="79"/>
  <c r="AN11" i="78"/>
  <c r="AN14" i="78"/>
  <c r="AL6" i="78"/>
  <c r="AN5" i="78"/>
  <c r="T28" i="68"/>
  <c r="AN10" i="78"/>
  <c r="A16" i="78"/>
  <c r="F28" i="68" s="1"/>
  <c r="AN84" i="57"/>
  <c r="AN76" i="57"/>
  <c r="AN12" i="78"/>
  <c r="AJ24" i="78"/>
  <c r="AN81" i="57"/>
  <c r="AN78" i="57"/>
  <c r="AJ23" i="78"/>
  <c r="AN85" i="57"/>
  <c r="AN13" i="78"/>
  <c r="AN72" i="57"/>
  <c r="AN64" i="57"/>
  <c r="AN9" i="78"/>
  <c r="AN88" i="57"/>
  <c r="AN69" i="57"/>
  <c r="AN66" i="57"/>
  <c r="AN73" i="57"/>
  <c r="AJ50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J52" i="57"/>
  <c r="AE53" i="57"/>
  <c r="AH50" i="57"/>
  <c r="AI50" i="57" s="1"/>
  <c r="AL50" i="57" s="1"/>
  <c r="AD49" i="57"/>
  <c r="AN49" i="57" s="1"/>
  <c r="AJ57" i="57"/>
  <c r="AL57" i="57"/>
  <c r="AJ74" i="57"/>
  <c r="AL74" i="57"/>
  <c r="AL55" i="57"/>
  <c r="AJ55" i="57"/>
  <c r="AJ80" i="57"/>
  <c r="AJ65" i="57"/>
  <c r="AL65" i="57"/>
  <c r="AJ51" i="57"/>
  <c r="AL51" i="57"/>
  <c r="AJ62" i="57"/>
  <c r="AL62" i="57"/>
  <c r="AJ77" i="57"/>
  <c r="AL77" i="57"/>
  <c r="AJ64" i="57"/>
  <c r="AJ85" i="57"/>
  <c r="AJ68" i="57"/>
  <c r="AJ53" i="57"/>
  <c r="AL53" i="57"/>
  <c r="AL66" i="57"/>
  <c r="AJ66" i="57"/>
  <c r="AN60" i="57"/>
  <c r="AN54" i="57"/>
  <c r="AJ56" i="57"/>
  <c r="AL73" i="57"/>
  <c r="AN57" i="57"/>
  <c r="AJ54" i="57"/>
  <c r="AL79" i="57"/>
  <c r="AJ79" i="57"/>
  <c r="AL76" i="57"/>
  <c r="AJ63" i="57"/>
  <c r="AJ67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D75" i="57"/>
  <c r="AH67" i="57"/>
  <c r="AI67" i="57" s="1"/>
  <c r="AL67" i="57" s="1"/>
  <c r="AD63" i="57"/>
  <c r="AH55" i="57"/>
  <c r="AI55" i="57" s="1"/>
  <c r="AD51" i="57"/>
  <c r="AL84" i="57"/>
  <c r="AL72" i="57"/>
  <c r="AL85" i="57"/>
  <c r="AL61" i="57"/>
  <c r="AL49" i="57"/>
  <c r="AE79" i="57"/>
  <c r="AN79" i="57" s="1"/>
  <c r="AE67" i="57"/>
  <c r="AN67" i="57" s="1"/>
  <c r="AE55" i="57"/>
  <c r="AN55" i="57" s="1"/>
  <c r="AE86" i="57"/>
  <c r="AN86" i="57" s="1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S17" i="68"/>
  <c r="P17" i="68"/>
  <c r="L17" i="68"/>
  <c r="K17" i="68"/>
  <c r="J17" i="68"/>
  <c r="H17" i="68"/>
  <c r="C18" i="2" s="1"/>
  <c r="F17" i="68"/>
  <c r="T25" i="77"/>
  <c r="AD25" i="77" s="1"/>
  <c r="V25" i="77"/>
  <c r="Y25" i="77"/>
  <c r="AE25" i="77"/>
  <c r="AF25" i="77"/>
  <c r="AG25" i="77" s="1"/>
  <c r="AH25" i="77"/>
  <c r="AI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/>
  <c r="AH27" i="77"/>
  <c r="AI27" i="77" s="1"/>
  <c r="AK27" i="77"/>
  <c r="AM27" i="77"/>
  <c r="T28" i="77"/>
  <c r="AD28" i="77" s="1"/>
  <c r="AN28" i="77" s="1"/>
  <c r="V28" i="77"/>
  <c r="Y28" i="77"/>
  <c r="AE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/>
  <c r="AH30" i="77"/>
  <c r="AI30" i="77" s="1"/>
  <c r="AJ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/>
  <c r="AK32" i="77"/>
  <c r="AM32" i="77"/>
  <c r="T33" i="77"/>
  <c r="V33" i="77"/>
  <c r="Y33" i="77"/>
  <c r="AD33" i="77"/>
  <c r="AE33" i="77"/>
  <c r="AF33" i="77"/>
  <c r="AG33" i="77"/>
  <c r="AH33" i="77"/>
  <c r="AI33" i="77" s="1"/>
  <c r="AJ33" i="77" s="1"/>
  <c r="AK33" i="77"/>
  <c r="AM33" i="77"/>
  <c r="AN33" i="77" s="1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/>
  <c r="AH36" i="77"/>
  <c r="AI36" i="77" s="1"/>
  <c r="AK36" i="77"/>
  <c r="AM36" i="77"/>
  <c r="T37" i="77"/>
  <c r="AD37" i="77" s="1"/>
  <c r="AN37" i="77" s="1"/>
  <c r="V37" i="77"/>
  <c r="Y37" i="77"/>
  <c r="AE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/>
  <c r="AH39" i="77"/>
  <c r="AI39" i="77" s="1"/>
  <c r="AK39" i="77"/>
  <c r="AM39" i="77"/>
  <c r="T40" i="77"/>
  <c r="AD40" i="77" s="1"/>
  <c r="AN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V42" i="77"/>
  <c r="Y42" i="77"/>
  <c r="AD42" i="77"/>
  <c r="AE42" i="77"/>
  <c r="AF42" i="77"/>
  <c r="AG42" i="77"/>
  <c r="AH42" i="77"/>
  <c r="AI42" i="77" s="1"/>
  <c r="AJ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D44" i="77"/>
  <c r="AF44" i="77"/>
  <c r="AG44" i="77"/>
  <c r="AK44" i="77"/>
  <c r="AM44" i="77"/>
  <c r="T45" i="77"/>
  <c r="V45" i="77"/>
  <c r="Y45" i="77"/>
  <c r="AD45" i="77"/>
  <c r="AE45" i="77"/>
  <c r="AF45" i="77"/>
  <c r="AG45" i="77"/>
  <c r="AH45" i="77"/>
  <c r="AI45" i="77" s="1"/>
  <c r="AJ45" i="77" s="1"/>
  <c r="AK45" i="77"/>
  <c r="AM45" i="77"/>
  <c r="AN45" i="77" s="1"/>
  <c r="T46" i="77"/>
  <c r="AD46" i="77" s="1"/>
  <c r="V46" i="77"/>
  <c r="Y46" i="77"/>
  <c r="AE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U48" i="77"/>
  <c r="V48" i="77"/>
  <c r="Y48" i="77"/>
  <c r="AD48" i="77"/>
  <c r="AE48" i="77"/>
  <c r="AF48" i="77"/>
  <c r="AG48" i="77"/>
  <c r="AH48" i="77"/>
  <c r="AI48" i="77" s="1"/>
  <c r="AK48" i="77"/>
  <c r="AM48" i="77"/>
  <c r="AN48" i="77" s="1"/>
  <c r="T49" i="77"/>
  <c r="AD49" i="77" s="1"/>
  <c r="V49" i="77"/>
  <c r="W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V51" i="77"/>
  <c r="Y51" i="77"/>
  <c r="AD51" i="77"/>
  <c r="AE51" i="77"/>
  <c r="AF51" i="77"/>
  <c r="AG51" i="77"/>
  <c r="AH51" i="77"/>
  <c r="AI51" i="77" s="1"/>
  <c r="AK51" i="77"/>
  <c r="AM51" i="77"/>
  <c r="T52" i="77"/>
  <c r="AD52" i="77" s="1"/>
  <c r="V52" i="77"/>
  <c r="Y52" i="77"/>
  <c r="AE52" i="77"/>
  <c r="AF52" i="77"/>
  <c r="AG52" i="77" s="1"/>
  <c r="AH52" i="77"/>
  <c r="AI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AE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W10" i="77" s="1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K6" i="77"/>
  <c r="AF6" i="77"/>
  <c r="AG6" i="77" s="1"/>
  <c r="Y6" i="77"/>
  <c r="W6" i="77"/>
  <c r="V6" i="77"/>
  <c r="T6" i="77"/>
  <c r="AD6" i="77" s="1"/>
  <c r="A6" i="77"/>
  <c r="AK5" i="77"/>
  <c r="AF5" i="77"/>
  <c r="AG5" i="77" s="1"/>
  <c r="Y5" i="77"/>
  <c r="V5" i="77"/>
  <c r="T5" i="77"/>
  <c r="AH5" i="77" s="1"/>
  <c r="AI5" i="77" s="1"/>
  <c r="F1" i="77"/>
  <c r="AM91" i="76"/>
  <c r="AK91" i="76"/>
  <c r="AH91" i="76"/>
  <c r="AI91" i="76" s="1"/>
  <c r="AG91" i="76"/>
  <c r="AF91" i="76"/>
  <c r="AE91" i="76"/>
  <c r="Y91" i="76"/>
  <c r="V91" i="76"/>
  <c r="T91" i="76"/>
  <c r="AD91" i="76" s="1"/>
  <c r="AM90" i="76"/>
  <c r="AK90" i="76"/>
  <c r="AH90" i="76"/>
  <c r="AI90" i="76" s="1"/>
  <c r="AG90" i="76"/>
  <c r="AF90" i="76"/>
  <c r="AD90" i="76"/>
  <c r="Y90" i="76"/>
  <c r="V90" i="76"/>
  <c r="T90" i="76"/>
  <c r="AE90" i="76" s="1"/>
  <c r="AM89" i="76"/>
  <c r="AK89" i="76"/>
  <c r="AG89" i="76"/>
  <c r="AF89" i="76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I87" i="76"/>
  <c r="AH87" i="76"/>
  <c r="AG87" i="76"/>
  <c r="AL87" i="76" s="1"/>
  <c r="AF87" i="76"/>
  <c r="AE87" i="76"/>
  <c r="AD87" i="76"/>
  <c r="Y87" i="76"/>
  <c r="V87" i="76"/>
  <c r="T87" i="76"/>
  <c r="AM86" i="76"/>
  <c r="AK86" i="76"/>
  <c r="AH86" i="76"/>
  <c r="AI86" i="76" s="1"/>
  <c r="AL86" i="76" s="1"/>
  <c r="AF86" i="76"/>
  <c r="AG86" i="76" s="1"/>
  <c r="AD86" i="76"/>
  <c r="Y86" i="76"/>
  <c r="V86" i="76"/>
  <c r="T86" i="76"/>
  <c r="AE86" i="76" s="1"/>
  <c r="AM85" i="76"/>
  <c r="AK85" i="76"/>
  <c r="AG85" i="76"/>
  <c r="AJ85" i="76" s="1"/>
  <c r="AF85" i="76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I83" i="76"/>
  <c r="AF83" i="76"/>
  <c r="AG83" i="76" s="1"/>
  <c r="AJ83" i="76" s="1"/>
  <c r="AE83" i="76"/>
  <c r="AD83" i="76"/>
  <c r="Y83" i="76"/>
  <c r="V83" i="76"/>
  <c r="T83" i="76"/>
  <c r="AH83" i="76" s="1"/>
  <c r="AM82" i="76"/>
  <c r="AK82" i="76"/>
  <c r="AH82" i="76"/>
  <c r="AI82" i="76" s="1"/>
  <c r="AF82" i="76"/>
  <c r="AG82" i="76" s="1"/>
  <c r="AE82" i="76"/>
  <c r="AD82" i="76"/>
  <c r="Y82" i="76"/>
  <c r="V82" i="76"/>
  <c r="T82" i="76"/>
  <c r="AM81" i="76"/>
  <c r="AK81" i="76"/>
  <c r="AI81" i="76"/>
  <c r="AH81" i="76"/>
  <c r="AG81" i="76"/>
  <c r="AF81" i="76"/>
  <c r="AE81" i="76"/>
  <c r="AD81" i="76"/>
  <c r="Y81" i="76"/>
  <c r="V81" i="76"/>
  <c r="T81" i="76"/>
  <c r="AM80" i="76"/>
  <c r="AK80" i="76"/>
  <c r="AF80" i="76"/>
  <c r="AG80" i="76" s="1"/>
  <c r="Y80" i="76"/>
  <c r="V80" i="76"/>
  <c r="T80" i="76"/>
  <c r="AM79" i="76"/>
  <c r="AK79" i="76"/>
  <c r="AH79" i="76"/>
  <c r="AI79" i="76" s="1"/>
  <c r="AG79" i="76"/>
  <c r="AF79" i="76"/>
  <c r="AE79" i="76"/>
  <c r="Y79" i="76"/>
  <c r="V79" i="76"/>
  <c r="T79" i="76"/>
  <c r="AD79" i="76" s="1"/>
  <c r="AM78" i="76"/>
  <c r="AK78" i="76"/>
  <c r="AH78" i="76"/>
  <c r="AI78" i="76" s="1"/>
  <c r="AG78" i="76"/>
  <c r="AF78" i="76"/>
  <c r="AD78" i="76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I75" i="76"/>
  <c r="AH75" i="76"/>
  <c r="AG75" i="76"/>
  <c r="AL75" i="76" s="1"/>
  <c r="AF75" i="76"/>
  <c r="AE75" i="76"/>
  <c r="AD75" i="76"/>
  <c r="Y75" i="76"/>
  <c r="V75" i="76"/>
  <c r="T75" i="76"/>
  <c r="AM74" i="76"/>
  <c r="AK74" i="76"/>
  <c r="AH74" i="76"/>
  <c r="AI74" i="76" s="1"/>
  <c r="AF74" i="76"/>
  <c r="AG74" i="76" s="1"/>
  <c r="AJ74" i="76" s="1"/>
  <c r="AD74" i="76"/>
  <c r="Y74" i="76"/>
  <c r="V74" i="76"/>
  <c r="T74" i="76"/>
  <c r="AE74" i="76" s="1"/>
  <c r="AM73" i="76"/>
  <c r="AK73" i="76"/>
  <c r="AG73" i="76"/>
  <c r="AJ73" i="76" s="1"/>
  <c r="AF73" i="76"/>
  <c r="AE73" i="76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E71" i="76"/>
  <c r="AD71" i="76"/>
  <c r="Y71" i="76"/>
  <c r="V71" i="76"/>
  <c r="T71" i="76"/>
  <c r="AH71" i="76" s="1"/>
  <c r="AI71" i="76" s="1"/>
  <c r="AL71" i="76" s="1"/>
  <c r="AM70" i="76"/>
  <c r="AK70" i="76"/>
  <c r="AH70" i="76"/>
  <c r="AI70" i="76" s="1"/>
  <c r="AF70" i="76"/>
  <c r="AG70" i="76" s="1"/>
  <c r="AJ70" i="76" s="1"/>
  <c r="AE70" i="76"/>
  <c r="AD70" i="76"/>
  <c r="Y70" i="76"/>
  <c r="V70" i="76"/>
  <c r="T70" i="76"/>
  <c r="AM69" i="76"/>
  <c r="AN69" i="76" s="1"/>
  <c r="AK69" i="76"/>
  <c r="AI69" i="76"/>
  <c r="AH69" i="76"/>
  <c r="AG69" i="76"/>
  <c r="AL69" i="76" s="1"/>
  <c r="AF69" i="76"/>
  <c r="AE69" i="76"/>
  <c r="AD69" i="76"/>
  <c r="Y69" i="76"/>
  <c r="V69" i="76"/>
  <c r="T69" i="76"/>
  <c r="AM68" i="76"/>
  <c r="AK68" i="76"/>
  <c r="AF68" i="76"/>
  <c r="AG68" i="76" s="1"/>
  <c r="Y68" i="76"/>
  <c r="V68" i="76"/>
  <c r="T68" i="76"/>
  <c r="AM67" i="76"/>
  <c r="AK67" i="76"/>
  <c r="AH67" i="76"/>
  <c r="AI67" i="76" s="1"/>
  <c r="AG67" i="76"/>
  <c r="AF67" i="76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G65" i="76"/>
  <c r="AF65" i="76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J63" i="76" s="1"/>
  <c r="AG63" i="76"/>
  <c r="AF63" i="76"/>
  <c r="Y63" i="76"/>
  <c r="V63" i="76"/>
  <c r="T63" i="76"/>
  <c r="AE63" i="76" s="1"/>
  <c r="AM62" i="76"/>
  <c r="AK62" i="76"/>
  <c r="AH62" i="76"/>
  <c r="AI62" i="76" s="1"/>
  <c r="AF62" i="76"/>
  <c r="AG62" i="76" s="1"/>
  <c r="AD62" i="76"/>
  <c r="Y62" i="76"/>
  <c r="V62" i="76"/>
  <c r="T62" i="76"/>
  <c r="AE62" i="76" s="1"/>
  <c r="AM61" i="76"/>
  <c r="AK61" i="76"/>
  <c r="AF61" i="76"/>
  <c r="AG61" i="76" s="1"/>
  <c r="AJ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AE59" i="76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AL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H55" i="76"/>
  <c r="AI55" i="76" s="1"/>
  <c r="AF55" i="76"/>
  <c r="AG55" i="76" s="1"/>
  <c r="AE55" i="76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H51" i="76"/>
  <c r="AI51" i="76" s="1"/>
  <c r="AG51" i="76"/>
  <c r="AF51" i="76"/>
  <c r="Y51" i="76"/>
  <c r="V51" i="76"/>
  <c r="T51" i="76"/>
  <c r="AE51" i="76" s="1"/>
  <c r="AK50" i="76"/>
  <c r="AH50" i="76"/>
  <c r="AI50" i="76" s="1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AE47" i="76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I45" i="76"/>
  <c r="AH45" i="76"/>
  <c r="AF45" i="76"/>
  <c r="AG45" i="76" s="1"/>
  <c r="AJ45" i="76" s="1"/>
  <c r="Y45" i="76"/>
  <c r="V45" i="76"/>
  <c r="T45" i="76"/>
  <c r="AE45" i="76" s="1"/>
  <c r="AK44" i="76"/>
  <c r="AH44" i="76"/>
  <c r="AI44" i="76" s="1"/>
  <c r="AF44" i="76"/>
  <c r="AG44" i="76" s="1"/>
  <c r="Y44" i="76"/>
  <c r="V44" i="76"/>
  <c r="T44" i="76"/>
  <c r="AM43" i="76"/>
  <c r="AK43" i="76"/>
  <c r="AH43" i="76"/>
  <c r="AI43" i="76" s="1"/>
  <c r="AG43" i="76"/>
  <c r="AF43" i="76"/>
  <c r="AE43" i="76"/>
  <c r="Y43" i="76"/>
  <c r="V43" i="76"/>
  <c r="T43" i="76"/>
  <c r="AD43" i="76" s="1"/>
  <c r="AK42" i="76"/>
  <c r="AG42" i="76"/>
  <c r="AF42" i="76"/>
  <c r="AD42" i="76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E40" i="76"/>
  <c r="AD40" i="76"/>
  <c r="Y40" i="76"/>
  <c r="V40" i="76"/>
  <c r="T40" i="76"/>
  <c r="AH40" i="76" s="1"/>
  <c r="AI40" i="76" s="1"/>
  <c r="AM39" i="76"/>
  <c r="AK39" i="76"/>
  <c r="AG39" i="76"/>
  <c r="AF39" i="76"/>
  <c r="AD39" i="76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AE37" i="76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J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E33" i="76"/>
  <c r="AD33" i="76"/>
  <c r="Y33" i="76"/>
  <c r="V33" i="76"/>
  <c r="T33" i="76"/>
  <c r="AH33" i="76" s="1"/>
  <c r="AI33" i="76" s="1"/>
  <c r="AK32" i="76"/>
  <c r="AF32" i="76"/>
  <c r="AG32" i="76" s="1"/>
  <c r="AD32" i="76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AD30" i="76"/>
  <c r="Y30" i="76"/>
  <c r="V30" i="76"/>
  <c r="T30" i="76"/>
  <c r="AH30" i="76" s="1"/>
  <c r="AI30" i="76" s="1"/>
  <c r="AM29" i="76"/>
  <c r="AK29" i="76"/>
  <c r="AF29" i="76"/>
  <c r="AG29" i="76" s="1"/>
  <c r="AE29" i="76"/>
  <c r="AD29" i="76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E27" i="76"/>
  <c r="AD27" i="76"/>
  <c r="Y27" i="76"/>
  <c r="V27" i="76"/>
  <c r="T27" i="76"/>
  <c r="AH27" i="76" s="1"/>
  <c r="AI27" i="76" s="1"/>
  <c r="AJ27" i="76" s="1"/>
  <c r="AM26" i="76"/>
  <c r="AK26" i="76"/>
  <c r="AI26" i="76"/>
  <c r="AG26" i="76"/>
  <c r="AF26" i="76"/>
  <c r="Y26" i="76"/>
  <c r="V26" i="76"/>
  <c r="T26" i="76"/>
  <c r="AH26" i="76" s="1"/>
  <c r="AK25" i="76"/>
  <c r="AF25" i="76"/>
  <c r="AG25" i="76" s="1"/>
  <c r="Y25" i="76"/>
  <c r="W25" i="76"/>
  <c r="V25" i="76"/>
  <c r="T25" i="76"/>
  <c r="AE25" i="76" s="1"/>
  <c r="AM24" i="76"/>
  <c r="AK24" i="76"/>
  <c r="AG24" i="76"/>
  <c r="AF24" i="76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AE20" i="76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G18" i="76"/>
  <c r="AL18" i="76" s="1"/>
  <c r="AF18" i="76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AM11" i="76"/>
  <c r="AK11" i="76"/>
  <c r="AF11" i="76"/>
  <c r="AG11" i="76" s="1"/>
  <c r="Y11" i="76"/>
  <c r="V11" i="76"/>
  <c r="T11" i="76"/>
  <c r="AH11" i="76" s="1"/>
  <c r="AI11" i="76" s="1"/>
  <c r="AM10" i="76"/>
  <c r="AL10" i="76"/>
  <c r="AK10" i="76"/>
  <c r="AF10" i="76"/>
  <c r="AG10" i="76" s="1"/>
  <c r="AE10" i="76"/>
  <c r="AD10" i="76"/>
  <c r="Y10" i="76"/>
  <c r="V10" i="76"/>
  <c r="T10" i="76"/>
  <c r="AH10" i="76" s="1"/>
  <c r="AI10" i="76" s="1"/>
  <c r="A10" i="76"/>
  <c r="W35" i="76" s="1"/>
  <c r="AM9" i="76"/>
  <c r="AK9" i="76"/>
  <c r="AF9" i="76"/>
  <c r="AG9" i="76" s="1"/>
  <c r="AJ9" i="76" s="1"/>
  <c r="Y9" i="76"/>
  <c r="V9" i="76"/>
  <c r="T9" i="76"/>
  <c r="AH9" i="76" s="1"/>
  <c r="AI9" i="76" s="1"/>
  <c r="AM8" i="76"/>
  <c r="AK8" i="76"/>
  <c r="AF8" i="76"/>
  <c r="AG8" i="76" s="1"/>
  <c r="AJ8" i="76" s="1"/>
  <c r="AD8" i="76"/>
  <c r="AN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U7" i="76"/>
  <c r="T7" i="76"/>
  <c r="AH7" i="76" s="1"/>
  <c r="AI7" i="76" s="1"/>
  <c r="AJ7" i="76" s="1"/>
  <c r="AM6" i="76"/>
  <c r="AK6" i="76"/>
  <c r="AH6" i="76"/>
  <c r="AI6" i="76" s="1"/>
  <c r="AF6" i="76"/>
  <c r="AG6" i="76" s="1"/>
  <c r="Y6" i="76"/>
  <c r="V6" i="76"/>
  <c r="T6" i="76"/>
  <c r="AD6" i="76" s="1"/>
  <c r="A6" i="76"/>
  <c r="AK5" i="76"/>
  <c r="AH5" i="76"/>
  <c r="AI5" i="76" s="1"/>
  <c r="AF5" i="76"/>
  <c r="AG5" i="76" s="1"/>
  <c r="Y5" i="76"/>
  <c r="W5" i="76"/>
  <c r="V5" i="76"/>
  <c r="T5" i="76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N63" i="57" l="1"/>
  <c r="AN40" i="76"/>
  <c r="AN53" i="57"/>
  <c r="AN82" i="76"/>
  <c r="AN51" i="77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M5" i="77"/>
  <c r="AE23" i="77"/>
  <c r="AN23" i="77" s="1"/>
  <c r="AH7" i="77"/>
  <c r="AI7" i="77" s="1"/>
  <c r="W44" i="77"/>
  <c r="W41" i="77"/>
  <c r="AM21" i="77"/>
  <c r="AN25" i="77"/>
  <c r="AJ49" i="77"/>
  <c r="AL49" i="77"/>
  <c r="AJ39" i="77"/>
  <c r="AL33" i="77"/>
  <c r="AJ26" i="77"/>
  <c r="AL26" i="77"/>
  <c r="AJ46" i="77"/>
  <c r="AJ36" i="77"/>
  <c r="AL30" i="77"/>
  <c r="AJ27" i="77"/>
  <c r="AJ38" i="77"/>
  <c r="AL38" i="77"/>
  <c r="AJ40" i="77"/>
  <c r="AL40" i="77"/>
  <c r="AJ34" i="77"/>
  <c r="AL34" i="77"/>
  <c r="AJ37" i="77"/>
  <c r="AL37" i="77"/>
  <c r="AJ51" i="77"/>
  <c r="AL31" i="77"/>
  <c r="AJ31" i="77"/>
  <c r="AJ28" i="77"/>
  <c r="AL28" i="77"/>
  <c r="AL43" i="77"/>
  <c r="AJ43" i="77"/>
  <c r="AJ47" i="77"/>
  <c r="AN32" i="77"/>
  <c r="AJ25" i="77"/>
  <c r="AL25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AN38" i="77" s="1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L16" i="77"/>
  <c r="AD18" i="77"/>
  <c r="AE11" i="77"/>
  <c r="AE18" i="77"/>
  <c r="AD15" i="77"/>
  <c r="AE15" i="77"/>
  <c r="AD20" i="77"/>
  <c r="AD8" i="77"/>
  <c r="AE17" i="77"/>
  <c r="AN17" i="77" s="1"/>
  <c r="AE20" i="77"/>
  <c r="AD5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N22" i="77" s="1"/>
  <c r="A14" i="77"/>
  <c r="AM6" i="77"/>
  <c r="AN6" i="77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7" i="77"/>
  <c r="AJ7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5" i="77"/>
  <c r="AJ5" i="77"/>
  <c r="AL18" i="77"/>
  <c r="AJ18" i="77"/>
  <c r="AJ8" i="77"/>
  <c r="AL8" i="77"/>
  <c r="AJ11" i="77"/>
  <c r="AL11" i="77"/>
  <c r="AJ17" i="77"/>
  <c r="AL21" i="77"/>
  <c r="AJ21" i="77"/>
  <c r="U6" i="77"/>
  <c r="AH6" i="77"/>
  <c r="AI6" i="77" s="1"/>
  <c r="AL6" i="77" s="1"/>
  <c r="U23" i="77"/>
  <c r="U24" i="77"/>
  <c r="U5" i="77"/>
  <c r="U21" i="77"/>
  <c r="U22" i="77"/>
  <c r="AH23" i="77"/>
  <c r="AI23" i="77" s="1"/>
  <c r="AL23" i="77" s="1"/>
  <c r="AH24" i="77"/>
  <c r="AI24" i="77" s="1"/>
  <c r="AL24" i="77" s="1"/>
  <c r="AD13" i="77"/>
  <c r="AD14" i="77"/>
  <c r="U19" i="77"/>
  <c r="U20" i="77"/>
  <c r="W23" i="77"/>
  <c r="W24" i="77"/>
  <c r="AN70" i="76"/>
  <c r="W5" i="77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AJ15" i="77"/>
  <c r="AJ16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AD11" i="76"/>
  <c r="AE24" i="76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H58" i="76"/>
  <c r="AI58" i="76" s="1"/>
  <c r="AH54" i="76"/>
  <c r="AI54" i="76" s="1"/>
  <c r="AJ54" i="76" s="1"/>
  <c r="AH66" i="76"/>
  <c r="AI66" i="76" s="1"/>
  <c r="AL51" i="76"/>
  <c r="AL63" i="76"/>
  <c r="AN6" i="76"/>
  <c r="AN62" i="76"/>
  <c r="AH24" i="76"/>
  <c r="AI24" i="76" s="1"/>
  <c r="AD9" i="76"/>
  <c r="AJ10" i="76"/>
  <c r="AE13" i="76"/>
  <c r="AD15" i="76"/>
  <c r="AE18" i="76"/>
  <c r="AN18" i="76" s="1"/>
  <c r="AH23" i="76"/>
  <c r="AI23" i="76" s="1"/>
  <c r="AD26" i="76"/>
  <c r="AE30" i="76"/>
  <c r="AN30" i="76" s="1"/>
  <c r="W71" i="76"/>
  <c r="AL26" i="76"/>
  <c r="AJ26" i="76"/>
  <c r="AN10" i="76"/>
  <c r="AL5" i="76"/>
  <c r="AJ5" i="76"/>
  <c r="AL25" i="76"/>
  <c r="AJ2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15" i="76"/>
  <c r="AJ29" i="76"/>
  <c r="AL33" i="76"/>
  <c r="AJ46" i="76"/>
  <c r="AL46" i="76"/>
  <c r="AL88" i="76"/>
  <c r="AJ88" i="76"/>
  <c r="AL24" i="76"/>
  <c r="AJ24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L23" i="76"/>
  <c r="AJ23" i="76"/>
  <c r="AL84" i="76"/>
  <c r="AJ84" i="76"/>
  <c r="AL6" i="76"/>
  <c r="AJ6" i="76"/>
  <c r="AL7" i="76"/>
  <c r="AL27" i="76"/>
  <c r="W6" i="76"/>
  <c r="AD13" i="76"/>
  <c r="AD14" i="76"/>
  <c r="AE15" i="76"/>
  <c r="AE16" i="76"/>
  <c r="U19" i="76"/>
  <c r="U20" i="76"/>
  <c r="W23" i="76"/>
  <c r="W24" i="76"/>
  <c r="AN29" i="76"/>
  <c r="AD31" i="76"/>
  <c r="AE32" i="76"/>
  <c r="AN32" i="76" s="1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J58" i="76"/>
  <c r="AL62" i="76"/>
  <c r="AL68" i="76"/>
  <c r="U81" i="76"/>
  <c r="AN83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7" i="76"/>
  <c r="AJ18" i="76"/>
  <c r="U30" i="76"/>
  <c r="W32" i="76"/>
  <c r="AJ33" i="76"/>
  <c r="AM36" i="76"/>
  <c r="AL43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J76" i="76"/>
  <c r="AE80" i="76"/>
  <c r="AD80" i="76"/>
  <c r="AH80" i="76"/>
  <c r="AI80" i="76" s="1"/>
  <c r="AJ80" i="76" s="1"/>
  <c r="U9" i="76"/>
  <c r="U10" i="76"/>
  <c r="W13" i="76"/>
  <c r="W14" i="76"/>
  <c r="AN23" i="76"/>
  <c r="AN24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L67" i="76"/>
  <c r="AJ68" i="76"/>
  <c r="AJ71" i="76"/>
  <c r="AJ72" i="76"/>
  <c r="W83" i="76"/>
  <c r="AH88" i="76"/>
  <c r="AI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J69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AN75" i="76"/>
  <c r="U77" i="76"/>
  <c r="AL80" i="76"/>
  <c r="AJ86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J51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N15" i="77" l="1"/>
  <c r="AN77" i="76"/>
  <c r="AN15" i="76"/>
  <c r="AN49" i="76"/>
  <c r="AN9" i="76"/>
  <c r="AN13" i="77"/>
  <c r="AN19" i="77"/>
  <c r="AN14" i="76"/>
  <c r="AN58" i="76"/>
  <c r="AN22" i="76"/>
  <c r="T30" i="68"/>
  <c r="AN28" i="76"/>
  <c r="AN11" i="77"/>
  <c r="T17" i="68"/>
  <c r="E18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5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AN14" i="77"/>
  <c r="AN31" i="76"/>
  <c r="AN80" i="76"/>
  <c r="AN73" i="29"/>
  <c r="AN84" i="76"/>
  <c r="AN26" i="76"/>
  <c r="AN35" i="76"/>
  <c r="AJ23" i="77"/>
  <c r="AJ6" i="77"/>
  <c r="AN79" i="29"/>
  <c r="AN66" i="76"/>
  <c r="A16" i="76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D26" i="13"/>
  <c r="AF26" i="13"/>
  <c r="AG26" i="13" s="1"/>
  <c r="AK26" i="13"/>
  <c r="AM26" i="13"/>
  <c r="T27" i="13"/>
  <c r="AD27" i="13" s="1"/>
  <c r="AN27" i="13" s="1"/>
  <c r="V27" i="13"/>
  <c r="Y27" i="13"/>
  <c r="AE27" i="13"/>
  <c r="AF27" i="13"/>
  <c r="AG27" i="13"/>
  <c r="AJ27" i="13" s="1"/>
  <c r="AH27" i="13"/>
  <c r="AI27" i="13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/>
  <c r="AL29" i="13" s="1"/>
  <c r="AH29" i="13"/>
  <c r="AI29" i="13"/>
  <c r="AJ29" i="13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/>
  <c r="AK31" i="13"/>
  <c r="AM31" i="13"/>
  <c r="T32" i="13"/>
  <c r="AE32" i="13" s="1"/>
  <c r="V32" i="13"/>
  <c r="Y32" i="13"/>
  <c r="AD32" i="13"/>
  <c r="AF32" i="13"/>
  <c r="AG32" i="13"/>
  <c r="AH32" i="13"/>
  <c r="AI32" i="13" s="1"/>
  <c r="AJ32" i="13" s="1"/>
  <c r="AK32" i="13"/>
  <c r="AM32" i="13"/>
  <c r="AN32" i="13" l="1"/>
  <c r="AN26" i="13"/>
  <c r="AN29" i="13"/>
  <c r="AH26" i="13"/>
  <c r="AI26" i="13" s="1"/>
  <c r="AJ26" i="13" s="1"/>
  <c r="AL32" i="13"/>
  <c r="AJ30" i="13"/>
  <c r="AL28" i="13"/>
  <c r="AJ28" i="13"/>
  <c r="AN28" i="13"/>
  <c r="AH28" i="13"/>
  <c r="AI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N25" i="13" l="1"/>
  <c r="AL26" i="13"/>
  <c r="AJ31" i="13"/>
  <c r="A6" i="27"/>
  <c r="AM24" i="64" l="1"/>
  <c r="AK24" i="64"/>
  <c r="AH24" i="64"/>
  <c r="AI24" i="64" s="1"/>
  <c r="AF24" i="64"/>
  <c r="AG24" i="64" s="1"/>
  <c r="AE24" i="64"/>
  <c r="AD24" i="64"/>
  <c r="Y24" i="64"/>
  <c r="W24" i="64"/>
  <c r="V24" i="64"/>
  <c r="U24" i="64"/>
  <c r="T24" i="64"/>
  <c r="AM23" i="64"/>
  <c r="AN23" i="64" s="1"/>
  <c r="AK23" i="64"/>
  <c r="AH23" i="64"/>
  <c r="AI23" i="64" s="1"/>
  <c r="AG23" i="64"/>
  <c r="AL23" i="64" s="1"/>
  <c r="AF23" i="64"/>
  <c r="AE23" i="64"/>
  <c r="AD23" i="64"/>
  <c r="Y23" i="64"/>
  <c r="W23" i="64"/>
  <c r="V23" i="64"/>
  <c r="U23" i="64"/>
  <c r="T23" i="64"/>
  <c r="AM22" i="64"/>
  <c r="AN22" i="64" s="1"/>
  <c r="AK22" i="64"/>
  <c r="AH22" i="64"/>
  <c r="AI22" i="64" s="1"/>
  <c r="AL22" i="64" s="1"/>
  <c r="AG22" i="64"/>
  <c r="AJ22" i="64" s="1"/>
  <c r="AF22" i="64"/>
  <c r="AE22" i="64"/>
  <c r="AD22" i="64"/>
  <c r="Y22" i="64"/>
  <c r="W22" i="64"/>
  <c r="V22" i="64"/>
  <c r="U22" i="64"/>
  <c r="T22" i="64"/>
  <c r="AN21" i="64"/>
  <c r="AM21" i="64"/>
  <c r="AK21" i="64"/>
  <c r="AH21" i="64"/>
  <c r="AI21" i="64" s="1"/>
  <c r="AF21" i="64"/>
  <c r="AG21" i="64" s="1"/>
  <c r="AE21" i="64"/>
  <c r="AD21" i="64"/>
  <c r="Y21" i="64"/>
  <c r="W21" i="64"/>
  <c r="V21" i="64"/>
  <c r="U21" i="64"/>
  <c r="T21" i="64"/>
  <c r="AN20" i="64"/>
  <c r="AM20" i="64"/>
  <c r="AK20" i="64"/>
  <c r="AH20" i="64"/>
  <c r="AI20" i="64" s="1"/>
  <c r="AG20" i="64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L19" i="64" s="1"/>
  <c r="AG19" i="64"/>
  <c r="AF19" i="64"/>
  <c r="AE19" i="64"/>
  <c r="AD19" i="64"/>
  <c r="Y19" i="64"/>
  <c r="W19" i="64"/>
  <c r="V19" i="64"/>
  <c r="U19" i="64"/>
  <c r="T19" i="64"/>
  <c r="AM18" i="64"/>
  <c r="AK18" i="64"/>
  <c r="AH18" i="64"/>
  <c r="AI18" i="64" s="1"/>
  <c r="AF18" i="64"/>
  <c r="AG18" i="64" s="1"/>
  <c r="AE18" i="64"/>
  <c r="AD18" i="64"/>
  <c r="AN18" i="64" s="1"/>
  <c r="Y18" i="64"/>
  <c r="W18" i="64"/>
  <c r="V18" i="64"/>
  <c r="U18" i="64"/>
  <c r="T18" i="64"/>
  <c r="AM17" i="64"/>
  <c r="AK17" i="64"/>
  <c r="AH17" i="64"/>
  <c r="AI17" i="64" s="1"/>
  <c r="AG17" i="64"/>
  <c r="AL17" i="64" s="1"/>
  <c r="AF17" i="64"/>
  <c r="AE17" i="64"/>
  <c r="AD17" i="64"/>
  <c r="AN17" i="64" s="1"/>
  <c r="Y17" i="64"/>
  <c r="W17" i="64"/>
  <c r="V17" i="64"/>
  <c r="U17" i="64"/>
  <c r="T17" i="64"/>
  <c r="AM16" i="64"/>
  <c r="AK16" i="64"/>
  <c r="AH16" i="64"/>
  <c r="AI16" i="64" s="1"/>
  <c r="AL16" i="64" s="1"/>
  <c r="AG16" i="64"/>
  <c r="AF16" i="64"/>
  <c r="AE16" i="64"/>
  <c r="AD16" i="64"/>
  <c r="AN16" i="64" s="1"/>
  <c r="Y16" i="64"/>
  <c r="W16" i="64"/>
  <c r="V16" i="64"/>
  <c r="U16" i="64"/>
  <c r="T16" i="64"/>
  <c r="A16" i="64"/>
  <c r="AM15" i="64"/>
  <c r="AK15" i="64"/>
  <c r="AH15" i="64"/>
  <c r="AI15" i="64" s="1"/>
  <c r="AG15" i="64"/>
  <c r="AL15" i="64" s="1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G14" i="64"/>
  <c r="AF14" i="64"/>
  <c r="AE14" i="64"/>
  <c r="AD14" i="64"/>
  <c r="Y14" i="64"/>
  <c r="W14" i="64"/>
  <c r="V14" i="64"/>
  <c r="U14" i="64"/>
  <c r="T14" i="64"/>
  <c r="A14" i="64"/>
  <c r="AM13" i="64"/>
  <c r="AK13" i="64"/>
  <c r="AH13" i="64"/>
  <c r="AI13" i="64" s="1"/>
  <c r="AF13" i="64"/>
  <c r="AG13" i="64" s="1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F11" i="64"/>
  <c r="AG11" i="64" s="1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AN10" i="64" s="1"/>
  <c r="Y10" i="64"/>
  <c r="W10" i="64"/>
  <c r="V10" i="64"/>
  <c r="U10" i="64"/>
  <c r="T10" i="64"/>
  <c r="A10" i="64"/>
  <c r="AM9" i="64"/>
  <c r="AK9" i="64"/>
  <c r="AH9" i="64"/>
  <c r="AI9" i="64" s="1"/>
  <c r="AG9" i="64"/>
  <c r="AL9" i="64" s="1"/>
  <c r="AF9" i="64"/>
  <c r="AE9" i="64"/>
  <c r="AD9" i="64"/>
  <c r="Y9" i="64"/>
  <c r="W9" i="64"/>
  <c r="V9" i="64"/>
  <c r="U9" i="64"/>
  <c r="T9" i="64"/>
  <c r="AM8" i="64"/>
  <c r="AK8" i="64"/>
  <c r="AH8" i="64"/>
  <c r="AI8" i="64" s="1"/>
  <c r="AF8" i="64"/>
  <c r="AG8" i="64" s="1"/>
  <c r="AD8" i="64"/>
  <c r="AN8" i="64" s="1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I5" i="64"/>
  <c r="AH5" i="64"/>
  <c r="AF5" i="64"/>
  <c r="AG5" i="64" s="1"/>
  <c r="AD5" i="64"/>
  <c r="Y5" i="64"/>
  <c r="W5" i="64"/>
  <c r="V5" i="64"/>
  <c r="U5" i="64"/>
  <c r="T5" i="64"/>
  <c r="F1" i="64"/>
  <c r="AM24" i="63"/>
  <c r="AK24" i="63"/>
  <c r="AH24" i="63"/>
  <c r="AI24" i="63" s="1"/>
  <c r="AJ24" i="63" s="1"/>
  <c r="AG24" i="63"/>
  <c r="AL24" i="63" s="1"/>
  <c r="AF24" i="63"/>
  <c r="AE24" i="63"/>
  <c r="AD24" i="63"/>
  <c r="Y24" i="63"/>
  <c r="W24" i="63"/>
  <c r="V24" i="63"/>
  <c r="U24" i="63"/>
  <c r="T24" i="63"/>
  <c r="AM23" i="63"/>
  <c r="AK23" i="63"/>
  <c r="AH23" i="63"/>
  <c r="AI23" i="63" s="1"/>
  <c r="AF23" i="63"/>
  <c r="AG23" i="63" s="1"/>
  <c r="AE23" i="63"/>
  <c r="AD23" i="63"/>
  <c r="Y23" i="63"/>
  <c r="W23" i="63"/>
  <c r="V23" i="63"/>
  <c r="U23" i="63"/>
  <c r="T23" i="63"/>
  <c r="AM22" i="63"/>
  <c r="AK22" i="63"/>
  <c r="AI22" i="63"/>
  <c r="AH22" i="63"/>
  <c r="AF22" i="63"/>
  <c r="AG22" i="63" s="1"/>
  <c r="AE22" i="63"/>
  <c r="AD22" i="63"/>
  <c r="Y22" i="63"/>
  <c r="W22" i="63"/>
  <c r="V22" i="63"/>
  <c r="U22" i="63"/>
  <c r="T22" i="63"/>
  <c r="AM21" i="63"/>
  <c r="AK21" i="63"/>
  <c r="AH21" i="63"/>
  <c r="AI21" i="63" s="1"/>
  <c r="AJ21" i="63" s="1"/>
  <c r="AG21" i="63"/>
  <c r="AL21" i="63" s="1"/>
  <c r="AF21" i="63"/>
  <c r="AE21" i="63"/>
  <c r="AD21" i="63"/>
  <c r="Y21" i="63"/>
  <c r="W21" i="63"/>
  <c r="V21" i="63"/>
  <c r="U21" i="63"/>
  <c r="T21" i="63"/>
  <c r="AM20" i="63"/>
  <c r="AK20" i="63"/>
  <c r="AH20" i="63"/>
  <c r="AI20" i="63" s="1"/>
  <c r="AF20" i="63"/>
  <c r="AG20" i="63" s="1"/>
  <c r="AE20" i="63"/>
  <c r="AD20" i="63"/>
  <c r="AN20" i="63" s="1"/>
  <c r="Y20" i="63"/>
  <c r="W20" i="63"/>
  <c r="V20" i="63"/>
  <c r="U20" i="63"/>
  <c r="T20" i="63"/>
  <c r="AM19" i="63"/>
  <c r="AK19" i="63"/>
  <c r="AI19" i="63"/>
  <c r="AH19" i="63"/>
  <c r="AF19" i="63"/>
  <c r="AG19" i="63" s="1"/>
  <c r="AE19" i="63"/>
  <c r="AD19" i="63"/>
  <c r="Y19" i="63"/>
  <c r="W19" i="63"/>
  <c r="V19" i="63"/>
  <c r="U19" i="63"/>
  <c r="T19" i="63"/>
  <c r="AM18" i="63"/>
  <c r="AK18" i="63"/>
  <c r="AH18" i="63"/>
  <c r="AI18" i="63" s="1"/>
  <c r="AJ18" i="63" s="1"/>
  <c r="AG18" i="63"/>
  <c r="AL18" i="63" s="1"/>
  <c r="AF18" i="63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I16" i="63"/>
  <c r="AH16" i="63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H15" i="63"/>
  <c r="AI15" i="63" s="1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I12" i="63"/>
  <c r="AH12" i="63"/>
  <c r="AF12" i="63"/>
  <c r="AG12" i="63" s="1"/>
  <c r="AE12" i="63"/>
  <c r="AD12" i="63"/>
  <c r="AN12" i="63" s="1"/>
  <c r="Y12" i="63"/>
  <c r="W12" i="63"/>
  <c r="V12" i="63"/>
  <c r="U12" i="63"/>
  <c r="T12" i="63"/>
  <c r="A12" i="63"/>
  <c r="AM11" i="63"/>
  <c r="AK11" i="63"/>
  <c r="AH11" i="63"/>
  <c r="AI11" i="63" s="1"/>
  <c r="AF11" i="63"/>
  <c r="AG11" i="63" s="1"/>
  <c r="AE11" i="63"/>
  <c r="AD11" i="63"/>
  <c r="AN11" i="63" s="1"/>
  <c r="Y11" i="63"/>
  <c r="W11" i="63"/>
  <c r="V11" i="63"/>
  <c r="U11" i="63"/>
  <c r="T11" i="63"/>
  <c r="AM10" i="63"/>
  <c r="AK10" i="63"/>
  <c r="AI10" i="63"/>
  <c r="AH10" i="63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AN9" i="63" s="1"/>
  <c r="Y9" i="63"/>
  <c r="W9" i="63"/>
  <c r="V9" i="63"/>
  <c r="U9" i="63"/>
  <c r="T9" i="63"/>
  <c r="AM8" i="63"/>
  <c r="AK8" i="63"/>
  <c r="AI8" i="63"/>
  <c r="AH8" i="63"/>
  <c r="AF8" i="63"/>
  <c r="AG8" i="63" s="1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Y7" i="63"/>
  <c r="W7" i="63"/>
  <c r="V7" i="63"/>
  <c r="U7" i="63"/>
  <c r="T7" i="63"/>
  <c r="AM6" i="63"/>
  <c r="AK6" i="63"/>
  <c r="AI6" i="63"/>
  <c r="AH6" i="63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H5" i="63"/>
  <c r="AI5" i="63" s="1"/>
  <c r="AG5" i="63"/>
  <c r="AF5" i="63"/>
  <c r="AD5" i="63"/>
  <c r="Y5" i="63"/>
  <c r="W5" i="63"/>
  <c r="V5" i="63"/>
  <c r="U5" i="63"/>
  <c r="T5" i="63"/>
  <c r="F1" i="63"/>
  <c r="AM24" i="62"/>
  <c r="AK24" i="62"/>
  <c r="AH24" i="62"/>
  <c r="AI24" i="62" s="1"/>
  <c r="AJ24" i="62" s="1"/>
  <c r="AG24" i="62"/>
  <c r="AL24" i="62" s="1"/>
  <c r="AF24" i="62"/>
  <c r="AE24" i="62"/>
  <c r="AD24" i="62"/>
  <c r="Y24" i="62"/>
  <c r="W24" i="62"/>
  <c r="V24" i="62"/>
  <c r="U24" i="62"/>
  <c r="T24" i="62"/>
  <c r="AM23" i="62"/>
  <c r="AK23" i="62"/>
  <c r="AI23" i="62"/>
  <c r="AH23" i="62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J21" i="62" s="1"/>
  <c r="AG21" i="62"/>
  <c r="AL21" i="62" s="1"/>
  <c r="AF21" i="62"/>
  <c r="AE21" i="62"/>
  <c r="AD21" i="62"/>
  <c r="Y21" i="62"/>
  <c r="W21" i="62"/>
  <c r="V21" i="62"/>
  <c r="U21" i="62"/>
  <c r="T21" i="62"/>
  <c r="AM20" i="62"/>
  <c r="AK20" i="62"/>
  <c r="AI20" i="62"/>
  <c r="AH20" i="62"/>
  <c r="AF20" i="62"/>
  <c r="AG20" i="62" s="1"/>
  <c r="AE20" i="62"/>
  <c r="AD20" i="62"/>
  <c r="Y20" i="62"/>
  <c r="W20" i="62"/>
  <c r="V20" i="62"/>
  <c r="U20" i="62"/>
  <c r="T20" i="62"/>
  <c r="AM19" i="62"/>
  <c r="AK19" i="62"/>
  <c r="AH19" i="62"/>
  <c r="AI19" i="62" s="1"/>
  <c r="AG19" i="62"/>
  <c r="AF19" i="62"/>
  <c r="AE19" i="62"/>
  <c r="AD19" i="62"/>
  <c r="Y19" i="62"/>
  <c r="W19" i="62"/>
  <c r="V19" i="62"/>
  <c r="U19" i="62"/>
  <c r="T19" i="62"/>
  <c r="AM18" i="62"/>
  <c r="AK18" i="62"/>
  <c r="AH18" i="62"/>
  <c r="AI18" i="62" s="1"/>
  <c r="AJ18" i="62" s="1"/>
  <c r="AG18" i="62"/>
  <c r="AL18" i="62" s="1"/>
  <c r="AF18" i="62"/>
  <c r="AE18" i="62"/>
  <c r="AD18" i="62"/>
  <c r="Y18" i="62"/>
  <c r="W18" i="62"/>
  <c r="V18" i="62"/>
  <c r="U18" i="62"/>
  <c r="T18" i="62"/>
  <c r="AM17" i="62"/>
  <c r="AK17" i="62"/>
  <c r="AI17" i="62"/>
  <c r="AH17" i="62"/>
  <c r="AF17" i="62"/>
  <c r="AG17" i="62" s="1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L16" i="62" s="1"/>
  <c r="AF16" i="62"/>
  <c r="AE16" i="62"/>
  <c r="AD16" i="62"/>
  <c r="Y16" i="62"/>
  <c r="W16" i="62"/>
  <c r="V16" i="62"/>
  <c r="U16" i="62"/>
  <c r="T16" i="62"/>
  <c r="A16" i="62"/>
  <c r="AM15" i="62"/>
  <c r="AK15" i="62"/>
  <c r="AH15" i="62"/>
  <c r="AI15" i="62" s="1"/>
  <c r="AF15" i="62"/>
  <c r="AG15" i="62" s="1"/>
  <c r="AE15" i="62"/>
  <c r="AD15" i="62"/>
  <c r="Y15" i="62"/>
  <c r="W15" i="62"/>
  <c r="V15" i="62"/>
  <c r="U15" i="62"/>
  <c r="T15" i="62"/>
  <c r="AM14" i="62"/>
  <c r="AK14" i="62"/>
  <c r="AH14" i="62"/>
  <c r="AI14" i="62" s="1"/>
  <c r="AG14" i="62"/>
  <c r="AF14" i="62"/>
  <c r="AE14" i="62"/>
  <c r="AD14" i="62"/>
  <c r="Y14" i="62"/>
  <c r="W14" i="62"/>
  <c r="V14" i="62"/>
  <c r="U14" i="62"/>
  <c r="T14" i="62"/>
  <c r="A14" i="62"/>
  <c r="AM13" i="62"/>
  <c r="AK13" i="62"/>
  <c r="AH13" i="62"/>
  <c r="AI13" i="62" s="1"/>
  <c r="AF13" i="62"/>
  <c r="AG13" i="62" s="1"/>
  <c r="AE13" i="62"/>
  <c r="AD13" i="62"/>
  <c r="Y13" i="62"/>
  <c r="W13" i="62"/>
  <c r="V13" i="62"/>
  <c r="U13" i="62"/>
  <c r="T13" i="62"/>
  <c r="AM12" i="62"/>
  <c r="AK12" i="62"/>
  <c r="AI12" i="62"/>
  <c r="AH12" i="62"/>
  <c r="AG12" i="62"/>
  <c r="AL12" i="62" s="1"/>
  <c r="AF12" i="62"/>
  <c r="AE12" i="62"/>
  <c r="AD12" i="62"/>
  <c r="Y12" i="62"/>
  <c r="W12" i="62"/>
  <c r="V12" i="62"/>
  <c r="U12" i="62"/>
  <c r="T12" i="62"/>
  <c r="A12" i="62"/>
  <c r="AM11" i="62"/>
  <c r="AK11" i="62"/>
  <c r="AI11" i="62"/>
  <c r="AH11" i="62"/>
  <c r="AF11" i="62"/>
  <c r="AG11" i="62" s="1"/>
  <c r="AE11" i="62"/>
  <c r="AD11" i="62"/>
  <c r="Y11" i="62"/>
  <c r="W11" i="62"/>
  <c r="V11" i="62"/>
  <c r="U11" i="62"/>
  <c r="T11" i="62"/>
  <c r="AM10" i="62"/>
  <c r="AK10" i="62"/>
  <c r="AI10" i="62"/>
  <c r="AH10" i="62"/>
  <c r="AF10" i="62"/>
  <c r="AG10" i="62" s="1"/>
  <c r="AE10" i="62"/>
  <c r="AD10" i="62"/>
  <c r="Y10" i="62"/>
  <c r="W10" i="62"/>
  <c r="V10" i="62"/>
  <c r="U10" i="62"/>
  <c r="T10" i="62"/>
  <c r="A10" i="62"/>
  <c r="AM9" i="62"/>
  <c r="AK9" i="62"/>
  <c r="AI9" i="62"/>
  <c r="AH9" i="62"/>
  <c r="AF9" i="62"/>
  <c r="AG9" i="62" s="1"/>
  <c r="AE9" i="62"/>
  <c r="AD9" i="62"/>
  <c r="Y9" i="62"/>
  <c r="W9" i="62"/>
  <c r="V9" i="62"/>
  <c r="U9" i="62"/>
  <c r="T9" i="62"/>
  <c r="AM8" i="62"/>
  <c r="AK8" i="62"/>
  <c r="AH8" i="62"/>
  <c r="AI8" i="62" s="1"/>
  <c r="AF8" i="62"/>
  <c r="AG8" i="62" s="1"/>
  <c r="AD8" i="62"/>
  <c r="Y8" i="62"/>
  <c r="W8" i="62"/>
  <c r="V8" i="62"/>
  <c r="U8" i="62"/>
  <c r="T8" i="62"/>
  <c r="A8" i="62"/>
  <c r="A20" i="62" s="1"/>
  <c r="AM7" i="62"/>
  <c r="AK7" i="62"/>
  <c r="AH7" i="62"/>
  <c r="AI7" i="62" s="1"/>
  <c r="AJ7" i="62" s="1"/>
  <c r="AG7" i="62"/>
  <c r="AF7" i="62"/>
  <c r="AD7" i="62"/>
  <c r="AN7" i="62" s="1"/>
  <c r="Y7" i="62"/>
  <c r="W7" i="62"/>
  <c r="V7" i="62"/>
  <c r="U7" i="62"/>
  <c r="T7" i="62"/>
  <c r="AM6" i="62"/>
  <c r="AK6" i="62"/>
  <c r="AH6" i="62"/>
  <c r="AI6" i="62" s="1"/>
  <c r="AF6" i="62"/>
  <c r="AG6" i="62" s="1"/>
  <c r="AD6" i="62"/>
  <c r="AN6" i="62" s="1"/>
  <c r="Y6" i="62"/>
  <c r="W6" i="62"/>
  <c r="V6" i="62"/>
  <c r="U6" i="62"/>
  <c r="T6" i="62"/>
  <c r="A6" i="62"/>
  <c r="AM5" i="62"/>
  <c r="AK5" i="62"/>
  <c r="AI5" i="62"/>
  <c r="AH5" i="62"/>
  <c r="AF5" i="62"/>
  <c r="AG5" i="62" s="1"/>
  <c r="AD5" i="62"/>
  <c r="AN5" i="62" s="1"/>
  <c r="Y5" i="62"/>
  <c r="W5" i="62"/>
  <c r="V5" i="62"/>
  <c r="U5" i="62"/>
  <c r="T5" i="62"/>
  <c r="F1" i="62"/>
  <c r="AM24" i="61"/>
  <c r="AK24" i="61"/>
  <c r="AI24" i="61"/>
  <c r="AH24" i="6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F23" i="61"/>
  <c r="AG23" i="61" s="1"/>
  <c r="AE23" i="61"/>
  <c r="AD23" i="61"/>
  <c r="AN23" i="61" s="1"/>
  <c r="Y23" i="61"/>
  <c r="W23" i="61"/>
  <c r="V23" i="61"/>
  <c r="U23" i="61"/>
  <c r="T23" i="61"/>
  <c r="AM22" i="61"/>
  <c r="AK22" i="61"/>
  <c r="AI22" i="61"/>
  <c r="AH22" i="61"/>
  <c r="AF22" i="61"/>
  <c r="AG22" i="61" s="1"/>
  <c r="AE22" i="61"/>
  <c r="AD22" i="61"/>
  <c r="AN22" i="61" s="1"/>
  <c r="Y22" i="61"/>
  <c r="W22" i="61"/>
  <c r="V22" i="61"/>
  <c r="U22" i="61"/>
  <c r="T22" i="61"/>
  <c r="AM21" i="61"/>
  <c r="AK21" i="61"/>
  <c r="AI21" i="61"/>
  <c r="AH21" i="61"/>
  <c r="AF21" i="61"/>
  <c r="AG21" i="61" s="1"/>
  <c r="AE21" i="61"/>
  <c r="AD21" i="61"/>
  <c r="Y21" i="61"/>
  <c r="W21" i="61"/>
  <c r="V21" i="61"/>
  <c r="U21" i="61"/>
  <c r="T21" i="61"/>
  <c r="AM20" i="61"/>
  <c r="AK20" i="61"/>
  <c r="AH20" i="61"/>
  <c r="AI20" i="61" s="1"/>
  <c r="AF20" i="61"/>
  <c r="AG20" i="61" s="1"/>
  <c r="AE20" i="61"/>
  <c r="AD20" i="61"/>
  <c r="AN20" i="61" s="1"/>
  <c r="Y20" i="61"/>
  <c r="W20" i="61"/>
  <c r="V20" i="61"/>
  <c r="U20" i="61"/>
  <c r="T20" i="61"/>
  <c r="AM19" i="61"/>
  <c r="AK19" i="61"/>
  <c r="AI19" i="61"/>
  <c r="AH19" i="61"/>
  <c r="AF19" i="61"/>
  <c r="AG19" i="61" s="1"/>
  <c r="AE19" i="61"/>
  <c r="AD19" i="61"/>
  <c r="Y19" i="61"/>
  <c r="W19" i="61"/>
  <c r="V19" i="61"/>
  <c r="U19" i="61"/>
  <c r="T19" i="61"/>
  <c r="AM18" i="61"/>
  <c r="AK18" i="61"/>
  <c r="AI18" i="61"/>
  <c r="AH18" i="6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AN17" i="61" s="1"/>
  <c r="Y17" i="61"/>
  <c r="W17" i="61"/>
  <c r="V17" i="61"/>
  <c r="U17" i="61"/>
  <c r="T17" i="61"/>
  <c r="AM16" i="61"/>
  <c r="AK16" i="61"/>
  <c r="AH16" i="61"/>
  <c r="AI16" i="61" s="1"/>
  <c r="AF16" i="61"/>
  <c r="AG16" i="61" s="1"/>
  <c r="AE16" i="61"/>
  <c r="AD16" i="61"/>
  <c r="Y16" i="61"/>
  <c r="W16" i="61"/>
  <c r="V16" i="61"/>
  <c r="U16" i="61"/>
  <c r="T16" i="61"/>
  <c r="A16" i="61"/>
  <c r="AM15" i="61"/>
  <c r="AK15" i="61"/>
  <c r="AH15" i="61"/>
  <c r="AI15" i="61" s="1"/>
  <c r="AG15" i="61"/>
  <c r="AF15" i="61"/>
  <c r="AE15" i="61"/>
  <c r="AD15" i="61"/>
  <c r="Y15" i="61"/>
  <c r="W15" i="61"/>
  <c r="V15" i="61"/>
  <c r="U15" i="61"/>
  <c r="T15" i="61"/>
  <c r="AM14" i="61"/>
  <c r="AK14" i="61"/>
  <c r="AI14" i="61"/>
  <c r="AH14" i="61"/>
  <c r="AF14" i="61"/>
  <c r="AG14" i="61" s="1"/>
  <c r="AE14" i="61"/>
  <c r="AD14" i="61"/>
  <c r="AN14" i="61" s="1"/>
  <c r="Y14" i="61"/>
  <c r="W14" i="61"/>
  <c r="V14" i="61"/>
  <c r="U14" i="61"/>
  <c r="T14" i="61"/>
  <c r="A14" i="61"/>
  <c r="AM13" i="61"/>
  <c r="AK13" i="61"/>
  <c r="AH13" i="61"/>
  <c r="AI13" i="61" s="1"/>
  <c r="AG13" i="61"/>
  <c r="AF13" i="61"/>
  <c r="AE13" i="61"/>
  <c r="AD13" i="61"/>
  <c r="AN13" i="61" s="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AN12" i="61" s="1"/>
  <c r="Y12" i="61"/>
  <c r="W12" i="61"/>
  <c r="V12" i="61"/>
  <c r="U12" i="61"/>
  <c r="T12" i="61"/>
  <c r="A12" i="61"/>
  <c r="AM11" i="61"/>
  <c r="AK11" i="61"/>
  <c r="AH11" i="61"/>
  <c r="AI11" i="61" s="1"/>
  <c r="AF11" i="61"/>
  <c r="AG11" i="61" s="1"/>
  <c r="AE11" i="61"/>
  <c r="AD11" i="61"/>
  <c r="Y11" i="61"/>
  <c r="W11" i="61"/>
  <c r="V11" i="61"/>
  <c r="U11" i="61"/>
  <c r="T11" i="61"/>
  <c r="AM10" i="61"/>
  <c r="AK10" i="61"/>
  <c r="AI10" i="61"/>
  <c r="AH10" i="61"/>
  <c r="AF10" i="61"/>
  <c r="AG10" i="61" s="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J9" i="61" s="1"/>
  <c r="AG9" i="61"/>
  <c r="AL9" i="61" s="1"/>
  <c r="AF9" i="61"/>
  <c r="AE9" i="61"/>
  <c r="AD9" i="61"/>
  <c r="Y9" i="61"/>
  <c r="W9" i="61"/>
  <c r="V9" i="61"/>
  <c r="U9" i="61"/>
  <c r="T9" i="61"/>
  <c r="AM8" i="61"/>
  <c r="AK8" i="61"/>
  <c r="AI8" i="61"/>
  <c r="AH8" i="6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H7" i="61"/>
  <c r="AF7" i="61"/>
  <c r="AG7" i="61" s="1"/>
  <c r="AD7" i="61"/>
  <c r="AN7" i="61" s="1"/>
  <c r="Y7" i="61"/>
  <c r="W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U6" i="61"/>
  <c r="T6" i="61"/>
  <c r="A6" i="61"/>
  <c r="AM5" i="61"/>
  <c r="AK5" i="61"/>
  <c r="AI5" i="61"/>
  <c r="AH5" i="61"/>
  <c r="AF5" i="61"/>
  <c r="AG5" i="61" s="1"/>
  <c r="AD5" i="61"/>
  <c r="Y5" i="61"/>
  <c r="W5" i="61"/>
  <c r="V5" i="61"/>
  <c r="U5" i="61"/>
  <c r="T5" i="61"/>
  <c r="F1" i="61"/>
  <c r="AM24" i="60"/>
  <c r="AK24" i="60"/>
  <c r="AH24" i="60"/>
  <c r="AI24" i="60" s="1"/>
  <c r="AG24" i="60"/>
  <c r="AL24" i="60" s="1"/>
  <c r="AF24" i="60"/>
  <c r="AE24" i="60"/>
  <c r="AD24" i="60"/>
  <c r="Y24" i="60"/>
  <c r="V24" i="60"/>
  <c r="T24" i="60"/>
  <c r="AM23" i="60"/>
  <c r="AK23" i="60"/>
  <c r="AI23" i="60"/>
  <c r="AH23" i="60"/>
  <c r="AF23" i="60"/>
  <c r="AG23" i="60" s="1"/>
  <c r="AE23" i="60"/>
  <c r="AD23" i="60"/>
  <c r="Y23" i="60"/>
  <c r="V23" i="60"/>
  <c r="T23" i="60"/>
  <c r="AM22" i="60"/>
  <c r="AK22" i="60"/>
  <c r="AH22" i="60"/>
  <c r="AI22" i="60" s="1"/>
  <c r="AF22" i="60"/>
  <c r="AG22" i="60" s="1"/>
  <c r="AE22" i="60"/>
  <c r="AD22" i="60"/>
  <c r="AN22" i="60" s="1"/>
  <c r="Y22" i="60"/>
  <c r="V22" i="60"/>
  <c r="T22" i="60"/>
  <c r="AM21" i="60"/>
  <c r="AK21" i="60"/>
  <c r="AH21" i="60"/>
  <c r="AI21" i="60" s="1"/>
  <c r="AJ21" i="60" s="1"/>
  <c r="AG21" i="60"/>
  <c r="AL21" i="60" s="1"/>
  <c r="AF21" i="60"/>
  <c r="AE21" i="60"/>
  <c r="AD21" i="60"/>
  <c r="Y21" i="60"/>
  <c r="V21" i="60"/>
  <c r="T21" i="60"/>
  <c r="AM20" i="60"/>
  <c r="AK20" i="60"/>
  <c r="AI20" i="60"/>
  <c r="AH20" i="60"/>
  <c r="AF20" i="60"/>
  <c r="AG20" i="60" s="1"/>
  <c r="AE20" i="60"/>
  <c r="AD20" i="60"/>
  <c r="Y20" i="60"/>
  <c r="V20" i="60"/>
  <c r="T20" i="60"/>
  <c r="AM19" i="60"/>
  <c r="AK19" i="60"/>
  <c r="AH19" i="60"/>
  <c r="AI19" i="60" s="1"/>
  <c r="AF19" i="60"/>
  <c r="AG19" i="60" s="1"/>
  <c r="AE19" i="60"/>
  <c r="AD19" i="60"/>
  <c r="Y19" i="60"/>
  <c r="V19" i="60"/>
  <c r="T19" i="60"/>
  <c r="AM18" i="60"/>
  <c r="AK18" i="60"/>
  <c r="AH18" i="60"/>
  <c r="AI18" i="60" s="1"/>
  <c r="AJ18" i="60" s="1"/>
  <c r="AG18" i="60"/>
  <c r="AL18" i="60" s="1"/>
  <c r="AF18" i="60"/>
  <c r="AE18" i="60"/>
  <c r="AD18" i="60"/>
  <c r="Y18" i="60"/>
  <c r="V18" i="60"/>
  <c r="T18" i="60"/>
  <c r="AM17" i="60"/>
  <c r="AK17" i="60"/>
  <c r="AI17" i="60"/>
  <c r="AH17" i="60"/>
  <c r="AF17" i="60"/>
  <c r="AG17" i="60" s="1"/>
  <c r="AE17" i="60"/>
  <c r="AD17" i="60"/>
  <c r="Y17" i="60"/>
  <c r="V17" i="60"/>
  <c r="T17" i="60"/>
  <c r="AM16" i="60"/>
  <c r="AK16" i="60"/>
  <c r="AH16" i="60"/>
  <c r="AI16" i="60" s="1"/>
  <c r="AF16" i="60"/>
  <c r="AG16" i="60" s="1"/>
  <c r="AE16" i="60"/>
  <c r="AN16" i="60" s="1"/>
  <c r="AD16" i="60"/>
  <c r="Y16" i="60"/>
  <c r="V16" i="60"/>
  <c r="T16" i="60"/>
  <c r="AM15" i="60"/>
  <c r="AN15" i="60" s="1"/>
  <c r="AK15" i="60"/>
  <c r="AH15" i="60"/>
  <c r="AI15" i="60" s="1"/>
  <c r="AJ15" i="60" s="1"/>
  <c r="AG15" i="60"/>
  <c r="AF15" i="60"/>
  <c r="AE15" i="60"/>
  <c r="AD15" i="60"/>
  <c r="Y15" i="60"/>
  <c r="V15" i="60"/>
  <c r="T15" i="60"/>
  <c r="AM14" i="60"/>
  <c r="AK14" i="60"/>
  <c r="AI14" i="60"/>
  <c r="AH14" i="60"/>
  <c r="AF14" i="60"/>
  <c r="AG14" i="60" s="1"/>
  <c r="AE14" i="60"/>
  <c r="AD14" i="60"/>
  <c r="Y14" i="60"/>
  <c r="V14" i="60"/>
  <c r="T14" i="60"/>
  <c r="AM13" i="60"/>
  <c r="AK13" i="60"/>
  <c r="AH13" i="60"/>
  <c r="AI13" i="60" s="1"/>
  <c r="AF13" i="60"/>
  <c r="AG13" i="60" s="1"/>
  <c r="AE13" i="60"/>
  <c r="AD13" i="60"/>
  <c r="Y13" i="60"/>
  <c r="V13" i="60"/>
  <c r="T13" i="60"/>
  <c r="AM12" i="60"/>
  <c r="AK12" i="60"/>
  <c r="AH12" i="60"/>
  <c r="AI12" i="60" s="1"/>
  <c r="AJ12" i="60" s="1"/>
  <c r="AG12" i="60"/>
  <c r="AF12" i="60"/>
  <c r="AE12" i="60"/>
  <c r="AD12" i="60"/>
  <c r="Y12" i="60"/>
  <c r="V12" i="60"/>
  <c r="T12" i="60"/>
  <c r="A12" i="60"/>
  <c r="AM11" i="60"/>
  <c r="AK11" i="60"/>
  <c r="AH11" i="60"/>
  <c r="AI11" i="60" s="1"/>
  <c r="AG11" i="60"/>
  <c r="AJ11" i="60" s="1"/>
  <c r="AF11" i="60"/>
  <c r="AE11" i="60"/>
  <c r="AD11" i="60"/>
  <c r="Y11" i="60"/>
  <c r="V11" i="60"/>
  <c r="T11" i="60"/>
  <c r="AM10" i="60"/>
  <c r="AK10" i="60"/>
  <c r="AI10" i="60"/>
  <c r="AH10" i="60"/>
  <c r="AG10" i="60"/>
  <c r="AL10" i="60" s="1"/>
  <c r="AF10" i="60"/>
  <c r="AE10" i="60"/>
  <c r="AD10" i="60"/>
  <c r="Y10" i="60"/>
  <c r="V10" i="60"/>
  <c r="T10" i="60"/>
  <c r="A10" i="60"/>
  <c r="U14" i="60" s="1"/>
  <c r="AM9" i="60"/>
  <c r="AK9" i="60"/>
  <c r="AI9" i="60"/>
  <c r="AH9" i="60"/>
  <c r="AF9" i="60"/>
  <c r="AG9" i="60" s="1"/>
  <c r="AE9" i="60"/>
  <c r="AD9" i="60"/>
  <c r="Y9" i="60"/>
  <c r="V9" i="60"/>
  <c r="T9" i="60"/>
  <c r="AM8" i="60"/>
  <c r="AN8" i="60" s="1"/>
  <c r="AK8" i="60"/>
  <c r="AH8" i="60"/>
  <c r="AI8" i="60" s="1"/>
  <c r="AG8" i="60"/>
  <c r="AF8" i="60"/>
  <c r="AD8" i="60"/>
  <c r="Y8" i="60"/>
  <c r="V8" i="60"/>
  <c r="T8" i="60"/>
  <c r="AM7" i="60"/>
  <c r="AK7" i="60"/>
  <c r="AH7" i="60"/>
  <c r="AI7" i="60" s="1"/>
  <c r="AF7" i="60"/>
  <c r="AG7" i="60" s="1"/>
  <c r="AD7" i="60"/>
  <c r="AN7" i="60" s="1"/>
  <c r="Y7" i="60"/>
  <c r="V7" i="60"/>
  <c r="T7" i="60"/>
  <c r="AM6" i="60"/>
  <c r="AK6" i="60"/>
  <c r="AF6" i="60"/>
  <c r="AG6" i="60" s="1"/>
  <c r="Y6" i="60"/>
  <c r="V6" i="60"/>
  <c r="T6" i="60"/>
  <c r="AH6" i="60" s="1"/>
  <c r="AI6" i="60" s="1"/>
  <c r="A6" i="60"/>
  <c r="AM5" i="60"/>
  <c r="AK5" i="60"/>
  <c r="AF5" i="60"/>
  <c r="AG5" i="60" s="1"/>
  <c r="Y5" i="60"/>
  <c r="A14" i="60" s="1"/>
  <c r="K34" i="67" s="1"/>
  <c r="V5" i="60"/>
  <c r="T5" i="60"/>
  <c r="AH5" i="60" s="1"/>
  <c r="AI5" i="60" s="1"/>
  <c r="F1" i="60"/>
  <c r="AM24" i="59"/>
  <c r="AK24" i="59"/>
  <c r="AI24" i="59"/>
  <c r="AH24" i="59"/>
  <c r="AF24" i="59"/>
  <c r="AG24" i="59" s="1"/>
  <c r="AE24" i="59"/>
  <c r="AD24" i="59"/>
  <c r="Y24" i="59"/>
  <c r="V24" i="59"/>
  <c r="T24" i="59"/>
  <c r="AM23" i="59"/>
  <c r="AK23" i="59"/>
  <c r="AH23" i="59"/>
  <c r="AI23" i="59" s="1"/>
  <c r="AF23" i="59"/>
  <c r="AG23" i="59" s="1"/>
  <c r="AE23" i="59"/>
  <c r="AD23" i="59"/>
  <c r="AN23" i="59" s="1"/>
  <c r="Y23" i="59"/>
  <c r="V23" i="59"/>
  <c r="T23" i="59"/>
  <c r="AM22" i="59"/>
  <c r="AK22" i="59"/>
  <c r="AH22" i="59"/>
  <c r="AI22" i="59" s="1"/>
  <c r="AF22" i="59"/>
  <c r="AG22" i="59" s="1"/>
  <c r="AE22" i="59"/>
  <c r="AD22" i="59"/>
  <c r="AN22" i="59" s="1"/>
  <c r="Y22" i="59"/>
  <c r="V22" i="59"/>
  <c r="T22" i="59"/>
  <c r="AM21" i="59"/>
  <c r="AK21" i="59"/>
  <c r="AH21" i="59"/>
  <c r="AI21" i="59" s="1"/>
  <c r="AJ21" i="59" s="1"/>
  <c r="AG21" i="59"/>
  <c r="AL21" i="59" s="1"/>
  <c r="AF21" i="59"/>
  <c r="AE21" i="59"/>
  <c r="AD21" i="59"/>
  <c r="AN21" i="59" s="1"/>
  <c r="Y21" i="59"/>
  <c r="V21" i="59"/>
  <c r="T21" i="59"/>
  <c r="AM20" i="59"/>
  <c r="AK20" i="59"/>
  <c r="AI20" i="59"/>
  <c r="AH20" i="59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H18" i="59"/>
  <c r="AI18" i="59" s="1"/>
  <c r="AF18" i="59"/>
  <c r="AG18" i="59" s="1"/>
  <c r="AE18" i="59"/>
  <c r="AD18" i="59"/>
  <c r="Y18" i="59"/>
  <c r="V18" i="59"/>
  <c r="T18" i="59"/>
  <c r="AM17" i="59"/>
  <c r="AK17" i="59"/>
  <c r="AH17" i="59"/>
  <c r="AI17" i="59" s="1"/>
  <c r="AJ17" i="59" s="1"/>
  <c r="AG17" i="59"/>
  <c r="AF17" i="59"/>
  <c r="AE17" i="59"/>
  <c r="AD17" i="59"/>
  <c r="AN17" i="59" s="1"/>
  <c r="Y17" i="59"/>
  <c r="V17" i="59"/>
  <c r="T17" i="59"/>
  <c r="AN16" i="59"/>
  <c r="AM16" i="59"/>
  <c r="AK16" i="59"/>
  <c r="AH16" i="59"/>
  <c r="AI16" i="59" s="1"/>
  <c r="AF16" i="59"/>
  <c r="AG16" i="59" s="1"/>
  <c r="AE16" i="59"/>
  <c r="AD16" i="59"/>
  <c r="Y16" i="59"/>
  <c r="V16" i="59"/>
  <c r="T16" i="59"/>
  <c r="AM15" i="59"/>
  <c r="AK15" i="59"/>
  <c r="AI15" i="59"/>
  <c r="AH15" i="59"/>
  <c r="AF15" i="59"/>
  <c r="AG15" i="59" s="1"/>
  <c r="AE15" i="59"/>
  <c r="AD15" i="59"/>
  <c r="AN15" i="59" s="1"/>
  <c r="Y15" i="59"/>
  <c r="V15" i="59"/>
  <c r="T15" i="59"/>
  <c r="AM14" i="59"/>
  <c r="AK14" i="59"/>
  <c r="AH14" i="59"/>
  <c r="AI14" i="59" s="1"/>
  <c r="AF14" i="59"/>
  <c r="AG14" i="59" s="1"/>
  <c r="AE14" i="59"/>
  <c r="AD14" i="59"/>
  <c r="AN14" i="59" s="1"/>
  <c r="Y14" i="59"/>
  <c r="V14" i="59"/>
  <c r="T14" i="59"/>
  <c r="AM13" i="59"/>
  <c r="AK13" i="59"/>
  <c r="AH13" i="59"/>
  <c r="AI13" i="59" s="1"/>
  <c r="AF13" i="59"/>
  <c r="AG13" i="59" s="1"/>
  <c r="AD13" i="59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H10" i="59"/>
  <c r="AI10" i="59" s="1"/>
  <c r="AF10" i="59"/>
  <c r="AG10" i="59" s="1"/>
  <c r="Y10" i="59"/>
  <c r="W10" i="59"/>
  <c r="V10" i="59"/>
  <c r="T10" i="59"/>
  <c r="AD10" i="59" s="1"/>
  <c r="A10" i="59"/>
  <c r="W17" i="59" s="1"/>
  <c r="AK9" i="59"/>
  <c r="AH9" i="59"/>
  <c r="AI9" i="59" s="1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W6" i="59"/>
  <c r="V6" i="59"/>
  <c r="T6" i="59"/>
  <c r="AD6" i="59" s="1"/>
  <c r="A6" i="59"/>
  <c r="AM5" i="59"/>
  <c r="AK5" i="59"/>
  <c r="AF5" i="59"/>
  <c r="AG5" i="59" s="1"/>
  <c r="Y5" i="59"/>
  <c r="V5" i="59"/>
  <c r="T5" i="59"/>
  <c r="AH5" i="59" s="1"/>
  <c r="AI5" i="59" s="1"/>
  <c r="F1" i="59"/>
  <c r="AM24" i="58"/>
  <c r="AK24" i="58"/>
  <c r="AI24" i="58"/>
  <c r="AH24" i="58"/>
  <c r="AF24" i="58"/>
  <c r="AG24" i="58" s="1"/>
  <c r="AE24" i="58"/>
  <c r="AD24" i="58"/>
  <c r="Y24" i="58"/>
  <c r="V24" i="58"/>
  <c r="T24" i="58"/>
  <c r="AM23" i="58"/>
  <c r="AK23" i="58"/>
  <c r="AH23" i="58"/>
  <c r="AI23" i="58" s="1"/>
  <c r="AF23" i="58"/>
  <c r="AG23" i="58" s="1"/>
  <c r="AE23" i="58"/>
  <c r="AD23" i="58"/>
  <c r="Y23" i="58"/>
  <c r="V23" i="58"/>
  <c r="T23" i="58"/>
  <c r="AM22" i="58"/>
  <c r="AK22" i="58"/>
  <c r="AH22" i="58"/>
  <c r="AI22" i="58" s="1"/>
  <c r="AJ22" i="58" s="1"/>
  <c r="AG22" i="58"/>
  <c r="AF22" i="58"/>
  <c r="AE22" i="58"/>
  <c r="AD22" i="58"/>
  <c r="Y22" i="58"/>
  <c r="V22" i="58"/>
  <c r="T22" i="58"/>
  <c r="AM21" i="58"/>
  <c r="AK21" i="58"/>
  <c r="AH21" i="58"/>
  <c r="AI21" i="58" s="1"/>
  <c r="AF21" i="58"/>
  <c r="AG21" i="58" s="1"/>
  <c r="AE21" i="58"/>
  <c r="AD21" i="58"/>
  <c r="Y21" i="58"/>
  <c r="V21" i="58"/>
  <c r="T21" i="58"/>
  <c r="AM20" i="58"/>
  <c r="AK20" i="58"/>
  <c r="AH20" i="58"/>
  <c r="AI20" i="58" s="1"/>
  <c r="AF20" i="58"/>
  <c r="AG20" i="58" s="1"/>
  <c r="AE20" i="58"/>
  <c r="AD20" i="58"/>
  <c r="Y20" i="58"/>
  <c r="V20" i="58"/>
  <c r="T20" i="58"/>
  <c r="AM19" i="58"/>
  <c r="AK19" i="58"/>
  <c r="AH19" i="58"/>
  <c r="AI19" i="58" s="1"/>
  <c r="AF19" i="58"/>
  <c r="AG19" i="58" s="1"/>
  <c r="AE19" i="58"/>
  <c r="AD19" i="58"/>
  <c r="Y19" i="58"/>
  <c r="V19" i="58"/>
  <c r="T19" i="58"/>
  <c r="AM18" i="58"/>
  <c r="AK18" i="58"/>
  <c r="AH18" i="58"/>
  <c r="AI18" i="58" s="1"/>
  <c r="AF18" i="58"/>
  <c r="AG18" i="58" s="1"/>
  <c r="AE18" i="58"/>
  <c r="AD18" i="58"/>
  <c r="Y18" i="58"/>
  <c r="V18" i="58"/>
  <c r="T18" i="58"/>
  <c r="AM17" i="58"/>
  <c r="AK17" i="58"/>
  <c r="AH17" i="58"/>
  <c r="AI17" i="58" s="1"/>
  <c r="AF17" i="58"/>
  <c r="AG17" i="58" s="1"/>
  <c r="AE17" i="58"/>
  <c r="AD17" i="58"/>
  <c r="Y17" i="58"/>
  <c r="V17" i="58"/>
  <c r="T17" i="58"/>
  <c r="AM16" i="58"/>
  <c r="AK16" i="58"/>
  <c r="AH16" i="58"/>
  <c r="AI16" i="58" s="1"/>
  <c r="AL16" i="58" s="1"/>
  <c r="AG16" i="58"/>
  <c r="AJ16" i="58" s="1"/>
  <c r="AF16" i="58"/>
  <c r="AE16" i="58"/>
  <c r="AD16" i="58"/>
  <c r="Y16" i="58"/>
  <c r="V16" i="58"/>
  <c r="T16" i="58"/>
  <c r="AM15" i="58"/>
  <c r="AK15" i="58"/>
  <c r="AH15" i="58"/>
  <c r="AI15" i="58" s="1"/>
  <c r="AF15" i="58"/>
  <c r="AG15" i="58" s="1"/>
  <c r="AE15" i="58"/>
  <c r="AD15" i="58"/>
  <c r="Y15" i="58"/>
  <c r="V15" i="58"/>
  <c r="T15" i="58"/>
  <c r="AM14" i="58"/>
  <c r="AN14" i="58" s="1"/>
  <c r="AK14" i="58"/>
  <c r="AH14" i="58"/>
  <c r="AI14" i="58" s="1"/>
  <c r="AF14" i="58"/>
  <c r="AG14" i="58" s="1"/>
  <c r="AE14" i="58"/>
  <c r="AD14" i="58"/>
  <c r="Y14" i="58"/>
  <c r="V14" i="58"/>
  <c r="T14" i="58"/>
  <c r="AM13" i="58"/>
  <c r="AK13" i="58"/>
  <c r="AH13" i="58"/>
  <c r="AI13" i="58" s="1"/>
  <c r="AJ13" i="58" s="1"/>
  <c r="AG13" i="58"/>
  <c r="AF13" i="58"/>
  <c r="AE13" i="58"/>
  <c r="AD13" i="58"/>
  <c r="Y13" i="58"/>
  <c r="V13" i="58"/>
  <c r="T13" i="58"/>
  <c r="AM12" i="58"/>
  <c r="AK12" i="58"/>
  <c r="AH12" i="58"/>
  <c r="AI12" i="58" s="1"/>
  <c r="AF12" i="58"/>
  <c r="AG12" i="58" s="1"/>
  <c r="AE12" i="58"/>
  <c r="AD12" i="58"/>
  <c r="Y12" i="58"/>
  <c r="V12" i="58"/>
  <c r="T12" i="58"/>
  <c r="A12" i="58"/>
  <c r="AM11" i="58"/>
  <c r="AK11" i="58"/>
  <c r="AH11" i="58"/>
  <c r="AI11" i="58" s="1"/>
  <c r="AG11" i="58"/>
  <c r="AF11" i="58"/>
  <c r="AE11" i="58"/>
  <c r="AD11" i="58"/>
  <c r="Y11" i="58"/>
  <c r="V11" i="58"/>
  <c r="T11" i="58"/>
  <c r="AM10" i="58"/>
  <c r="AK10" i="58"/>
  <c r="AI10" i="58"/>
  <c r="AH10" i="58"/>
  <c r="AF10" i="58"/>
  <c r="AG10" i="58" s="1"/>
  <c r="AE10" i="58"/>
  <c r="AD10" i="58"/>
  <c r="Y10" i="58"/>
  <c r="V10" i="58"/>
  <c r="T10" i="58"/>
  <c r="A10" i="58"/>
  <c r="W10" i="58" s="1"/>
  <c r="AK9" i="58"/>
  <c r="AF9" i="58"/>
  <c r="AG9" i="58" s="1"/>
  <c r="Y9" i="58"/>
  <c r="V9" i="58"/>
  <c r="T9" i="58"/>
  <c r="AE9" i="58" s="1"/>
  <c r="AM8" i="58"/>
  <c r="AK8" i="58"/>
  <c r="AF8" i="58"/>
  <c r="AG8" i="58" s="1"/>
  <c r="Y8" i="58"/>
  <c r="W8" i="58"/>
  <c r="V8" i="58"/>
  <c r="T8" i="58"/>
  <c r="AH8" i="58" s="1"/>
  <c r="AI8" i="58" s="1"/>
  <c r="AM7" i="58"/>
  <c r="AK7" i="58"/>
  <c r="AF7" i="58"/>
  <c r="AG7" i="58" s="1"/>
  <c r="Y7" i="58"/>
  <c r="W7" i="58"/>
  <c r="V7" i="58"/>
  <c r="U7" i="58"/>
  <c r="T7" i="58"/>
  <c r="AD7" i="58" s="1"/>
  <c r="AK6" i="58"/>
  <c r="AF6" i="58"/>
  <c r="AG6" i="58" s="1"/>
  <c r="Y6" i="58"/>
  <c r="W6" i="58"/>
  <c r="V6" i="58"/>
  <c r="T6" i="58"/>
  <c r="AD6" i="58" s="1"/>
  <c r="A6" i="58"/>
  <c r="AM5" i="58"/>
  <c r="AK5" i="58"/>
  <c r="AH5" i="58"/>
  <c r="AI5" i="58" s="1"/>
  <c r="AF5" i="58"/>
  <c r="AG5" i="58" s="1"/>
  <c r="AD5" i="58"/>
  <c r="Y5" i="58"/>
  <c r="W5" i="58"/>
  <c r="V5" i="58"/>
  <c r="U5" i="58"/>
  <c r="T5" i="58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AD46" i="57"/>
  <c r="Y46" i="57"/>
  <c r="V46" i="57"/>
  <c r="T46" i="57"/>
  <c r="AE46" i="57" s="1"/>
  <c r="AM45" i="57"/>
  <c r="AK45" i="57"/>
  <c r="AF45" i="57"/>
  <c r="AG45" i="57" s="1"/>
  <c r="AE45" i="57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AD36" i="57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G19" i="57"/>
  <c r="AF19" i="57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1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AE10" i="57"/>
  <c r="AD10" i="57"/>
  <c r="Y10" i="57"/>
  <c r="V10" i="57"/>
  <c r="T10" i="57"/>
  <c r="AM10" i="57" s="1"/>
  <c r="A10" i="57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H5" i="57"/>
  <c r="AI5" i="57" s="1"/>
  <c r="AF5" i="57"/>
  <c r="AG5" i="57" s="1"/>
  <c r="Y5" i="57"/>
  <c r="V5" i="57"/>
  <c r="U5" i="57"/>
  <c r="T5" i="57"/>
  <c r="AM5" i="57" s="1"/>
  <c r="F1" i="57"/>
  <c r="AM24" i="56"/>
  <c r="AK24" i="56"/>
  <c r="AH24" i="56"/>
  <c r="AI24" i="56" s="1"/>
  <c r="AG24" i="56"/>
  <c r="AF24" i="56"/>
  <c r="AE24" i="56"/>
  <c r="AD24" i="56"/>
  <c r="Y24" i="56"/>
  <c r="V24" i="56"/>
  <c r="T24" i="56"/>
  <c r="AM23" i="56"/>
  <c r="AL23" i="56"/>
  <c r="AK23" i="56"/>
  <c r="AI23" i="56"/>
  <c r="AH23" i="56"/>
  <c r="AG23" i="56"/>
  <c r="AJ23" i="56" s="1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G21" i="56"/>
  <c r="AF21" i="56"/>
  <c r="AE21" i="56"/>
  <c r="AD21" i="56"/>
  <c r="Y21" i="56"/>
  <c r="V21" i="56"/>
  <c r="T21" i="56"/>
  <c r="AM20" i="56"/>
  <c r="AL20" i="56"/>
  <c r="AK20" i="56"/>
  <c r="AI20" i="56"/>
  <c r="AH20" i="56"/>
  <c r="AG20" i="56"/>
  <c r="AJ20" i="56" s="1"/>
  <c r="AF20" i="56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H18" i="56"/>
  <c r="AI18" i="56" s="1"/>
  <c r="AG18" i="56"/>
  <c r="AF18" i="56"/>
  <c r="AE18" i="56"/>
  <c r="AD18" i="56"/>
  <c r="Y18" i="56"/>
  <c r="V18" i="56"/>
  <c r="T18" i="56"/>
  <c r="AM17" i="56"/>
  <c r="AL17" i="56"/>
  <c r="AK17" i="56"/>
  <c r="AI17" i="56"/>
  <c r="AH17" i="56"/>
  <c r="AG17" i="56"/>
  <c r="AJ17" i="56" s="1"/>
  <c r="AF17" i="56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I15" i="56"/>
  <c r="AH15" i="56"/>
  <c r="AF15" i="56"/>
  <c r="AG15" i="56" s="1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L12" i="56"/>
  <c r="AK12" i="56"/>
  <c r="AJ12" i="56"/>
  <c r="AI12" i="56"/>
  <c r="AH12" i="56"/>
  <c r="AG12" i="56"/>
  <c r="AF12" i="56"/>
  <c r="AE12" i="56"/>
  <c r="AD12" i="56"/>
  <c r="Y12" i="56"/>
  <c r="V12" i="56"/>
  <c r="T12" i="56"/>
  <c r="A12" i="56"/>
  <c r="J29" i="67" s="1"/>
  <c r="AM11" i="56"/>
  <c r="AK11" i="56"/>
  <c r="AH11" i="56"/>
  <c r="AI11" i="56" s="1"/>
  <c r="AF11" i="56"/>
  <c r="AG11" i="56" s="1"/>
  <c r="AE11" i="56"/>
  <c r="AD11" i="56"/>
  <c r="AN11" i="56" s="1"/>
  <c r="Y11" i="56"/>
  <c r="V11" i="56"/>
  <c r="T11" i="56"/>
  <c r="AM10" i="56"/>
  <c r="AK10" i="56"/>
  <c r="AI10" i="56"/>
  <c r="AH10" i="56"/>
  <c r="AG10" i="56"/>
  <c r="AJ10" i="56" s="1"/>
  <c r="AF10" i="56"/>
  <c r="AE10" i="56"/>
  <c r="AD10" i="56"/>
  <c r="AN10" i="56" s="1"/>
  <c r="Y10" i="56"/>
  <c r="V10" i="56"/>
  <c r="U10" i="56"/>
  <c r="T10" i="56"/>
  <c r="A10" i="56"/>
  <c r="W24" i="56" s="1"/>
  <c r="AM9" i="56"/>
  <c r="AK9" i="56"/>
  <c r="AH9" i="56"/>
  <c r="AI9" i="56" s="1"/>
  <c r="AG9" i="56"/>
  <c r="AL9" i="56" s="1"/>
  <c r="AF9" i="56"/>
  <c r="AE9" i="56"/>
  <c r="AD9" i="56"/>
  <c r="Y9" i="56"/>
  <c r="W9" i="56"/>
  <c r="V9" i="56"/>
  <c r="U9" i="56"/>
  <c r="T9" i="56"/>
  <c r="AM8" i="56"/>
  <c r="AK8" i="56"/>
  <c r="AH8" i="56"/>
  <c r="AI8" i="56" s="1"/>
  <c r="AF8" i="56"/>
  <c r="AG8" i="56" s="1"/>
  <c r="AD8" i="56"/>
  <c r="AN8" i="56" s="1"/>
  <c r="Y8" i="56"/>
  <c r="V8" i="56"/>
  <c r="U8" i="56"/>
  <c r="T8" i="56"/>
  <c r="AM7" i="56"/>
  <c r="AK7" i="56"/>
  <c r="AI7" i="56"/>
  <c r="AH7" i="56"/>
  <c r="AG7" i="56"/>
  <c r="AJ7" i="56" s="1"/>
  <c r="AF7" i="56"/>
  <c r="AD7" i="56"/>
  <c r="AN7" i="56" s="1"/>
  <c r="Y7" i="56"/>
  <c r="V7" i="56"/>
  <c r="U7" i="56"/>
  <c r="T7" i="56"/>
  <c r="AM6" i="56"/>
  <c r="AK6" i="56"/>
  <c r="AI6" i="56"/>
  <c r="AH6" i="56"/>
  <c r="AF6" i="56"/>
  <c r="AG6" i="56" s="1"/>
  <c r="AD6" i="56"/>
  <c r="AN6" i="56" s="1"/>
  <c r="Y6" i="56"/>
  <c r="V6" i="56"/>
  <c r="T6" i="56"/>
  <c r="A6" i="56"/>
  <c r="AK5" i="56"/>
  <c r="AF5" i="56"/>
  <c r="AG5" i="56" s="1"/>
  <c r="Y5" i="56"/>
  <c r="A14" i="56" s="1"/>
  <c r="K29" i="67" s="1"/>
  <c r="V5" i="56"/>
  <c r="T5" i="56"/>
  <c r="AM5" i="56" s="1"/>
  <c r="S29" i="67" s="1"/>
  <c r="F1" i="56"/>
  <c r="AM24" i="55"/>
  <c r="AK24" i="55"/>
  <c r="AH24" i="55"/>
  <c r="AI24" i="55" s="1"/>
  <c r="AF24" i="55"/>
  <c r="AG24" i="55" s="1"/>
  <c r="AE24" i="55"/>
  <c r="AD24" i="55"/>
  <c r="Y24" i="55"/>
  <c r="V24" i="55"/>
  <c r="T24" i="55"/>
  <c r="AM23" i="55"/>
  <c r="AK23" i="55"/>
  <c r="AH23" i="55"/>
  <c r="AI23" i="55" s="1"/>
  <c r="AG23" i="55"/>
  <c r="AF23" i="55"/>
  <c r="AE23" i="55"/>
  <c r="AD23" i="55"/>
  <c r="Y23" i="55"/>
  <c r="V23" i="55"/>
  <c r="T23" i="55"/>
  <c r="AM22" i="55"/>
  <c r="AK22" i="55"/>
  <c r="AI22" i="55"/>
  <c r="AH22" i="55"/>
  <c r="AF22" i="55"/>
  <c r="AG22" i="55" s="1"/>
  <c r="AE22" i="55"/>
  <c r="AD22" i="55"/>
  <c r="Y22" i="55"/>
  <c r="V22" i="55"/>
  <c r="T22" i="55"/>
  <c r="AM21" i="55"/>
  <c r="AK21" i="55"/>
  <c r="AH21" i="55"/>
  <c r="AI21" i="55" s="1"/>
  <c r="AF21" i="55"/>
  <c r="AG21" i="55" s="1"/>
  <c r="AE21" i="55"/>
  <c r="AD21" i="55"/>
  <c r="Y21" i="55"/>
  <c r="V21" i="55"/>
  <c r="T21" i="55"/>
  <c r="AM20" i="55"/>
  <c r="AK20" i="55"/>
  <c r="AH20" i="55"/>
  <c r="AI20" i="55" s="1"/>
  <c r="AJ20" i="55" s="1"/>
  <c r="AG20" i="55"/>
  <c r="AF20" i="55"/>
  <c r="AE20" i="55"/>
  <c r="AD20" i="55"/>
  <c r="AN20" i="55" s="1"/>
  <c r="Y20" i="55"/>
  <c r="W20" i="55"/>
  <c r="V20" i="55"/>
  <c r="T20" i="55"/>
  <c r="AM19" i="55"/>
  <c r="AK19" i="55"/>
  <c r="AH19" i="55"/>
  <c r="AI19" i="55" s="1"/>
  <c r="AF19" i="55"/>
  <c r="AG19" i="55" s="1"/>
  <c r="AE19" i="55"/>
  <c r="AD19" i="55"/>
  <c r="Y19" i="55"/>
  <c r="V19" i="55"/>
  <c r="T19" i="55"/>
  <c r="AM18" i="55"/>
  <c r="AK18" i="55"/>
  <c r="AH18" i="55"/>
  <c r="AI18" i="55" s="1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AN17" i="55" s="1"/>
  <c r="Y17" i="55"/>
  <c r="V17" i="55"/>
  <c r="T17" i="55"/>
  <c r="AM16" i="55"/>
  <c r="AK16" i="55"/>
  <c r="AH16" i="55"/>
  <c r="AI16" i="55" s="1"/>
  <c r="AF16" i="55"/>
  <c r="AG16" i="55" s="1"/>
  <c r="AE16" i="55"/>
  <c r="AD16" i="55"/>
  <c r="Y16" i="55"/>
  <c r="V16" i="55"/>
  <c r="T16" i="55"/>
  <c r="AM15" i="55"/>
  <c r="AK15" i="55"/>
  <c r="AH15" i="55"/>
  <c r="AI15" i="55" s="1"/>
  <c r="AJ15" i="55" s="1"/>
  <c r="AG15" i="55"/>
  <c r="AL15" i="55" s="1"/>
  <c r="AF15" i="55"/>
  <c r="AE15" i="55"/>
  <c r="AD15" i="55"/>
  <c r="Y15" i="55"/>
  <c r="V15" i="55"/>
  <c r="T15" i="55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AJ13" i="55" s="1"/>
  <c r="AE13" i="55"/>
  <c r="Y13" i="55"/>
  <c r="V13" i="55"/>
  <c r="U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H11" i="55"/>
  <c r="AI11" i="55" s="1"/>
  <c r="AF11" i="55"/>
  <c r="AG11" i="55" s="1"/>
  <c r="AD11" i="55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H9" i="55"/>
  <c r="AI9" i="55" s="1"/>
  <c r="AF9" i="55"/>
  <c r="AG9" i="55" s="1"/>
  <c r="AJ9" i="55" s="1"/>
  <c r="AE9" i="55"/>
  <c r="AD9" i="55"/>
  <c r="Y9" i="55"/>
  <c r="V9" i="55"/>
  <c r="U9" i="55"/>
  <c r="T9" i="55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AD7" i="55"/>
  <c r="Y7" i="55"/>
  <c r="V7" i="55"/>
  <c r="U7" i="55"/>
  <c r="T7" i="55"/>
  <c r="AH7" i="55" s="1"/>
  <c r="AI7" i="55" s="1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W5" i="55"/>
  <c r="V5" i="55"/>
  <c r="U5" i="55"/>
  <c r="T5" i="55"/>
  <c r="AH5" i="55" s="1"/>
  <c r="AI5" i="55" s="1"/>
  <c r="F1" i="55"/>
  <c r="AM24" i="54"/>
  <c r="AK24" i="54"/>
  <c r="AI24" i="54"/>
  <c r="AH24" i="54"/>
  <c r="AG24" i="54"/>
  <c r="AL24" i="54" s="1"/>
  <c r="AF24" i="54"/>
  <c r="AE24" i="54"/>
  <c r="AD24" i="54"/>
  <c r="Y24" i="54"/>
  <c r="V24" i="54"/>
  <c r="T24" i="54"/>
  <c r="AM23" i="54"/>
  <c r="AK23" i="54"/>
  <c r="AH23" i="54"/>
  <c r="AI23" i="54" s="1"/>
  <c r="AF23" i="54"/>
  <c r="AG23" i="54" s="1"/>
  <c r="AE23" i="54"/>
  <c r="AD23" i="54"/>
  <c r="Y23" i="54"/>
  <c r="V23" i="54"/>
  <c r="T23" i="54"/>
  <c r="AM22" i="54"/>
  <c r="AK22" i="54"/>
  <c r="AI22" i="54"/>
  <c r="AH22" i="54"/>
  <c r="AF22" i="54"/>
  <c r="AG22" i="54" s="1"/>
  <c r="AE22" i="54"/>
  <c r="AD22" i="54"/>
  <c r="Y22" i="54"/>
  <c r="V22" i="54"/>
  <c r="T22" i="54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L20" i="54" s="1"/>
  <c r="AE20" i="54"/>
  <c r="AD20" i="54"/>
  <c r="Y20" i="54"/>
  <c r="V20" i="54"/>
  <c r="T20" i="54"/>
  <c r="AM19" i="54"/>
  <c r="AK19" i="54"/>
  <c r="AI19" i="54"/>
  <c r="AH19" i="54"/>
  <c r="AF19" i="54"/>
  <c r="AG19" i="54" s="1"/>
  <c r="AE19" i="54"/>
  <c r="AD19" i="54"/>
  <c r="Y19" i="54"/>
  <c r="V19" i="54"/>
  <c r="T19" i="54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L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E16" i="54"/>
  <c r="AD16" i="54"/>
  <c r="Y16" i="54"/>
  <c r="V16" i="54"/>
  <c r="T16" i="54"/>
  <c r="AM15" i="54"/>
  <c r="AK15" i="54"/>
  <c r="AH15" i="54"/>
  <c r="AI15" i="54" s="1"/>
  <c r="AG15" i="54"/>
  <c r="AF15" i="54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H13" i="54"/>
  <c r="AI13" i="54" s="1"/>
  <c r="AF13" i="54"/>
  <c r="AG13" i="54" s="1"/>
  <c r="AE13" i="54"/>
  <c r="AD13" i="54"/>
  <c r="Y13" i="54"/>
  <c r="V13" i="54"/>
  <c r="T13" i="54"/>
  <c r="AM12" i="54"/>
  <c r="AK12" i="54"/>
  <c r="AI12" i="54"/>
  <c r="AH12" i="54"/>
  <c r="AF12" i="54"/>
  <c r="AG12" i="54" s="1"/>
  <c r="AE12" i="54"/>
  <c r="AD12" i="54"/>
  <c r="AN12" i="54" s="1"/>
  <c r="Y12" i="54"/>
  <c r="V12" i="54"/>
  <c r="T12" i="54"/>
  <c r="A12" i="54"/>
  <c r="J27" i="67" s="1"/>
  <c r="AM11" i="54"/>
  <c r="AK11" i="54"/>
  <c r="AH11" i="54"/>
  <c r="AI11" i="54" s="1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H9" i="54"/>
  <c r="AI9" i="54" s="1"/>
  <c r="AF9" i="54"/>
  <c r="AG9" i="54" s="1"/>
  <c r="AJ9" i="54" s="1"/>
  <c r="AE9" i="54"/>
  <c r="Y9" i="54"/>
  <c r="V9" i="54"/>
  <c r="T9" i="54"/>
  <c r="AM9" i="54" s="1"/>
  <c r="AK8" i="54"/>
  <c r="AG8" i="54"/>
  <c r="AF8" i="54"/>
  <c r="Y8" i="54"/>
  <c r="V8" i="54"/>
  <c r="T8" i="54"/>
  <c r="AM8" i="54" s="1"/>
  <c r="AM7" i="54"/>
  <c r="AK7" i="54"/>
  <c r="AF7" i="54"/>
  <c r="AG7" i="54" s="1"/>
  <c r="AD7" i="54"/>
  <c r="Y7" i="54"/>
  <c r="V7" i="54"/>
  <c r="T7" i="54"/>
  <c r="AH7" i="54" s="1"/>
  <c r="AI7" i="54" s="1"/>
  <c r="AK6" i="54"/>
  <c r="AH6" i="54"/>
  <c r="AI6" i="54" s="1"/>
  <c r="AF6" i="54"/>
  <c r="AG6" i="54" s="1"/>
  <c r="Y6" i="54"/>
  <c r="V6" i="54"/>
  <c r="T6" i="54"/>
  <c r="AD6" i="54" s="1"/>
  <c r="A6" i="54"/>
  <c r="AK5" i="54"/>
  <c r="AF5" i="54"/>
  <c r="AG5" i="54" s="1"/>
  <c r="Y5" i="54"/>
  <c r="A14" i="54" s="1"/>
  <c r="K27" i="67" s="1"/>
  <c r="V5" i="54"/>
  <c r="T5" i="54"/>
  <c r="AH5" i="54" s="1"/>
  <c r="AI5" i="54" s="1"/>
  <c r="F1" i="54"/>
  <c r="AM24" i="73"/>
  <c r="AK24" i="73"/>
  <c r="AJ24" i="73"/>
  <c r="AI24" i="73"/>
  <c r="AH24" i="73"/>
  <c r="AG24" i="73"/>
  <c r="AL24" i="73" s="1"/>
  <c r="AF24" i="73"/>
  <c r="AE24" i="73"/>
  <c r="AD24" i="73"/>
  <c r="AN24" i="73" s="1"/>
  <c r="Y24" i="73"/>
  <c r="V24" i="73"/>
  <c r="T24" i="73"/>
  <c r="AM23" i="73"/>
  <c r="AK23" i="73"/>
  <c r="AI23" i="73"/>
  <c r="AH23" i="73"/>
  <c r="AF23" i="73"/>
  <c r="AG23" i="73" s="1"/>
  <c r="AE23" i="73"/>
  <c r="AD23" i="73"/>
  <c r="AN23" i="73" s="1"/>
  <c r="Y23" i="73"/>
  <c r="V23" i="73"/>
  <c r="T23" i="73"/>
  <c r="AM22" i="73"/>
  <c r="AK22" i="73"/>
  <c r="AH22" i="73"/>
  <c r="AI22" i="73" s="1"/>
  <c r="AF22" i="73"/>
  <c r="AG22" i="73" s="1"/>
  <c r="AE22" i="73"/>
  <c r="AD22" i="73"/>
  <c r="Y22" i="73"/>
  <c r="V22" i="73"/>
  <c r="T22" i="73"/>
  <c r="AM21" i="73"/>
  <c r="AK21" i="73"/>
  <c r="AJ21" i="73"/>
  <c r="AI21" i="73"/>
  <c r="AH21" i="73"/>
  <c r="AG21" i="73"/>
  <c r="AL21" i="73" s="1"/>
  <c r="AF21" i="73"/>
  <c r="AE21" i="73"/>
  <c r="AD21" i="73"/>
  <c r="Y21" i="73"/>
  <c r="V21" i="73"/>
  <c r="U21" i="73"/>
  <c r="T21" i="73"/>
  <c r="AM20" i="73"/>
  <c r="AK20" i="73"/>
  <c r="AI20" i="73"/>
  <c r="AH20" i="73"/>
  <c r="AF20" i="73"/>
  <c r="AG20" i="73" s="1"/>
  <c r="AE20" i="73"/>
  <c r="AD20" i="73"/>
  <c r="Y20" i="73"/>
  <c r="V20" i="73"/>
  <c r="U20" i="73"/>
  <c r="T20" i="73"/>
  <c r="AM19" i="73"/>
  <c r="AK19" i="73"/>
  <c r="AH19" i="73"/>
  <c r="AI19" i="73" s="1"/>
  <c r="AF19" i="73"/>
  <c r="AG19" i="73" s="1"/>
  <c r="AE19" i="73"/>
  <c r="AD19" i="73"/>
  <c r="Y19" i="73"/>
  <c r="W19" i="73"/>
  <c r="V19" i="73"/>
  <c r="T19" i="73"/>
  <c r="AM18" i="73"/>
  <c r="AK18" i="73"/>
  <c r="AJ18" i="73"/>
  <c r="AI18" i="73"/>
  <c r="AH18" i="73"/>
  <c r="AG18" i="73"/>
  <c r="AL18" i="73" s="1"/>
  <c r="AF18" i="73"/>
  <c r="AE18" i="73"/>
  <c r="AD18" i="73"/>
  <c r="Y18" i="73"/>
  <c r="W18" i="73"/>
  <c r="V18" i="73"/>
  <c r="T18" i="73"/>
  <c r="AM17" i="73"/>
  <c r="AK17" i="73"/>
  <c r="AI17" i="73"/>
  <c r="AH17" i="73"/>
  <c r="AF17" i="73"/>
  <c r="AG17" i="73" s="1"/>
  <c r="AE17" i="73"/>
  <c r="AD17" i="73"/>
  <c r="Y17" i="73"/>
  <c r="W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W16" i="73"/>
  <c r="V16" i="73"/>
  <c r="U16" i="73"/>
  <c r="T16" i="73"/>
  <c r="AM15" i="73"/>
  <c r="AK15" i="73"/>
  <c r="AH15" i="73"/>
  <c r="AI15" i="73" s="1"/>
  <c r="AF15" i="73"/>
  <c r="AG15" i="73" s="1"/>
  <c r="AE15" i="73"/>
  <c r="AD15" i="73"/>
  <c r="Y15" i="73"/>
  <c r="W15" i="73"/>
  <c r="V15" i="73"/>
  <c r="U15" i="73"/>
  <c r="T15" i="73"/>
  <c r="AM14" i="73"/>
  <c r="AK14" i="73"/>
  <c r="AH14" i="73"/>
  <c r="AI14" i="73" s="1"/>
  <c r="AG14" i="73"/>
  <c r="AF14" i="73"/>
  <c r="AE14" i="73"/>
  <c r="AD14" i="73"/>
  <c r="Y14" i="73"/>
  <c r="W14" i="73"/>
  <c r="V14" i="73"/>
  <c r="U14" i="73"/>
  <c r="T14" i="73"/>
  <c r="AM13" i="73"/>
  <c r="AK13" i="73"/>
  <c r="AH13" i="73"/>
  <c r="AI13" i="73" s="1"/>
  <c r="AG13" i="73"/>
  <c r="AF13" i="73"/>
  <c r="AE13" i="73"/>
  <c r="AD13" i="73"/>
  <c r="Y13" i="73"/>
  <c r="W13" i="73"/>
  <c r="V13" i="73"/>
  <c r="T13" i="73"/>
  <c r="AM12" i="73"/>
  <c r="AL12" i="73"/>
  <c r="AK12" i="73"/>
  <c r="AI12" i="73"/>
  <c r="AH12" i="73"/>
  <c r="AG12" i="73"/>
  <c r="AJ12" i="73" s="1"/>
  <c r="AF12" i="73"/>
  <c r="AE12" i="73"/>
  <c r="AD12" i="73"/>
  <c r="Y12" i="73"/>
  <c r="V12" i="73"/>
  <c r="U12" i="73"/>
  <c r="T12" i="73"/>
  <c r="A12" i="73"/>
  <c r="AM11" i="73"/>
  <c r="AK11" i="73"/>
  <c r="AH11" i="73"/>
  <c r="AI11" i="73" s="1"/>
  <c r="AF11" i="73"/>
  <c r="AG11" i="73" s="1"/>
  <c r="AE11" i="73"/>
  <c r="AD11" i="73"/>
  <c r="AN11" i="73" s="1"/>
  <c r="Y11" i="73"/>
  <c r="W11" i="73"/>
  <c r="V11" i="73"/>
  <c r="U11" i="73"/>
  <c r="T11" i="73"/>
  <c r="AM10" i="73"/>
  <c r="AK10" i="73"/>
  <c r="AI10" i="73"/>
  <c r="AH10" i="73"/>
  <c r="AF10" i="73"/>
  <c r="AG10" i="73" s="1"/>
  <c r="AE10" i="73"/>
  <c r="AD10" i="73"/>
  <c r="Y10" i="73"/>
  <c r="W10" i="73"/>
  <c r="V10" i="73"/>
  <c r="U10" i="73"/>
  <c r="T10" i="73"/>
  <c r="A10" i="73"/>
  <c r="W22" i="73" s="1"/>
  <c r="AM9" i="73"/>
  <c r="AK9" i="73"/>
  <c r="AI9" i="73"/>
  <c r="AH9" i="73"/>
  <c r="AG9" i="73"/>
  <c r="AL9" i="73" s="1"/>
  <c r="AF9" i="73"/>
  <c r="AE9" i="73"/>
  <c r="AD9" i="73"/>
  <c r="AN9" i="73" s="1"/>
  <c r="Y9" i="73"/>
  <c r="W9" i="73"/>
  <c r="V9" i="73"/>
  <c r="U9" i="73"/>
  <c r="T9" i="73"/>
  <c r="AM8" i="73"/>
  <c r="AK8" i="73"/>
  <c r="AH8" i="73"/>
  <c r="AI8" i="73" s="1"/>
  <c r="AF8" i="73"/>
  <c r="AG8" i="73" s="1"/>
  <c r="AD8" i="73"/>
  <c r="Y8" i="73"/>
  <c r="W8" i="73"/>
  <c r="V8" i="73"/>
  <c r="U8" i="73"/>
  <c r="T8" i="73"/>
  <c r="AM7" i="73"/>
  <c r="AK7" i="73"/>
  <c r="AI7" i="73"/>
  <c r="AH7" i="73"/>
  <c r="AF7" i="73"/>
  <c r="AG7" i="73" s="1"/>
  <c r="AD7" i="73"/>
  <c r="AN7" i="73" s="1"/>
  <c r="Y7" i="73"/>
  <c r="W7" i="73"/>
  <c r="V7" i="73"/>
  <c r="U7" i="73"/>
  <c r="T7" i="73"/>
  <c r="AK6" i="73"/>
  <c r="AF6" i="73"/>
  <c r="AG6" i="73" s="1"/>
  <c r="Y6" i="73"/>
  <c r="W6" i="73"/>
  <c r="V6" i="73"/>
  <c r="T6" i="73"/>
  <c r="AH6" i="73" s="1"/>
  <c r="AI6" i="73" s="1"/>
  <c r="A6" i="73"/>
  <c r="AK5" i="73"/>
  <c r="AF5" i="73"/>
  <c r="AG5" i="73" s="1"/>
  <c r="Y5" i="73"/>
  <c r="A14" i="73" s="1"/>
  <c r="K26" i="67" s="1"/>
  <c r="W5" i="73"/>
  <c r="V5" i="73"/>
  <c r="T5" i="73"/>
  <c r="AH5" i="73" s="1"/>
  <c r="AI5" i="73" s="1"/>
  <c r="F1" i="73"/>
  <c r="AM24" i="71"/>
  <c r="AK24" i="71"/>
  <c r="AH24" i="71"/>
  <c r="AI24" i="71" s="1"/>
  <c r="AG24" i="71"/>
  <c r="AL24" i="71" s="1"/>
  <c r="AF24" i="71"/>
  <c r="AE24" i="71"/>
  <c r="AD24" i="71"/>
  <c r="Y24" i="71"/>
  <c r="V24" i="71"/>
  <c r="T24" i="71"/>
  <c r="AM23" i="71"/>
  <c r="AK23" i="71"/>
  <c r="AJ23" i="71"/>
  <c r="AI23" i="71"/>
  <c r="AH23" i="71"/>
  <c r="AG23" i="71"/>
  <c r="AL23" i="71" s="1"/>
  <c r="AF23" i="71"/>
  <c r="AE23" i="71"/>
  <c r="AD23" i="71"/>
  <c r="Y23" i="71"/>
  <c r="V23" i="71"/>
  <c r="T23" i="71"/>
  <c r="AM22" i="71"/>
  <c r="AK22" i="71"/>
  <c r="AI22" i="71"/>
  <c r="AH22" i="71"/>
  <c r="AF22" i="71"/>
  <c r="AG22" i="71" s="1"/>
  <c r="AE22" i="71"/>
  <c r="AD22" i="71"/>
  <c r="AN22" i="71" s="1"/>
  <c r="Y22" i="71"/>
  <c r="V22" i="71"/>
  <c r="T22" i="71"/>
  <c r="AM21" i="71"/>
  <c r="AK21" i="71"/>
  <c r="AH21" i="71"/>
  <c r="AI21" i="71" s="1"/>
  <c r="AF21" i="71"/>
  <c r="AG21" i="71" s="1"/>
  <c r="AE21" i="71"/>
  <c r="AD21" i="71"/>
  <c r="AN21" i="71" s="1"/>
  <c r="Y21" i="71"/>
  <c r="V21" i="71"/>
  <c r="T21" i="71"/>
  <c r="AM20" i="71"/>
  <c r="AK20" i="71"/>
  <c r="AH20" i="71"/>
  <c r="AI20" i="71" s="1"/>
  <c r="AF20" i="71"/>
  <c r="AG20" i="71" s="1"/>
  <c r="AE20" i="71"/>
  <c r="AD20" i="71"/>
  <c r="AN20" i="71" s="1"/>
  <c r="Y20" i="71"/>
  <c r="V20" i="71"/>
  <c r="T20" i="71"/>
  <c r="AM19" i="71"/>
  <c r="AK19" i="71"/>
  <c r="AH19" i="71"/>
  <c r="AI19" i="71" s="1"/>
  <c r="AG19" i="71"/>
  <c r="AF19" i="71"/>
  <c r="AE19" i="71"/>
  <c r="AD19" i="71"/>
  <c r="Y19" i="71"/>
  <c r="V19" i="71"/>
  <c r="T19" i="71"/>
  <c r="AM18" i="71"/>
  <c r="AK18" i="71"/>
  <c r="AJ18" i="71"/>
  <c r="AI18" i="71"/>
  <c r="AH18" i="71"/>
  <c r="AG18" i="71"/>
  <c r="AL18" i="71" s="1"/>
  <c r="AF18" i="71"/>
  <c r="AE18" i="71"/>
  <c r="AD18" i="71"/>
  <c r="Y18" i="71"/>
  <c r="V18" i="71"/>
  <c r="T18" i="71"/>
  <c r="AM17" i="71"/>
  <c r="AK17" i="71"/>
  <c r="AI17" i="71"/>
  <c r="AH17" i="71"/>
  <c r="AF17" i="71"/>
  <c r="AG17" i="71" s="1"/>
  <c r="AE17" i="71"/>
  <c r="AD17" i="71"/>
  <c r="Y17" i="71"/>
  <c r="V17" i="71"/>
  <c r="T17" i="71"/>
  <c r="AM16" i="71"/>
  <c r="AK16" i="71"/>
  <c r="AH16" i="71"/>
  <c r="AI16" i="71" s="1"/>
  <c r="AF16" i="71"/>
  <c r="AG16" i="71" s="1"/>
  <c r="AE16" i="71"/>
  <c r="AD16" i="71"/>
  <c r="AN16" i="71" s="1"/>
  <c r="Y16" i="71"/>
  <c r="V16" i="71"/>
  <c r="T16" i="71"/>
  <c r="AM15" i="71"/>
  <c r="AK15" i="71"/>
  <c r="AH15" i="71"/>
  <c r="AI15" i="71" s="1"/>
  <c r="AF15" i="71"/>
  <c r="AG15" i="71" s="1"/>
  <c r="AE15" i="71"/>
  <c r="AD15" i="71"/>
  <c r="AN15" i="71" s="1"/>
  <c r="Y15" i="71"/>
  <c r="V15" i="71"/>
  <c r="T15" i="71"/>
  <c r="AM14" i="71"/>
  <c r="AK14" i="71"/>
  <c r="AH14" i="71"/>
  <c r="AI14" i="71" s="1"/>
  <c r="AG14" i="71"/>
  <c r="AL14" i="71" s="1"/>
  <c r="AF14" i="71"/>
  <c r="AE14" i="71"/>
  <c r="AD14" i="71"/>
  <c r="Y14" i="71"/>
  <c r="V14" i="71"/>
  <c r="T14" i="71"/>
  <c r="AM13" i="71"/>
  <c r="AK13" i="71"/>
  <c r="AI13" i="71"/>
  <c r="AH13" i="71"/>
  <c r="AF13" i="71"/>
  <c r="AG13" i="71" s="1"/>
  <c r="AE13" i="71"/>
  <c r="AD13" i="71"/>
  <c r="Y13" i="71"/>
  <c r="V13" i="71"/>
  <c r="T13" i="71"/>
  <c r="AM12" i="71"/>
  <c r="AK12" i="71"/>
  <c r="AI12" i="71"/>
  <c r="AH12" i="71"/>
  <c r="AF12" i="71"/>
  <c r="AG12" i="71" s="1"/>
  <c r="AE12" i="71"/>
  <c r="AD12" i="71"/>
  <c r="Y12" i="71"/>
  <c r="V12" i="71"/>
  <c r="T12" i="71"/>
  <c r="A12" i="71"/>
  <c r="AM11" i="71"/>
  <c r="AK11" i="71"/>
  <c r="AI11" i="71"/>
  <c r="AH11" i="7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AN10" i="71" s="1"/>
  <c r="Y10" i="71"/>
  <c r="V10" i="71"/>
  <c r="T10" i="71"/>
  <c r="A10" i="71"/>
  <c r="W10" i="71" s="1"/>
  <c r="AM9" i="71"/>
  <c r="AK9" i="71"/>
  <c r="AH9" i="71"/>
  <c r="AI9" i="71" s="1"/>
  <c r="AG9" i="71"/>
  <c r="AL9" i="71" s="1"/>
  <c r="AF9" i="71"/>
  <c r="AE9" i="71"/>
  <c r="AD9" i="71"/>
  <c r="AN9" i="71" s="1"/>
  <c r="Y9" i="71"/>
  <c r="V9" i="71"/>
  <c r="T9" i="71"/>
  <c r="AM8" i="71"/>
  <c r="AK8" i="71"/>
  <c r="AH8" i="71"/>
  <c r="AI8" i="71" s="1"/>
  <c r="AG8" i="71"/>
  <c r="AF8" i="71"/>
  <c r="AD8" i="71"/>
  <c r="AN8" i="71" s="1"/>
  <c r="Y8" i="71"/>
  <c r="V8" i="71"/>
  <c r="T8" i="71"/>
  <c r="AM7" i="71"/>
  <c r="AK7" i="71"/>
  <c r="AI7" i="71"/>
  <c r="AH7" i="71"/>
  <c r="AF7" i="71"/>
  <c r="AG7" i="71" s="1"/>
  <c r="AD7" i="71"/>
  <c r="Y7" i="71"/>
  <c r="W7" i="71"/>
  <c r="V7" i="71"/>
  <c r="T7" i="71"/>
  <c r="AM6" i="71"/>
  <c r="AK6" i="71"/>
  <c r="AF6" i="71"/>
  <c r="AG6" i="71" s="1"/>
  <c r="AD6" i="71"/>
  <c r="Y6" i="71"/>
  <c r="V6" i="71"/>
  <c r="U6" i="71"/>
  <c r="T6" i="71"/>
  <c r="AH6" i="71" s="1"/>
  <c r="AI6" i="71" s="1"/>
  <c r="A6" i="71"/>
  <c r="AM5" i="71"/>
  <c r="AK5" i="71"/>
  <c r="AH5" i="71"/>
  <c r="AI5" i="71" s="1"/>
  <c r="AF5" i="71"/>
  <c r="AG5" i="71" s="1"/>
  <c r="AD5" i="71"/>
  <c r="Y5" i="71"/>
  <c r="A14" i="71" s="1"/>
  <c r="K25" i="67" s="1"/>
  <c r="V5" i="71"/>
  <c r="T5" i="71"/>
  <c r="F1" i="71"/>
  <c r="AM55" i="53"/>
  <c r="AL55" i="53"/>
  <c r="AK55" i="53"/>
  <c r="AJ55" i="53"/>
  <c r="AI55" i="53"/>
  <c r="AH55" i="53"/>
  <c r="AG55" i="53"/>
  <c r="AF55" i="53"/>
  <c r="AE55" i="53"/>
  <c r="AD55" i="53"/>
  <c r="Y55" i="53"/>
  <c r="V55" i="53"/>
  <c r="T55" i="53"/>
  <c r="AM54" i="53"/>
  <c r="AK54" i="53"/>
  <c r="AH54" i="53"/>
  <c r="AI54" i="53" s="1"/>
  <c r="AG54" i="53"/>
  <c r="AF54" i="53"/>
  <c r="AE54" i="53"/>
  <c r="AD54" i="53"/>
  <c r="Y54" i="53"/>
  <c r="V54" i="53"/>
  <c r="T54" i="53"/>
  <c r="AM53" i="53"/>
  <c r="AK53" i="53"/>
  <c r="AI53" i="53"/>
  <c r="AH53" i="53"/>
  <c r="AF53" i="53"/>
  <c r="AG53" i="53" s="1"/>
  <c r="AE53" i="53"/>
  <c r="AD53" i="53"/>
  <c r="Y53" i="53"/>
  <c r="V53" i="53"/>
  <c r="T53" i="53"/>
  <c r="AM52" i="53"/>
  <c r="AK52" i="53"/>
  <c r="AH52" i="53"/>
  <c r="AI52" i="53" s="1"/>
  <c r="AJ52" i="53" s="1"/>
  <c r="AG52" i="53"/>
  <c r="AL52" i="53" s="1"/>
  <c r="AF52" i="53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H50" i="53"/>
  <c r="AI50" i="53" s="1"/>
  <c r="AF50" i="53"/>
  <c r="AG50" i="53" s="1"/>
  <c r="AE50" i="53"/>
  <c r="AD50" i="53"/>
  <c r="Y50" i="53"/>
  <c r="V50" i="53"/>
  <c r="T50" i="53"/>
  <c r="AM49" i="53"/>
  <c r="AK49" i="53"/>
  <c r="AH49" i="53"/>
  <c r="AI49" i="53" s="1"/>
  <c r="AF49" i="53"/>
  <c r="AG49" i="53" s="1"/>
  <c r="AE49" i="53"/>
  <c r="AD49" i="53"/>
  <c r="AN49" i="53" s="1"/>
  <c r="Y49" i="53"/>
  <c r="V49" i="53"/>
  <c r="T49" i="53"/>
  <c r="AM48" i="53"/>
  <c r="AK48" i="53"/>
  <c r="AI48" i="53"/>
  <c r="AH48" i="53"/>
  <c r="AF48" i="53"/>
  <c r="AG48" i="53" s="1"/>
  <c r="AE48" i="53"/>
  <c r="AD48" i="53"/>
  <c r="Y48" i="53"/>
  <c r="V48" i="53"/>
  <c r="T48" i="53"/>
  <c r="AM47" i="53"/>
  <c r="AK47" i="53"/>
  <c r="AH47" i="53"/>
  <c r="AI47" i="53" s="1"/>
  <c r="AJ47" i="53" s="1"/>
  <c r="AG47" i="53"/>
  <c r="AF47" i="53"/>
  <c r="AE47" i="53"/>
  <c r="AD47" i="53"/>
  <c r="Y47" i="53"/>
  <c r="V47" i="53"/>
  <c r="T47" i="53"/>
  <c r="AM46" i="53"/>
  <c r="AL46" i="53"/>
  <c r="AK46" i="53"/>
  <c r="AJ46" i="53"/>
  <c r="AI46" i="53"/>
  <c r="AH46" i="53"/>
  <c r="AG46" i="53"/>
  <c r="AF46" i="53"/>
  <c r="AE46" i="53"/>
  <c r="AD46" i="53"/>
  <c r="Y46" i="53"/>
  <c r="V46" i="53"/>
  <c r="T46" i="53"/>
  <c r="AM45" i="53"/>
  <c r="AK45" i="53"/>
  <c r="AH45" i="53"/>
  <c r="AI45" i="53" s="1"/>
  <c r="AF45" i="53"/>
  <c r="AG45" i="53" s="1"/>
  <c r="AE45" i="53"/>
  <c r="AD45" i="53"/>
  <c r="Y45" i="53"/>
  <c r="V45" i="53"/>
  <c r="T45" i="53"/>
  <c r="AM44" i="53"/>
  <c r="AK44" i="53"/>
  <c r="AH44" i="53"/>
  <c r="AI44" i="53" s="1"/>
  <c r="AF44" i="53"/>
  <c r="AG44" i="53" s="1"/>
  <c r="AE44" i="53"/>
  <c r="AD44" i="53"/>
  <c r="Y44" i="53"/>
  <c r="V44" i="53"/>
  <c r="T44" i="53"/>
  <c r="AM43" i="53"/>
  <c r="AK43" i="53"/>
  <c r="AH43" i="53"/>
  <c r="AI43" i="53" s="1"/>
  <c r="AG43" i="53"/>
  <c r="AL43" i="53" s="1"/>
  <c r="AF43" i="53"/>
  <c r="AE43" i="53"/>
  <c r="AD43" i="53"/>
  <c r="Y43" i="53"/>
  <c r="V43" i="53"/>
  <c r="T43" i="53"/>
  <c r="AM42" i="53"/>
  <c r="AK42" i="53"/>
  <c r="AH42" i="53"/>
  <c r="AI42" i="53" s="1"/>
  <c r="AF42" i="53"/>
  <c r="AG42" i="53" s="1"/>
  <c r="AE42" i="53"/>
  <c r="AD42" i="53"/>
  <c r="Y42" i="53"/>
  <c r="V42" i="53"/>
  <c r="T42" i="53"/>
  <c r="AM41" i="53"/>
  <c r="AK41" i="53"/>
  <c r="AH41" i="53"/>
  <c r="AI41" i="53" s="1"/>
  <c r="AG41" i="53"/>
  <c r="AF41" i="53"/>
  <c r="AE41" i="53"/>
  <c r="AD41" i="53"/>
  <c r="Y41" i="53"/>
  <c r="V41" i="53"/>
  <c r="T41" i="53"/>
  <c r="AM40" i="53"/>
  <c r="AK40" i="53"/>
  <c r="AI40" i="53"/>
  <c r="AH40" i="53"/>
  <c r="AF40" i="53"/>
  <c r="AG40" i="53" s="1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H38" i="53"/>
  <c r="AI38" i="53" s="1"/>
  <c r="AG38" i="53"/>
  <c r="AF38" i="53"/>
  <c r="AE38" i="53"/>
  <c r="AD38" i="53"/>
  <c r="Y38" i="53"/>
  <c r="V38" i="53"/>
  <c r="T38" i="53"/>
  <c r="AM37" i="53"/>
  <c r="AK37" i="53"/>
  <c r="AJ37" i="53"/>
  <c r="AI37" i="53"/>
  <c r="AH37" i="53"/>
  <c r="AG37" i="53"/>
  <c r="AL37" i="53" s="1"/>
  <c r="AF37" i="53"/>
  <c r="AE37" i="53"/>
  <c r="AD37" i="53"/>
  <c r="Y37" i="53"/>
  <c r="W37" i="53"/>
  <c r="V37" i="53"/>
  <c r="T37" i="53"/>
  <c r="AM36" i="53"/>
  <c r="AK36" i="53"/>
  <c r="AH36" i="53"/>
  <c r="AI36" i="53" s="1"/>
  <c r="AF36" i="53"/>
  <c r="AG36" i="53" s="1"/>
  <c r="AE36" i="53"/>
  <c r="AD36" i="53"/>
  <c r="Y36" i="53"/>
  <c r="V36" i="53"/>
  <c r="T36" i="53"/>
  <c r="AM35" i="53"/>
  <c r="AK35" i="53"/>
  <c r="AH35" i="53"/>
  <c r="AI35" i="53" s="1"/>
  <c r="AF35" i="53"/>
  <c r="AG35" i="53" s="1"/>
  <c r="AE35" i="53"/>
  <c r="AD35" i="53"/>
  <c r="Y35" i="53"/>
  <c r="V35" i="53"/>
  <c r="T35" i="53"/>
  <c r="AM34" i="53"/>
  <c r="AK34" i="53"/>
  <c r="AH34" i="53"/>
  <c r="AI34" i="53" s="1"/>
  <c r="AJ34" i="53" s="1"/>
  <c r="AG34" i="53"/>
  <c r="AF34" i="53"/>
  <c r="AE34" i="53"/>
  <c r="AD34" i="53"/>
  <c r="AN34" i="53" s="1"/>
  <c r="Y34" i="53"/>
  <c r="V34" i="53"/>
  <c r="T34" i="53"/>
  <c r="AM33" i="53"/>
  <c r="AK33" i="53"/>
  <c r="AH33" i="53"/>
  <c r="AI33" i="53" s="1"/>
  <c r="AG33" i="53"/>
  <c r="AF33" i="53"/>
  <c r="AE33" i="53"/>
  <c r="AD33" i="53"/>
  <c r="Y33" i="53"/>
  <c r="V33" i="53"/>
  <c r="T33" i="53"/>
  <c r="AM32" i="53"/>
  <c r="AK32" i="53"/>
  <c r="AJ32" i="53"/>
  <c r="AI32" i="53"/>
  <c r="AH32" i="53"/>
  <c r="AG32" i="53"/>
  <c r="AL32" i="53" s="1"/>
  <c r="AF32" i="53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AN31" i="53" s="1"/>
  <c r="Y31" i="53"/>
  <c r="W31" i="53"/>
  <c r="V31" i="53"/>
  <c r="T31" i="53"/>
  <c r="AM30" i="53"/>
  <c r="AK30" i="53"/>
  <c r="AH30" i="53"/>
  <c r="AI30" i="53" s="1"/>
  <c r="AF30" i="53"/>
  <c r="AG30" i="53" s="1"/>
  <c r="AE30" i="53"/>
  <c r="AD30" i="53"/>
  <c r="AN30" i="53" s="1"/>
  <c r="Y30" i="53"/>
  <c r="V30" i="53"/>
  <c r="T30" i="53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H15" i="53"/>
  <c r="AI15" i="53" s="1"/>
  <c r="AF15" i="53"/>
  <c r="AG15" i="53" s="1"/>
  <c r="AD15" i="53"/>
  <c r="Y15" i="53"/>
  <c r="V15" i="53"/>
  <c r="T15" i="53"/>
  <c r="AE15" i="53" s="1"/>
  <c r="AK14" i="53"/>
  <c r="AF14" i="53"/>
  <c r="AG14" i="53" s="1"/>
  <c r="AJ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H12" i="53"/>
  <c r="AI12" i="53" s="1"/>
  <c r="AF12" i="53"/>
  <c r="AG12" i="53" s="1"/>
  <c r="AE12" i="53"/>
  <c r="Y12" i="53"/>
  <c r="V12" i="53"/>
  <c r="T12" i="53"/>
  <c r="AD12" i="53" s="1"/>
  <c r="A12" i="53"/>
  <c r="AK11" i="53"/>
  <c r="AF11" i="53"/>
  <c r="AG11" i="53" s="1"/>
  <c r="AE11" i="53"/>
  <c r="Y11" i="53"/>
  <c r="V11" i="53"/>
  <c r="T11" i="53"/>
  <c r="AD11" i="53" s="1"/>
  <c r="AK10" i="53"/>
  <c r="AI10" i="53"/>
  <c r="AH10" i="53"/>
  <c r="AF10" i="53"/>
  <c r="AG10" i="53" s="1"/>
  <c r="AE10" i="53"/>
  <c r="AD10" i="53"/>
  <c r="Y10" i="53"/>
  <c r="W10" i="53"/>
  <c r="V10" i="53"/>
  <c r="T10" i="53"/>
  <c r="AM10" i="53" s="1"/>
  <c r="A10" i="53"/>
  <c r="U11" i="53" s="1"/>
  <c r="AK9" i="53"/>
  <c r="AG9" i="53"/>
  <c r="AF9" i="53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G6" i="53"/>
  <c r="AF6" i="53"/>
  <c r="Y6" i="53"/>
  <c r="V6" i="53"/>
  <c r="T6" i="53"/>
  <c r="U6" i="53" s="1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I24" i="52"/>
  <c r="AH24" i="52"/>
  <c r="AF24" i="52"/>
  <c r="AG24" i="52" s="1"/>
  <c r="AE24" i="52"/>
  <c r="AD24" i="52"/>
  <c r="Y24" i="52"/>
  <c r="V24" i="52"/>
  <c r="T24" i="52"/>
  <c r="AM23" i="52"/>
  <c r="AK23" i="52"/>
  <c r="AH23" i="52"/>
  <c r="AI23" i="52" s="1"/>
  <c r="AG23" i="52"/>
  <c r="AL23" i="52" s="1"/>
  <c r="AF23" i="52"/>
  <c r="AE23" i="52"/>
  <c r="AD23" i="52"/>
  <c r="AN23" i="52" s="1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U22" i="52"/>
  <c r="T22" i="52"/>
  <c r="AM21" i="52"/>
  <c r="AL21" i="52"/>
  <c r="AK21" i="52"/>
  <c r="AI21" i="52"/>
  <c r="AH21" i="52"/>
  <c r="AG21" i="52"/>
  <c r="AJ21" i="52" s="1"/>
  <c r="AF21" i="52"/>
  <c r="AE21" i="52"/>
  <c r="AD21" i="52"/>
  <c r="Y21" i="52"/>
  <c r="V21" i="52"/>
  <c r="T21" i="52"/>
  <c r="AM20" i="52"/>
  <c r="AK20" i="52"/>
  <c r="AI20" i="52"/>
  <c r="AH20" i="52"/>
  <c r="AF20" i="52"/>
  <c r="AG20" i="52" s="1"/>
  <c r="AE20" i="52"/>
  <c r="AD20" i="52"/>
  <c r="AN20" i="52" s="1"/>
  <c r="Y20" i="52"/>
  <c r="V20" i="52"/>
  <c r="T20" i="52"/>
  <c r="AM19" i="52"/>
  <c r="AK19" i="52"/>
  <c r="AH19" i="52"/>
  <c r="AI19" i="52" s="1"/>
  <c r="AF19" i="52"/>
  <c r="AG19" i="52" s="1"/>
  <c r="AE19" i="52"/>
  <c r="AD19" i="52"/>
  <c r="Y19" i="52"/>
  <c r="V19" i="52"/>
  <c r="T19" i="52"/>
  <c r="AM18" i="52"/>
  <c r="AK18" i="52"/>
  <c r="AH18" i="52"/>
  <c r="AI18" i="52" s="1"/>
  <c r="AG18" i="52"/>
  <c r="AL18" i="52" s="1"/>
  <c r="AF18" i="52"/>
  <c r="AE18" i="52"/>
  <c r="AD18" i="52"/>
  <c r="AN18" i="52" s="1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I15" i="52"/>
  <c r="AH15" i="52"/>
  <c r="AF15" i="52"/>
  <c r="AG15" i="52" s="1"/>
  <c r="AE15" i="52"/>
  <c r="AD15" i="52"/>
  <c r="AN15" i="52" s="1"/>
  <c r="Y15" i="52"/>
  <c r="W15" i="52"/>
  <c r="V15" i="52"/>
  <c r="T15" i="52"/>
  <c r="AM14" i="52"/>
  <c r="AK14" i="52"/>
  <c r="AI14" i="52"/>
  <c r="AH14" i="52"/>
  <c r="AF14" i="52"/>
  <c r="AG14" i="52" s="1"/>
  <c r="AE14" i="52"/>
  <c r="AD14" i="52"/>
  <c r="AN14" i="52" s="1"/>
  <c r="Y14" i="52"/>
  <c r="V14" i="52"/>
  <c r="U14" i="52"/>
  <c r="T14" i="52"/>
  <c r="AM13" i="52"/>
  <c r="AK13" i="52"/>
  <c r="AI13" i="52"/>
  <c r="AH13" i="52"/>
  <c r="AG13" i="52"/>
  <c r="AL13" i="52" s="1"/>
  <c r="AF13" i="52"/>
  <c r="AE13" i="52"/>
  <c r="AD13" i="52"/>
  <c r="Y13" i="52"/>
  <c r="V13" i="52"/>
  <c r="T13" i="52"/>
  <c r="AM12" i="52"/>
  <c r="AL12" i="52"/>
  <c r="AK12" i="52"/>
  <c r="AI12" i="52"/>
  <c r="AH12" i="52"/>
  <c r="AG12" i="52"/>
  <c r="AJ12" i="52" s="1"/>
  <c r="AF12" i="52"/>
  <c r="AE12" i="52"/>
  <c r="AD12" i="52"/>
  <c r="Y12" i="52"/>
  <c r="V12" i="52"/>
  <c r="T12" i="52"/>
  <c r="A12" i="52"/>
  <c r="AM11" i="52"/>
  <c r="AL11" i="52"/>
  <c r="AK11" i="52"/>
  <c r="AJ11" i="52"/>
  <c r="AI11" i="52"/>
  <c r="AH11" i="52"/>
  <c r="AG11" i="52"/>
  <c r="AF11" i="52"/>
  <c r="AE11" i="52"/>
  <c r="AD11" i="52"/>
  <c r="Y11" i="52"/>
  <c r="W11" i="52"/>
  <c r="V11" i="52"/>
  <c r="T11" i="52"/>
  <c r="AM10" i="52"/>
  <c r="AK10" i="52"/>
  <c r="AI10" i="52"/>
  <c r="AH10" i="52"/>
  <c r="AG10" i="52"/>
  <c r="AL10" i="52" s="1"/>
  <c r="AF10" i="52"/>
  <c r="AE10" i="52"/>
  <c r="AD10" i="52"/>
  <c r="Y10" i="52"/>
  <c r="V10" i="52"/>
  <c r="T10" i="52"/>
  <c r="A10" i="52"/>
  <c r="W10" i="52" s="1"/>
  <c r="AM9" i="52"/>
  <c r="AK9" i="52"/>
  <c r="AJ9" i="52"/>
  <c r="AI9" i="52"/>
  <c r="AH9" i="52"/>
  <c r="AG9" i="52"/>
  <c r="AL9" i="52" s="1"/>
  <c r="AF9" i="52"/>
  <c r="AE9" i="52"/>
  <c r="AD9" i="52"/>
  <c r="Y9" i="52"/>
  <c r="V9" i="52"/>
  <c r="U9" i="52"/>
  <c r="T9" i="52"/>
  <c r="AM8" i="52"/>
  <c r="AK8" i="52"/>
  <c r="AF8" i="52"/>
  <c r="AG8" i="52" s="1"/>
  <c r="Y8" i="52"/>
  <c r="W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AD6" i="52"/>
  <c r="Y6" i="52"/>
  <c r="W6" i="52"/>
  <c r="V6" i="52"/>
  <c r="T6" i="52"/>
  <c r="U6" i="52" s="1"/>
  <c r="A6" i="52"/>
  <c r="AM5" i="52"/>
  <c r="AK5" i="52"/>
  <c r="AH5" i="52"/>
  <c r="AI5" i="52" s="1"/>
  <c r="AF5" i="52"/>
  <c r="AG5" i="52" s="1"/>
  <c r="Y5" i="52"/>
  <c r="A14" i="52" s="1"/>
  <c r="K20" i="67" s="1"/>
  <c r="W5" i="52"/>
  <c r="V5" i="52"/>
  <c r="U5" i="52"/>
  <c r="T5" i="52"/>
  <c r="AD5" i="52" s="1"/>
  <c r="F1" i="52"/>
  <c r="AM24" i="51"/>
  <c r="AK24" i="51"/>
  <c r="AH24" i="51"/>
  <c r="AI24" i="51" s="1"/>
  <c r="AF24" i="51"/>
  <c r="AG24" i="51" s="1"/>
  <c r="AE24" i="51"/>
  <c r="AD24" i="51"/>
  <c r="Y24" i="51"/>
  <c r="V24" i="51"/>
  <c r="T24" i="51"/>
  <c r="AM23" i="51"/>
  <c r="AK23" i="51"/>
  <c r="AI23" i="51"/>
  <c r="AH23" i="51"/>
  <c r="AF23" i="51"/>
  <c r="AG23" i="51" s="1"/>
  <c r="AE23" i="51"/>
  <c r="AD23" i="51"/>
  <c r="Y23" i="51"/>
  <c r="V23" i="51"/>
  <c r="T23" i="51"/>
  <c r="AM22" i="51"/>
  <c r="AK22" i="51"/>
  <c r="AH22" i="51"/>
  <c r="AI22" i="51" s="1"/>
  <c r="AF22" i="51"/>
  <c r="AG22" i="51" s="1"/>
  <c r="AE22" i="51"/>
  <c r="AD22" i="51"/>
  <c r="Y22" i="51"/>
  <c r="V22" i="51"/>
  <c r="T22" i="51"/>
  <c r="AM21" i="51"/>
  <c r="AK21" i="51"/>
  <c r="AH21" i="51"/>
  <c r="AI21" i="51" s="1"/>
  <c r="AG21" i="51"/>
  <c r="AL21" i="51" s="1"/>
  <c r="AF21" i="51"/>
  <c r="AE21" i="51"/>
  <c r="AD21" i="51"/>
  <c r="Y21" i="51"/>
  <c r="V21" i="51"/>
  <c r="T21" i="51"/>
  <c r="AM20" i="51"/>
  <c r="AN20" i="51" s="1"/>
  <c r="AK20" i="51"/>
  <c r="AI20" i="51"/>
  <c r="AH20" i="51"/>
  <c r="AF20" i="51"/>
  <c r="AG20" i="51" s="1"/>
  <c r="AE20" i="51"/>
  <c r="AD20" i="51"/>
  <c r="Y20" i="51"/>
  <c r="V20" i="51"/>
  <c r="T20" i="51"/>
  <c r="AM19" i="51"/>
  <c r="AK19" i="51"/>
  <c r="AH19" i="51"/>
  <c r="AI19" i="51" s="1"/>
  <c r="AF19" i="51"/>
  <c r="AG19" i="51" s="1"/>
  <c r="AE19" i="51"/>
  <c r="AD19" i="51"/>
  <c r="Y19" i="51"/>
  <c r="V19" i="51"/>
  <c r="T19" i="51"/>
  <c r="AM18" i="51"/>
  <c r="AK18" i="51"/>
  <c r="AH18" i="51"/>
  <c r="AI18" i="51" s="1"/>
  <c r="AF18" i="51"/>
  <c r="AG18" i="51" s="1"/>
  <c r="AE18" i="51"/>
  <c r="AD18" i="51"/>
  <c r="Y18" i="51"/>
  <c r="V18" i="51"/>
  <c r="T18" i="51"/>
  <c r="AM17" i="51"/>
  <c r="AK17" i="51"/>
  <c r="AH17" i="51"/>
  <c r="AI17" i="51" s="1"/>
  <c r="AF17" i="51"/>
  <c r="AG17" i="51" s="1"/>
  <c r="AE17" i="51"/>
  <c r="AD17" i="51"/>
  <c r="Y17" i="51"/>
  <c r="V17" i="51"/>
  <c r="T17" i="51"/>
  <c r="AM16" i="51"/>
  <c r="AK16" i="51"/>
  <c r="AF16" i="51"/>
  <c r="AG16" i="51" s="1"/>
  <c r="Y16" i="51"/>
  <c r="V16" i="51"/>
  <c r="T16" i="51"/>
  <c r="AH16" i="51" s="1"/>
  <c r="AI16" i="51" s="1"/>
  <c r="AM15" i="5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M13" i="51"/>
  <c r="AK13" i="51"/>
  <c r="AH13" i="51"/>
  <c r="AI13" i="51" s="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M11" i="51"/>
  <c r="AK11" i="51"/>
  <c r="AH11" i="51"/>
  <c r="AI11" i="51" s="1"/>
  <c r="AF11" i="51"/>
  <c r="AG11" i="51" s="1"/>
  <c r="Y11" i="51"/>
  <c r="V11" i="51"/>
  <c r="T11" i="51"/>
  <c r="AD11" i="51" s="1"/>
  <c r="AM10" i="51"/>
  <c r="AK10" i="51"/>
  <c r="AH10" i="51"/>
  <c r="AI10" i="51" s="1"/>
  <c r="AL10" i="51" s="1"/>
  <c r="AF10" i="51"/>
  <c r="AG10" i="51" s="1"/>
  <c r="AE10" i="51"/>
  <c r="AD10" i="51"/>
  <c r="Y10" i="51"/>
  <c r="V10" i="51"/>
  <c r="T10" i="51"/>
  <c r="A10" i="51"/>
  <c r="W15" i="51" s="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M7" i="5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M5" i="51"/>
  <c r="AK5" i="51"/>
  <c r="AF5" i="51"/>
  <c r="AG5" i="51" s="1"/>
  <c r="Y5" i="51"/>
  <c r="V5" i="51"/>
  <c r="T5" i="51"/>
  <c r="AD5" i="51" s="1"/>
  <c r="F1" i="51"/>
  <c r="AM24" i="50"/>
  <c r="AK24" i="50"/>
  <c r="AI24" i="50"/>
  <c r="AH24" i="50"/>
  <c r="AF24" i="50"/>
  <c r="AG24" i="50" s="1"/>
  <c r="AE24" i="50"/>
  <c r="AD24" i="50"/>
  <c r="AN24" i="50" s="1"/>
  <c r="Y24" i="50"/>
  <c r="V24" i="50"/>
  <c r="T24" i="50"/>
  <c r="AM23" i="50"/>
  <c r="AL23" i="50"/>
  <c r="AK23" i="50"/>
  <c r="AI23" i="50"/>
  <c r="AH23" i="50"/>
  <c r="AG23" i="50"/>
  <c r="AJ23" i="50" s="1"/>
  <c r="AF23" i="50"/>
  <c r="AE23" i="50"/>
  <c r="AD23" i="50"/>
  <c r="Y23" i="50"/>
  <c r="V23" i="50"/>
  <c r="T23" i="50"/>
  <c r="AM22" i="50"/>
  <c r="AK22" i="50"/>
  <c r="AH22" i="50"/>
  <c r="AI22" i="50" s="1"/>
  <c r="AG22" i="50"/>
  <c r="AF22" i="50"/>
  <c r="AE22" i="50"/>
  <c r="AD22" i="50"/>
  <c r="Y22" i="50"/>
  <c r="V22" i="50"/>
  <c r="T22" i="50"/>
  <c r="AM21" i="50"/>
  <c r="AK21" i="50"/>
  <c r="AI21" i="50"/>
  <c r="AH21" i="50"/>
  <c r="AF21" i="50"/>
  <c r="AG21" i="50" s="1"/>
  <c r="AE21" i="50"/>
  <c r="AD21" i="50"/>
  <c r="AN21" i="50" s="1"/>
  <c r="Y21" i="50"/>
  <c r="V21" i="50"/>
  <c r="T21" i="50"/>
  <c r="AM20" i="50"/>
  <c r="AL20" i="50"/>
  <c r="AK20" i="50"/>
  <c r="AI20" i="50"/>
  <c r="AH20" i="50"/>
  <c r="AG20" i="50"/>
  <c r="AJ20" i="50" s="1"/>
  <c r="AF20" i="50"/>
  <c r="AE20" i="50"/>
  <c r="AD20" i="50"/>
  <c r="Y20" i="50"/>
  <c r="V20" i="50"/>
  <c r="U20" i="50"/>
  <c r="T20" i="50"/>
  <c r="AM19" i="50"/>
  <c r="AK19" i="50"/>
  <c r="AH19" i="50"/>
  <c r="AI19" i="50" s="1"/>
  <c r="AG19" i="50"/>
  <c r="AJ19" i="50" s="1"/>
  <c r="AF19" i="50"/>
  <c r="AE19" i="50"/>
  <c r="AD19" i="50"/>
  <c r="Y19" i="50"/>
  <c r="V19" i="50"/>
  <c r="U19" i="50"/>
  <c r="T19" i="50"/>
  <c r="AM18" i="50"/>
  <c r="AK18" i="50"/>
  <c r="AI18" i="50"/>
  <c r="AH18" i="50"/>
  <c r="AF18" i="50"/>
  <c r="AG18" i="50" s="1"/>
  <c r="AE18" i="50"/>
  <c r="AD18" i="50"/>
  <c r="Y18" i="50"/>
  <c r="V18" i="50"/>
  <c r="U18" i="50"/>
  <c r="T18" i="50"/>
  <c r="AM17" i="50"/>
  <c r="AL17" i="50"/>
  <c r="AK17" i="50"/>
  <c r="AI17" i="50"/>
  <c r="AH17" i="50"/>
  <c r="AG17" i="50"/>
  <c r="AJ17" i="50" s="1"/>
  <c r="AF17" i="50"/>
  <c r="AE17" i="50"/>
  <c r="AD17" i="50"/>
  <c r="Y17" i="50"/>
  <c r="W17" i="50"/>
  <c r="V17" i="50"/>
  <c r="U17" i="50"/>
  <c r="T17" i="50"/>
  <c r="AM16" i="50"/>
  <c r="AK16" i="50"/>
  <c r="AH16" i="50"/>
  <c r="AI16" i="50" s="1"/>
  <c r="AG16" i="50"/>
  <c r="AF16" i="50"/>
  <c r="AE16" i="50"/>
  <c r="AD16" i="50"/>
  <c r="Y16" i="50"/>
  <c r="W16" i="50"/>
  <c r="V16" i="50"/>
  <c r="U16" i="50"/>
  <c r="T16" i="50"/>
  <c r="AM15" i="50"/>
  <c r="AK15" i="50"/>
  <c r="AI15" i="50"/>
  <c r="AH15" i="50"/>
  <c r="AF15" i="50"/>
  <c r="AG15" i="50" s="1"/>
  <c r="AE15" i="50"/>
  <c r="AD15" i="50"/>
  <c r="Y15" i="50"/>
  <c r="W15" i="50"/>
  <c r="V15" i="50"/>
  <c r="T15" i="50"/>
  <c r="AM14" i="50"/>
  <c r="AK14" i="50"/>
  <c r="AH14" i="50"/>
  <c r="AI14" i="50" s="1"/>
  <c r="AF14" i="50"/>
  <c r="AG14" i="50" s="1"/>
  <c r="AE14" i="50"/>
  <c r="AD14" i="50"/>
  <c r="AN14" i="50" s="1"/>
  <c r="Y14" i="50"/>
  <c r="W14" i="50"/>
  <c r="V14" i="50"/>
  <c r="U14" i="50"/>
  <c r="T14" i="50"/>
  <c r="AM13" i="50"/>
  <c r="AK13" i="50"/>
  <c r="AI13" i="50"/>
  <c r="AH13" i="50"/>
  <c r="AG13" i="50"/>
  <c r="AL13" i="50" s="1"/>
  <c r="AF13" i="50"/>
  <c r="AE13" i="50"/>
  <c r="AD13" i="50"/>
  <c r="Y13" i="50"/>
  <c r="W13" i="50"/>
  <c r="V13" i="50"/>
  <c r="T13" i="50"/>
  <c r="AM12" i="50"/>
  <c r="AK12" i="50"/>
  <c r="AH12" i="50"/>
  <c r="AI12" i="50" s="1"/>
  <c r="AJ12" i="50" s="1"/>
  <c r="AG12" i="50"/>
  <c r="AL12" i="50" s="1"/>
  <c r="AF12" i="50"/>
  <c r="AE12" i="50"/>
  <c r="AD12" i="50"/>
  <c r="Y12" i="50"/>
  <c r="W12" i="50"/>
  <c r="V12" i="50"/>
  <c r="T12" i="50"/>
  <c r="A12" i="50"/>
  <c r="AM11" i="50"/>
  <c r="AK11" i="50"/>
  <c r="AH11" i="50"/>
  <c r="AI11" i="50" s="1"/>
  <c r="AF11" i="50"/>
  <c r="AG11" i="50" s="1"/>
  <c r="AE11" i="50"/>
  <c r="AD11" i="50"/>
  <c r="Y11" i="50"/>
  <c r="W11" i="50"/>
  <c r="V11" i="50"/>
  <c r="T11" i="50"/>
  <c r="AM10" i="50"/>
  <c r="AK10" i="50"/>
  <c r="AH10" i="50"/>
  <c r="AI10" i="50" s="1"/>
  <c r="AG10" i="50"/>
  <c r="AF10" i="50"/>
  <c r="AE10" i="50"/>
  <c r="AD10" i="50"/>
  <c r="Y10" i="50"/>
  <c r="W10" i="50"/>
  <c r="V10" i="50"/>
  <c r="T10" i="50"/>
  <c r="A10" i="50"/>
  <c r="U15" i="50" s="1"/>
  <c r="AM9" i="50"/>
  <c r="AK9" i="50"/>
  <c r="AH9" i="50"/>
  <c r="AI9" i="50" s="1"/>
  <c r="AL9" i="50" s="1"/>
  <c r="AG9" i="50"/>
  <c r="AF9" i="50"/>
  <c r="AE9" i="50"/>
  <c r="AD9" i="50"/>
  <c r="Y9" i="50"/>
  <c r="V9" i="50"/>
  <c r="T9" i="50"/>
  <c r="AM8" i="50"/>
  <c r="AK8" i="50"/>
  <c r="AH8" i="50"/>
  <c r="AI8" i="50" s="1"/>
  <c r="AG8" i="50"/>
  <c r="AF8" i="50"/>
  <c r="AD8" i="50"/>
  <c r="T18" i="67" s="1"/>
  <c r="M18" i="2" s="1"/>
  <c r="Y8" i="50"/>
  <c r="W8" i="50"/>
  <c r="V8" i="50"/>
  <c r="T8" i="50"/>
  <c r="A8" i="50"/>
  <c r="AM7" i="50"/>
  <c r="AK7" i="50"/>
  <c r="AI7" i="50"/>
  <c r="AH7" i="50"/>
  <c r="AF7" i="50"/>
  <c r="AG7" i="50" s="1"/>
  <c r="AD7" i="50"/>
  <c r="AN7" i="50" s="1"/>
  <c r="Y7" i="50"/>
  <c r="W7" i="50"/>
  <c r="V7" i="50"/>
  <c r="T7" i="50"/>
  <c r="AM6" i="50"/>
  <c r="AK6" i="50"/>
  <c r="AH6" i="50"/>
  <c r="AI6" i="50" s="1"/>
  <c r="AF6" i="50"/>
  <c r="AG6" i="50" s="1"/>
  <c r="AD6" i="50"/>
  <c r="AN6" i="50" s="1"/>
  <c r="Y6" i="50"/>
  <c r="W6" i="50"/>
  <c r="V6" i="50"/>
  <c r="U6" i="50"/>
  <c r="T6" i="50"/>
  <c r="A6" i="50"/>
  <c r="AM5" i="50"/>
  <c r="AK5" i="50"/>
  <c r="AH5" i="50"/>
  <c r="AI5" i="50" s="1"/>
  <c r="AF5" i="50"/>
  <c r="AG5" i="50" s="1"/>
  <c r="AD5" i="50"/>
  <c r="Y5" i="50"/>
  <c r="A14" i="50" s="1"/>
  <c r="K18" i="67" s="1"/>
  <c r="W5" i="50"/>
  <c r="V5" i="50"/>
  <c r="U5" i="50"/>
  <c r="T5" i="50"/>
  <c r="F1" i="50"/>
  <c r="AM24" i="49"/>
  <c r="AK24" i="49"/>
  <c r="AH24" i="49"/>
  <c r="AI24" i="49" s="1"/>
  <c r="AG24" i="49"/>
  <c r="AF24" i="49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AN23" i="49" s="1"/>
  <c r="Y23" i="49"/>
  <c r="V23" i="49"/>
  <c r="T23" i="49"/>
  <c r="AM22" i="49"/>
  <c r="AK22" i="49"/>
  <c r="AH22" i="49"/>
  <c r="AI22" i="49" s="1"/>
  <c r="AF22" i="49"/>
  <c r="AG22" i="49" s="1"/>
  <c r="AE22" i="49"/>
  <c r="AD22" i="49"/>
  <c r="Y22" i="49"/>
  <c r="V22" i="49"/>
  <c r="T22" i="49"/>
  <c r="AM21" i="49"/>
  <c r="AK21" i="49"/>
  <c r="AH21" i="49"/>
  <c r="AI21" i="49" s="1"/>
  <c r="AG21" i="49"/>
  <c r="AJ21" i="49" s="1"/>
  <c r="AF21" i="49"/>
  <c r="AE21" i="49"/>
  <c r="AD21" i="49"/>
  <c r="Y21" i="49"/>
  <c r="V21" i="49"/>
  <c r="T21" i="49"/>
  <c r="AM20" i="49"/>
  <c r="AK20" i="49"/>
  <c r="AI20" i="49"/>
  <c r="AH20" i="49"/>
  <c r="AF20" i="49"/>
  <c r="AG20" i="49" s="1"/>
  <c r="AE20" i="49"/>
  <c r="AD20" i="49"/>
  <c r="Y20" i="49"/>
  <c r="V20" i="49"/>
  <c r="T20" i="49"/>
  <c r="AM19" i="49"/>
  <c r="AK19" i="49"/>
  <c r="AH19" i="49"/>
  <c r="AI19" i="49" s="1"/>
  <c r="AJ19" i="49" s="1"/>
  <c r="AG19" i="49"/>
  <c r="AF19" i="49"/>
  <c r="AE19" i="49"/>
  <c r="AD19" i="49"/>
  <c r="Y19" i="49"/>
  <c r="V19" i="49"/>
  <c r="T19" i="49"/>
  <c r="AM18" i="49"/>
  <c r="AK18" i="49"/>
  <c r="AH18" i="49"/>
  <c r="AI18" i="49" s="1"/>
  <c r="AF18" i="49"/>
  <c r="AG18" i="49" s="1"/>
  <c r="AE18" i="49"/>
  <c r="AD18" i="49"/>
  <c r="Y18" i="49"/>
  <c r="V18" i="49"/>
  <c r="T18" i="49"/>
  <c r="AM17" i="49"/>
  <c r="AK17" i="49"/>
  <c r="AH17" i="49"/>
  <c r="AI17" i="49" s="1"/>
  <c r="AF17" i="49"/>
  <c r="AG17" i="49" s="1"/>
  <c r="AE17" i="49"/>
  <c r="AD17" i="49"/>
  <c r="Y17" i="49"/>
  <c r="V17" i="49"/>
  <c r="T17" i="49"/>
  <c r="AM16" i="49"/>
  <c r="AK16" i="49"/>
  <c r="AH16" i="49"/>
  <c r="AI16" i="49" s="1"/>
  <c r="AG16" i="49"/>
  <c r="AL16" i="49" s="1"/>
  <c r="AF16" i="49"/>
  <c r="AE16" i="49"/>
  <c r="AD16" i="49"/>
  <c r="AN16" i="49" s="1"/>
  <c r="Y16" i="49"/>
  <c r="V16" i="49"/>
  <c r="T16" i="49"/>
  <c r="AM15" i="49"/>
  <c r="AK15" i="49"/>
  <c r="AH15" i="49"/>
  <c r="AI15" i="49" s="1"/>
  <c r="AF15" i="49"/>
  <c r="AG15" i="49" s="1"/>
  <c r="AE15" i="49"/>
  <c r="AD15" i="49"/>
  <c r="Y15" i="49"/>
  <c r="W15" i="49"/>
  <c r="V15" i="49"/>
  <c r="T15" i="49"/>
  <c r="AM14" i="49"/>
  <c r="AK14" i="49"/>
  <c r="AH14" i="49"/>
  <c r="AI14" i="49" s="1"/>
  <c r="AF14" i="49"/>
  <c r="AG14" i="49" s="1"/>
  <c r="AE14" i="49"/>
  <c r="AD14" i="49"/>
  <c r="Y14" i="49"/>
  <c r="V14" i="49"/>
  <c r="T14" i="49"/>
  <c r="AM13" i="49"/>
  <c r="AK13" i="49"/>
  <c r="AH13" i="49"/>
  <c r="AI13" i="49" s="1"/>
  <c r="AF13" i="49"/>
  <c r="AG13" i="49" s="1"/>
  <c r="AE13" i="49"/>
  <c r="AD13" i="49"/>
  <c r="Y13" i="49"/>
  <c r="V13" i="49"/>
  <c r="T13" i="49"/>
  <c r="AM12" i="49"/>
  <c r="AK12" i="49"/>
  <c r="AI12" i="49"/>
  <c r="AH12" i="49"/>
  <c r="AG12" i="49"/>
  <c r="AL12" i="49" s="1"/>
  <c r="AF12" i="49"/>
  <c r="AE12" i="49"/>
  <c r="AD12" i="49"/>
  <c r="Y12" i="49"/>
  <c r="V12" i="49"/>
  <c r="T12" i="49"/>
  <c r="A12" i="49"/>
  <c r="AM11" i="49"/>
  <c r="AK11" i="49"/>
  <c r="AH11" i="49"/>
  <c r="AI11" i="49" s="1"/>
  <c r="AF11" i="49"/>
  <c r="AG11" i="49" s="1"/>
  <c r="AE11" i="49"/>
  <c r="AD11" i="49"/>
  <c r="Y11" i="49"/>
  <c r="V11" i="49"/>
  <c r="T11" i="49"/>
  <c r="AM10" i="49"/>
  <c r="AK10" i="49"/>
  <c r="AH10" i="49"/>
  <c r="AI10" i="49" s="1"/>
  <c r="AG10" i="49"/>
  <c r="AL10" i="49" s="1"/>
  <c r="AF10" i="49"/>
  <c r="AE10" i="49"/>
  <c r="AD10" i="49"/>
  <c r="Y10" i="49"/>
  <c r="V10" i="49"/>
  <c r="T10" i="49"/>
  <c r="A10" i="49"/>
  <c r="W23" i="49" s="1"/>
  <c r="AM9" i="49"/>
  <c r="AK9" i="49"/>
  <c r="AI9" i="49"/>
  <c r="AH9" i="49"/>
  <c r="AG9" i="49"/>
  <c r="AJ9" i="49" s="1"/>
  <c r="AF9" i="49"/>
  <c r="AE9" i="49"/>
  <c r="AD9" i="49"/>
  <c r="AN9" i="49" s="1"/>
  <c r="Y9" i="49"/>
  <c r="V9" i="49"/>
  <c r="T9" i="49"/>
  <c r="AM8" i="49"/>
  <c r="AK8" i="49"/>
  <c r="AH8" i="49"/>
  <c r="AI8" i="49" s="1"/>
  <c r="AF8" i="49"/>
  <c r="AG8" i="49" s="1"/>
  <c r="Y8" i="49"/>
  <c r="V8" i="49"/>
  <c r="T8" i="49"/>
  <c r="AD8" i="49" s="1"/>
  <c r="AN8" i="49" s="1"/>
  <c r="AM7" i="49"/>
  <c r="AK7" i="49"/>
  <c r="AH7" i="49"/>
  <c r="AI7" i="49" s="1"/>
  <c r="AF7" i="49"/>
  <c r="AG7" i="49" s="1"/>
  <c r="AD7" i="49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A14" i="49" s="1"/>
  <c r="K17" i="67" s="1"/>
  <c r="W5" i="49"/>
  <c r="V5" i="49"/>
  <c r="T5" i="49"/>
  <c r="U5" i="49" s="1"/>
  <c r="F1" i="49"/>
  <c r="AM67" i="75"/>
  <c r="AK67" i="75"/>
  <c r="AH67" i="75"/>
  <c r="AI67" i="75" s="1"/>
  <c r="AF67" i="75"/>
  <c r="AG67" i="75" s="1"/>
  <c r="AE67" i="75"/>
  <c r="AD67" i="75"/>
  <c r="Y67" i="75"/>
  <c r="W67" i="75"/>
  <c r="V67" i="75"/>
  <c r="U67" i="75"/>
  <c r="T67" i="75"/>
  <c r="AM66" i="75"/>
  <c r="AL66" i="75"/>
  <c r="AK66" i="75"/>
  <c r="AJ66" i="75"/>
  <c r="AI66" i="75"/>
  <c r="AH66" i="75"/>
  <c r="AG66" i="75"/>
  <c r="AF66" i="75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AN65" i="75" s="1"/>
  <c r="Y65" i="75"/>
  <c r="W65" i="75"/>
  <c r="V65" i="75"/>
  <c r="U65" i="75"/>
  <c r="T65" i="75"/>
  <c r="AM64" i="75"/>
  <c r="AK64" i="75"/>
  <c r="AH64" i="75"/>
  <c r="AI64" i="75" s="1"/>
  <c r="AF64" i="75"/>
  <c r="AG64" i="75" s="1"/>
  <c r="AE64" i="75"/>
  <c r="AD64" i="75"/>
  <c r="Y64" i="75"/>
  <c r="W64" i="75"/>
  <c r="V64" i="75"/>
  <c r="U64" i="75"/>
  <c r="T64" i="75"/>
  <c r="AM63" i="75"/>
  <c r="AL63" i="75"/>
  <c r="AK63" i="75"/>
  <c r="AJ63" i="75"/>
  <c r="AI63" i="75"/>
  <c r="AH63" i="75"/>
  <c r="AG63" i="75"/>
  <c r="AF63" i="75"/>
  <c r="AE63" i="75"/>
  <c r="AD63" i="75"/>
  <c r="Y63" i="75"/>
  <c r="W63" i="75"/>
  <c r="V63" i="75"/>
  <c r="U63" i="75"/>
  <c r="T63" i="75"/>
  <c r="AM62" i="75"/>
  <c r="AK62" i="75"/>
  <c r="AH62" i="75"/>
  <c r="AI62" i="75" s="1"/>
  <c r="AF62" i="75"/>
  <c r="AG62" i="75" s="1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AN61" i="75" s="1"/>
  <c r="Y61" i="75"/>
  <c r="W61" i="75"/>
  <c r="V61" i="75"/>
  <c r="U61" i="75"/>
  <c r="T61" i="75"/>
  <c r="AM60" i="75"/>
  <c r="AL60" i="75"/>
  <c r="AK60" i="75"/>
  <c r="AJ60" i="75"/>
  <c r="AI60" i="75"/>
  <c r="AH60" i="75"/>
  <c r="AG60" i="75"/>
  <c r="AF60" i="75"/>
  <c r="AE60" i="75"/>
  <c r="AD60" i="75"/>
  <c r="Y60" i="75"/>
  <c r="W60" i="75"/>
  <c r="V60" i="75"/>
  <c r="U60" i="75"/>
  <c r="T60" i="75"/>
  <c r="AM59" i="75"/>
  <c r="AK59" i="75"/>
  <c r="AH59" i="75"/>
  <c r="AI59" i="75" s="1"/>
  <c r="AF59" i="75"/>
  <c r="AG59" i="75" s="1"/>
  <c r="AE59" i="75"/>
  <c r="AD59" i="75"/>
  <c r="Y59" i="75"/>
  <c r="W59" i="75"/>
  <c r="V59" i="75"/>
  <c r="U59" i="75"/>
  <c r="T59" i="75"/>
  <c r="AM58" i="75"/>
  <c r="AK58" i="75"/>
  <c r="AH58" i="75"/>
  <c r="AI58" i="75" s="1"/>
  <c r="AF58" i="75"/>
  <c r="AG58" i="75" s="1"/>
  <c r="AE58" i="75"/>
  <c r="AD58" i="75"/>
  <c r="Y58" i="75"/>
  <c r="W58" i="75"/>
  <c r="V58" i="75"/>
  <c r="U58" i="75"/>
  <c r="T58" i="75"/>
  <c r="AM57" i="75"/>
  <c r="AL57" i="75"/>
  <c r="AK57" i="75"/>
  <c r="AJ57" i="75"/>
  <c r="AI57" i="75"/>
  <c r="AH57" i="75"/>
  <c r="AG57" i="75"/>
  <c r="AF57" i="75"/>
  <c r="AE57" i="75"/>
  <c r="AD57" i="75"/>
  <c r="Y57" i="75"/>
  <c r="W57" i="75"/>
  <c r="V57" i="75"/>
  <c r="U57" i="75"/>
  <c r="T57" i="75"/>
  <c r="AM56" i="75"/>
  <c r="AK56" i="75"/>
  <c r="AH56" i="75"/>
  <c r="AI56" i="75" s="1"/>
  <c r="AF56" i="75"/>
  <c r="AG56" i="75" s="1"/>
  <c r="AE56" i="75"/>
  <c r="AD56" i="75"/>
  <c r="Y56" i="75"/>
  <c r="W56" i="75"/>
  <c r="V56" i="75"/>
  <c r="U56" i="75"/>
  <c r="T56" i="75"/>
  <c r="AM55" i="75"/>
  <c r="AK55" i="75"/>
  <c r="AH55" i="75"/>
  <c r="AI55" i="75" s="1"/>
  <c r="AF55" i="75"/>
  <c r="AG55" i="75" s="1"/>
  <c r="AE55" i="75"/>
  <c r="AD55" i="75"/>
  <c r="Y55" i="75"/>
  <c r="W55" i="75"/>
  <c r="V55" i="75"/>
  <c r="U55" i="75"/>
  <c r="T55" i="75"/>
  <c r="AM54" i="75"/>
  <c r="AL54" i="75"/>
  <c r="AK54" i="75"/>
  <c r="AJ54" i="75"/>
  <c r="AI54" i="75"/>
  <c r="AH54" i="75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H52" i="75"/>
  <c r="AI52" i="75" s="1"/>
  <c r="AF52" i="75"/>
  <c r="AG52" i="75" s="1"/>
  <c r="AE52" i="75"/>
  <c r="AD52" i="75"/>
  <c r="Y52" i="75"/>
  <c r="W52" i="75"/>
  <c r="V52" i="75"/>
  <c r="U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M50" i="75"/>
  <c r="AK50" i="75"/>
  <c r="AH50" i="75"/>
  <c r="AI50" i="75" s="1"/>
  <c r="AF50" i="75"/>
  <c r="AG50" i="75" s="1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F48" i="75"/>
  <c r="AG48" i="75" s="1"/>
  <c r="AE48" i="75"/>
  <c r="AN48" i="75" s="1"/>
  <c r="AD48" i="75"/>
  <c r="Y48" i="75"/>
  <c r="W48" i="75"/>
  <c r="V48" i="75"/>
  <c r="U48" i="75"/>
  <c r="T48" i="75"/>
  <c r="AM47" i="75"/>
  <c r="AK47" i="75"/>
  <c r="AH47" i="75"/>
  <c r="AI47" i="75" s="1"/>
  <c r="AF47" i="75"/>
  <c r="AG47" i="75" s="1"/>
  <c r="AE47" i="75"/>
  <c r="AD47" i="75"/>
  <c r="Y47" i="75"/>
  <c r="W47" i="75"/>
  <c r="V47" i="75"/>
  <c r="U47" i="75"/>
  <c r="T47" i="75"/>
  <c r="AM46" i="75"/>
  <c r="AK46" i="75"/>
  <c r="AH46" i="75"/>
  <c r="AI46" i="75" s="1"/>
  <c r="AF46" i="75"/>
  <c r="AG46" i="75" s="1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AN45" i="75" s="1"/>
  <c r="Y45" i="75"/>
  <c r="W45" i="75"/>
  <c r="V45" i="75"/>
  <c r="U45" i="75"/>
  <c r="T45" i="75"/>
  <c r="AM44" i="75"/>
  <c r="AK44" i="75"/>
  <c r="AH44" i="75"/>
  <c r="AI44" i="75" s="1"/>
  <c r="AF44" i="75"/>
  <c r="AG44" i="75" s="1"/>
  <c r="AE44" i="75"/>
  <c r="AD44" i="75"/>
  <c r="AN44" i="75" s="1"/>
  <c r="Y44" i="75"/>
  <c r="W44" i="75"/>
  <c r="V44" i="75"/>
  <c r="U44" i="75"/>
  <c r="T44" i="75"/>
  <c r="AM43" i="75"/>
  <c r="AK43" i="75"/>
  <c r="AH43" i="75"/>
  <c r="AI43" i="75" s="1"/>
  <c r="AF43" i="75"/>
  <c r="AG43" i="75" s="1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F42" i="75"/>
  <c r="AG42" i="75" s="1"/>
  <c r="AE42" i="75"/>
  <c r="AD42" i="75"/>
  <c r="AN42" i="75" s="1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AN41" i="75" s="1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H39" i="75"/>
  <c r="AI39" i="75" s="1"/>
  <c r="AF39" i="75"/>
  <c r="AG39" i="75" s="1"/>
  <c r="AE39" i="75"/>
  <c r="AD39" i="75"/>
  <c r="Y39" i="75"/>
  <c r="W39" i="75"/>
  <c r="V39" i="75"/>
  <c r="U39" i="75"/>
  <c r="T39" i="75"/>
  <c r="AM38" i="75"/>
  <c r="AK38" i="75"/>
  <c r="AH38" i="75"/>
  <c r="AI38" i="75" s="1"/>
  <c r="AF38" i="75"/>
  <c r="AG38" i="75" s="1"/>
  <c r="AE38" i="75"/>
  <c r="AD38" i="75"/>
  <c r="AN38" i="75" s="1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J36" i="75"/>
  <c r="AH36" i="75"/>
  <c r="AI36" i="75" s="1"/>
  <c r="AF36" i="75"/>
  <c r="AG36" i="75" s="1"/>
  <c r="AE36" i="75"/>
  <c r="AD36" i="75"/>
  <c r="Y36" i="75"/>
  <c r="W36" i="75"/>
  <c r="V36" i="75"/>
  <c r="U36" i="75"/>
  <c r="T36" i="75"/>
  <c r="AM35" i="75"/>
  <c r="AK35" i="75"/>
  <c r="AH35" i="75"/>
  <c r="AI35" i="75" s="1"/>
  <c r="AF35" i="75"/>
  <c r="AG35" i="75" s="1"/>
  <c r="AE35" i="75"/>
  <c r="AD35" i="75"/>
  <c r="AN35" i="75" s="1"/>
  <c r="Y35" i="75"/>
  <c r="W35" i="75"/>
  <c r="V35" i="75"/>
  <c r="U35" i="75"/>
  <c r="T35" i="75"/>
  <c r="AM34" i="75"/>
  <c r="AK34" i="75"/>
  <c r="AH34" i="75"/>
  <c r="AI34" i="75" s="1"/>
  <c r="AF34" i="75"/>
  <c r="AG34" i="75" s="1"/>
  <c r="AE34" i="75"/>
  <c r="AD34" i="75"/>
  <c r="Y34" i="75"/>
  <c r="W34" i="75"/>
  <c r="V34" i="75"/>
  <c r="U34" i="75"/>
  <c r="T34" i="75"/>
  <c r="AM33" i="75"/>
  <c r="AK33" i="75"/>
  <c r="AJ33" i="75"/>
  <c r="AH33" i="75"/>
  <c r="AI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H31" i="75"/>
  <c r="AI31" i="75" s="1"/>
  <c r="AF31" i="75"/>
  <c r="AG31" i="75" s="1"/>
  <c r="AE31" i="75"/>
  <c r="AD31" i="75"/>
  <c r="Y31" i="75"/>
  <c r="W31" i="75"/>
  <c r="V31" i="75"/>
  <c r="U31" i="75"/>
  <c r="T31" i="75"/>
  <c r="AM30" i="75"/>
  <c r="AK30" i="75"/>
  <c r="AJ30" i="75"/>
  <c r="AH30" i="75"/>
  <c r="AI30" i="75" s="1"/>
  <c r="AF30" i="75"/>
  <c r="AG30" i="75" s="1"/>
  <c r="AE30" i="75"/>
  <c r="AD30" i="75"/>
  <c r="Y30" i="75"/>
  <c r="W30" i="75"/>
  <c r="V30" i="75"/>
  <c r="U30" i="75"/>
  <c r="T30" i="75"/>
  <c r="AM29" i="75"/>
  <c r="AK29" i="75"/>
  <c r="AH29" i="75"/>
  <c r="AI29" i="75" s="1"/>
  <c r="AF29" i="75"/>
  <c r="AG29" i="75" s="1"/>
  <c r="AE29" i="75"/>
  <c r="AD29" i="75"/>
  <c r="AN29" i="75" s="1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AN28" i="75" s="1"/>
  <c r="Y28" i="75"/>
  <c r="W28" i="75"/>
  <c r="V28" i="75"/>
  <c r="U28" i="75"/>
  <c r="T28" i="75"/>
  <c r="AM27" i="75"/>
  <c r="AK27" i="75"/>
  <c r="AJ27" i="75"/>
  <c r="AH27" i="75"/>
  <c r="AI27" i="75" s="1"/>
  <c r="AF27" i="75"/>
  <c r="AG27" i="75" s="1"/>
  <c r="AE27" i="75"/>
  <c r="AD27" i="75"/>
  <c r="AN27" i="75" s="1"/>
  <c r="Y27" i="75"/>
  <c r="W27" i="75"/>
  <c r="V27" i="75"/>
  <c r="U27" i="75"/>
  <c r="T27" i="75"/>
  <c r="AM26" i="75"/>
  <c r="AK26" i="75"/>
  <c r="AH26" i="75"/>
  <c r="AI26" i="75" s="1"/>
  <c r="AF26" i="75"/>
  <c r="AG26" i="75" s="1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F25" i="75"/>
  <c r="AG25" i="75" s="1"/>
  <c r="AE25" i="75"/>
  <c r="AD25" i="75"/>
  <c r="AN25" i="75" s="1"/>
  <c r="Y25" i="75"/>
  <c r="W25" i="75"/>
  <c r="V25" i="75"/>
  <c r="U25" i="75"/>
  <c r="T25" i="75"/>
  <c r="AM24" i="75"/>
  <c r="AK24" i="75"/>
  <c r="AH24" i="75"/>
  <c r="AI24" i="75" s="1"/>
  <c r="AJ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H23" i="75"/>
  <c r="AI23" i="75" s="1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F22" i="75"/>
  <c r="AG22" i="75" s="1"/>
  <c r="AE22" i="75"/>
  <c r="AD22" i="75"/>
  <c r="AN22" i="75" s="1"/>
  <c r="Y22" i="75"/>
  <c r="W22" i="75"/>
  <c r="V22" i="75"/>
  <c r="U22" i="75"/>
  <c r="T22" i="75"/>
  <c r="AM21" i="75"/>
  <c r="AK21" i="75"/>
  <c r="AH21" i="75"/>
  <c r="AI21" i="75" s="1"/>
  <c r="AJ21" i="75" s="1"/>
  <c r="AF21" i="75"/>
  <c r="AG21" i="75" s="1"/>
  <c r="AE21" i="75"/>
  <c r="AD21" i="75"/>
  <c r="Y21" i="75"/>
  <c r="W21" i="75"/>
  <c r="V21" i="75"/>
  <c r="U21" i="75"/>
  <c r="T21" i="75"/>
  <c r="AM20" i="75"/>
  <c r="AK20" i="75"/>
  <c r="AJ20" i="75"/>
  <c r="AH20" i="75"/>
  <c r="AI20" i="75" s="1"/>
  <c r="AF20" i="75"/>
  <c r="AG20" i="75" s="1"/>
  <c r="AE20" i="75"/>
  <c r="AD20" i="75"/>
  <c r="AN20" i="75" s="1"/>
  <c r="Y20" i="75"/>
  <c r="W20" i="75"/>
  <c r="V20" i="75"/>
  <c r="U20" i="75"/>
  <c r="T20" i="75"/>
  <c r="AM19" i="75"/>
  <c r="AL19" i="75"/>
  <c r="AK19" i="75"/>
  <c r="AH19" i="75"/>
  <c r="AI19" i="75" s="1"/>
  <c r="AJ19" i="75" s="1"/>
  <c r="AF19" i="75"/>
  <c r="AG19" i="75" s="1"/>
  <c r="AE19" i="75"/>
  <c r="AD19" i="75"/>
  <c r="AN19" i="75" s="1"/>
  <c r="Y19" i="75"/>
  <c r="W19" i="75"/>
  <c r="V19" i="75"/>
  <c r="U19" i="75"/>
  <c r="T19" i="75"/>
  <c r="AM18" i="75"/>
  <c r="AK18" i="75"/>
  <c r="AH18" i="75"/>
  <c r="AI18" i="75" s="1"/>
  <c r="AF18" i="75"/>
  <c r="AG18" i="75" s="1"/>
  <c r="AE18" i="75"/>
  <c r="AD18" i="75"/>
  <c r="AN18" i="75" s="1"/>
  <c r="Y18" i="75"/>
  <c r="W18" i="75"/>
  <c r="V18" i="75"/>
  <c r="U18" i="75"/>
  <c r="T18" i="75"/>
  <c r="AM17" i="75"/>
  <c r="AK17" i="75"/>
  <c r="AH17" i="75"/>
  <c r="AI17" i="75" s="1"/>
  <c r="AJ17" i="75" s="1"/>
  <c r="AF17" i="75"/>
  <c r="AG17" i="75" s="1"/>
  <c r="AE17" i="75"/>
  <c r="AD17" i="75"/>
  <c r="Y17" i="75"/>
  <c r="W17" i="75"/>
  <c r="V17" i="75"/>
  <c r="U17" i="75"/>
  <c r="T17" i="75"/>
  <c r="AM16" i="75"/>
  <c r="AL16" i="75"/>
  <c r="AK16" i="75"/>
  <c r="AJ16" i="75"/>
  <c r="AH16" i="75"/>
  <c r="AI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G15" i="75"/>
  <c r="AF15" i="75"/>
  <c r="AE15" i="75"/>
  <c r="AD15" i="75"/>
  <c r="Y15" i="75"/>
  <c r="W15" i="75"/>
  <c r="V15" i="75"/>
  <c r="U15" i="75"/>
  <c r="T15" i="75"/>
  <c r="AM14" i="75"/>
  <c r="AL14" i="75"/>
  <c r="AK14" i="75"/>
  <c r="AI14" i="75"/>
  <c r="AH14" i="75"/>
  <c r="AG14" i="75"/>
  <c r="AJ14" i="75" s="1"/>
  <c r="AF14" i="75"/>
  <c r="AE14" i="75"/>
  <c r="AD14" i="75"/>
  <c r="Y14" i="75"/>
  <c r="W14" i="75"/>
  <c r="V14" i="75"/>
  <c r="U14" i="75"/>
  <c r="T14" i="75"/>
  <c r="A14" i="75"/>
  <c r="AM13" i="75"/>
  <c r="AL13" i="75"/>
  <c r="AK13" i="75"/>
  <c r="AH13" i="75"/>
  <c r="AI13" i="75" s="1"/>
  <c r="AJ13" i="75" s="1"/>
  <c r="AF13" i="75"/>
  <c r="AG13" i="75" s="1"/>
  <c r="AE13" i="75"/>
  <c r="AN13" i="75" s="1"/>
  <c r="AD13" i="75"/>
  <c r="Y13" i="75"/>
  <c r="W13" i="75"/>
  <c r="V13" i="75"/>
  <c r="U13" i="75"/>
  <c r="T13" i="75"/>
  <c r="AM12" i="75"/>
  <c r="AK12" i="75"/>
  <c r="AH12" i="75"/>
  <c r="AI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J11" i="75"/>
  <c r="AI11" i="75"/>
  <c r="AH11" i="75"/>
  <c r="AG11" i="75"/>
  <c r="AF11" i="75"/>
  <c r="AE11" i="75"/>
  <c r="AD11" i="75"/>
  <c r="Y11" i="75"/>
  <c r="W11" i="75"/>
  <c r="V11" i="75"/>
  <c r="U11" i="75"/>
  <c r="T11" i="75"/>
  <c r="AM10" i="75"/>
  <c r="AK10" i="75"/>
  <c r="AI10" i="75"/>
  <c r="AH10" i="75"/>
  <c r="AG10" i="75"/>
  <c r="AF10" i="75"/>
  <c r="AE10" i="75"/>
  <c r="AD10" i="75"/>
  <c r="Y10" i="75"/>
  <c r="W10" i="75"/>
  <c r="V10" i="75"/>
  <c r="U10" i="75"/>
  <c r="T10" i="75"/>
  <c r="A10" i="75"/>
  <c r="AM9" i="75"/>
  <c r="AK9" i="75"/>
  <c r="AH9" i="75"/>
  <c r="AI9" i="75" s="1"/>
  <c r="AF9" i="75"/>
  <c r="AG9" i="75" s="1"/>
  <c r="AE9" i="75"/>
  <c r="AN9" i="75" s="1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AN8" i="75" s="1"/>
  <c r="Y8" i="75"/>
  <c r="W8" i="75"/>
  <c r="V8" i="75"/>
  <c r="U8" i="75"/>
  <c r="T8" i="75"/>
  <c r="AM7" i="75"/>
  <c r="AK7" i="75"/>
  <c r="AJ7" i="75"/>
  <c r="AI7" i="75"/>
  <c r="AH7" i="75"/>
  <c r="AG7" i="75"/>
  <c r="AL7" i="75" s="1"/>
  <c r="AF7" i="75"/>
  <c r="AD7" i="75"/>
  <c r="AN7" i="75" s="1"/>
  <c r="Y7" i="75"/>
  <c r="W7" i="75"/>
  <c r="V7" i="75"/>
  <c r="U7" i="75"/>
  <c r="T7" i="75"/>
  <c r="AM6" i="75"/>
  <c r="AK6" i="75"/>
  <c r="AH6" i="75"/>
  <c r="AI6" i="75" s="1"/>
  <c r="AG6" i="75"/>
  <c r="AF6" i="75"/>
  <c r="AD6" i="75"/>
  <c r="Y6" i="75"/>
  <c r="W6" i="75"/>
  <c r="V6" i="75"/>
  <c r="U6" i="75"/>
  <c r="T6" i="75"/>
  <c r="A6" i="75"/>
  <c r="AM5" i="75"/>
  <c r="AK5" i="75"/>
  <c r="AI5" i="75"/>
  <c r="AH5" i="75"/>
  <c r="AF5" i="75"/>
  <c r="AG5" i="75" s="1"/>
  <c r="AD5" i="75"/>
  <c r="AN5" i="75" s="1"/>
  <c r="Y5" i="75"/>
  <c r="W5" i="75"/>
  <c r="V5" i="75"/>
  <c r="U5" i="75"/>
  <c r="T5" i="75"/>
  <c r="F1" i="75"/>
  <c r="AM67" i="47"/>
  <c r="AK67" i="47"/>
  <c r="AI67" i="47"/>
  <c r="AJ67" i="47" s="1"/>
  <c r="AH67" i="47"/>
  <c r="AG67" i="47"/>
  <c r="AL67" i="47" s="1"/>
  <c r="AF67" i="47"/>
  <c r="AE67" i="47"/>
  <c r="AD67" i="47"/>
  <c r="Y67" i="47"/>
  <c r="V67" i="47"/>
  <c r="T67" i="47"/>
  <c r="AM66" i="47"/>
  <c r="AK66" i="47"/>
  <c r="AI66" i="47"/>
  <c r="AH66" i="47"/>
  <c r="AF66" i="47"/>
  <c r="AG66" i="47" s="1"/>
  <c r="AE66" i="47"/>
  <c r="AD66" i="47"/>
  <c r="AN66" i="47" s="1"/>
  <c r="Y66" i="47"/>
  <c r="V66" i="47"/>
  <c r="T66" i="47"/>
  <c r="AM65" i="47"/>
  <c r="AK65" i="47"/>
  <c r="AI65" i="47"/>
  <c r="AH65" i="47"/>
  <c r="AF65" i="47"/>
  <c r="AG65" i="47" s="1"/>
  <c r="AE65" i="47"/>
  <c r="AD65" i="47"/>
  <c r="Y65" i="47"/>
  <c r="V65" i="47"/>
  <c r="T65" i="47"/>
  <c r="AM64" i="47"/>
  <c r="AK64" i="47"/>
  <c r="AH64" i="47"/>
  <c r="AI64" i="47" s="1"/>
  <c r="AF64" i="47"/>
  <c r="AG64" i="47" s="1"/>
  <c r="AE64" i="47"/>
  <c r="AD64" i="47"/>
  <c r="AN64" i="47" s="1"/>
  <c r="Y64" i="47"/>
  <c r="V64" i="47"/>
  <c r="T64" i="47"/>
  <c r="AM63" i="47"/>
  <c r="AK63" i="47"/>
  <c r="AH63" i="47"/>
  <c r="AI63" i="47" s="1"/>
  <c r="AG63" i="47"/>
  <c r="AF63" i="47"/>
  <c r="AE63" i="47"/>
  <c r="AD63" i="47"/>
  <c r="Y63" i="47"/>
  <c r="W63" i="47"/>
  <c r="V63" i="47"/>
  <c r="T63" i="47"/>
  <c r="AM62" i="47"/>
  <c r="AK62" i="47"/>
  <c r="AJ62" i="47"/>
  <c r="AI62" i="47"/>
  <c r="AH62" i="47"/>
  <c r="AG62" i="47"/>
  <c r="AL62" i="47" s="1"/>
  <c r="AF62" i="47"/>
  <c r="AE62" i="47"/>
  <c r="AD62" i="47"/>
  <c r="Y62" i="47"/>
  <c r="V62" i="47"/>
  <c r="T62" i="47"/>
  <c r="AM61" i="47"/>
  <c r="AK61" i="47"/>
  <c r="AH61" i="47"/>
  <c r="AI61" i="47" s="1"/>
  <c r="AG61" i="47"/>
  <c r="AF61" i="47"/>
  <c r="AE61" i="47"/>
  <c r="AD61" i="47"/>
  <c r="Y61" i="47"/>
  <c r="V61" i="47"/>
  <c r="T61" i="47"/>
  <c r="AM60" i="47"/>
  <c r="AK60" i="47"/>
  <c r="AI60" i="47"/>
  <c r="AH60" i="47"/>
  <c r="AF60" i="47"/>
  <c r="AG60" i="47" s="1"/>
  <c r="AE60" i="47"/>
  <c r="AD60" i="47"/>
  <c r="Y60" i="47"/>
  <c r="W60" i="47"/>
  <c r="V60" i="47"/>
  <c r="T60" i="47"/>
  <c r="AM59" i="47"/>
  <c r="AK59" i="47"/>
  <c r="AI59" i="47"/>
  <c r="AH59" i="47"/>
  <c r="AF59" i="47"/>
  <c r="AG59" i="47" s="1"/>
  <c r="AE59" i="47"/>
  <c r="AD59" i="47"/>
  <c r="Y59" i="47"/>
  <c r="V59" i="47"/>
  <c r="U59" i="47"/>
  <c r="T59" i="47"/>
  <c r="AM58" i="47"/>
  <c r="AK58" i="47"/>
  <c r="AI58" i="47"/>
  <c r="AJ58" i="47" s="1"/>
  <c r="AH58" i="47"/>
  <c r="AG58" i="47"/>
  <c r="AL58" i="47" s="1"/>
  <c r="AF58" i="47"/>
  <c r="AE58" i="47"/>
  <c r="AD58" i="47"/>
  <c r="AN58" i="47" s="1"/>
  <c r="Y58" i="47"/>
  <c r="V58" i="47"/>
  <c r="T58" i="47"/>
  <c r="AM57" i="47"/>
  <c r="AK57" i="47"/>
  <c r="AI57" i="47"/>
  <c r="AH57" i="47"/>
  <c r="AF57" i="47"/>
  <c r="AG57" i="47" s="1"/>
  <c r="AE57" i="47"/>
  <c r="AD57" i="47"/>
  <c r="Y57" i="47"/>
  <c r="V57" i="47"/>
  <c r="T57" i="47"/>
  <c r="AM56" i="47"/>
  <c r="AK56" i="47"/>
  <c r="AI56" i="47"/>
  <c r="AH56" i="47"/>
  <c r="AF56" i="47"/>
  <c r="AG56" i="47" s="1"/>
  <c r="AE56" i="47"/>
  <c r="AD56" i="47"/>
  <c r="AN56" i="47" s="1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G54" i="47"/>
  <c r="AF54" i="47"/>
  <c r="AE54" i="47"/>
  <c r="AD54" i="47"/>
  <c r="Y54" i="47"/>
  <c r="V54" i="47"/>
  <c r="T54" i="47"/>
  <c r="AM53" i="47"/>
  <c r="AK53" i="47"/>
  <c r="AJ53" i="47"/>
  <c r="AI53" i="47"/>
  <c r="AH53" i="47"/>
  <c r="AG53" i="47"/>
  <c r="AL53" i="47" s="1"/>
  <c r="AF53" i="47"/>
  <c r="AE53" i="47"/>
  <c r="AD53" i="47"/>
  <c r="Y53" i="47"/>
  <c r="V53" i="47"/>
  <c r="T53" i="47"/>
  <c r="AM52" i="47"/>
  <c r="AK52" i="47"/>
  <c r="AH52" i="47"/>
  <c r="AI52" i="47" s="1"/>
  <c r="AG52" i="47"/>
  <c r="AF52" i="47"/>
  <c r="AE52" i="47"/>
  <c r="AD52" i="47"/>
  <c r="Y52" i="47"/>
  <c r="V52" i="47"/>
  <c r="T52" i="47"/>
  <c r="AM51" i="47"/>
  <c r="AK51" i="47"/>
  <c r="AI51" i="47"/>
  <c r="AH51" i="47"/>
  <c r="AF51" i="47"/>
  <c r="AG51" i="47" s="1"/>
  <c r="AE51" i="47"/>
  <c r="AD51" i="47"/>
  <c r="AN51" i="47" s="1"/>
  <c r="Y51" i="47"/>
  <c r="W51" i="47"/>
  <c r="V51" i="47"/>
  <c r="T51" i="47"/>
  <c r="AM50" i="47"/>
  <c r="AK50" i="47"/>
  <c r="AI50" i="47"/>
  <c r="AH50" i="47"/>
  <c r="AF50" i="47"/>
  <c r="AG50" i="47" s="1"/>
  <c r="AE50" i="47"/>
  <c r="AD50" i="47"/>
  <c r="Y50" i="47"/>
  <c r="V50" i="47"/>
  <c r="U50" i="47"/>
  <c r="T50" i="47"/>
  <c r="AM49" i="47"/>
  <c r="AK49" i="47"/>
  <c r="AI49" i="47"/>
  <c r="AJ49" i="47" s="1"/>
  <c r="AH49" i="47"/>
  <c r="AG49" i="47"/>
  <c r="AL49" i="47" s="1"/>
  <c r="AF49" i="47"/>
  <c r="AE49" i="47"/>
  <c r="AD49" i="47"/>
  <c r="Y49" i="47"/>
  <c r="V49" i="47"/>
  <c r="T49" i="47"/>
  <c r="AM48" i="47"/>
  <c r="AK48" i="47"/>
  <c r="AI48" i="47"/>
  <c r="AH48" i="47"/>
  <c r="AF48" i="47"/>
  <c r="AG48" i="47" s="1"/>
  <c r="AE48" i="47"/>
  <c r="AD48" i="47"/>
  <c r="Y48" i="47"/>
  <c r="V48" i="47"/>
  <c r="T48" i="47"/>
  <c r="AM47" i="47"/>
  <c r="AK47" i="47"/>
  <c r="AI47" i="47"/>
  <c r="AL47" i="47" s="1"/>
  <c r="AH47" i="47"/>
  <c r="AG47" i="47"/>
  <c r="AJ47" i="47" s="1"/>
  <c r="AF47" i="47"/>
  <c r="AE47" i="47"/>
  <c r="AD47" i="47"/>
  <c r="AN47" i="47" s="1"/>
  <c r="Y47" i="47"/>
  <c r="V47" i="47"/>
  <c r="U47" i="47"/>
  <c r="T47" i="47"/>
  <c r="AM46" i="47"/>
  <c r="AK46" i="47"/>
  <c r="AH46" i="47"/>
  <c r="AI46" i="47" s="1"/>
  <c r="AF46" i="47"/>
  <c r="AG46" i="47" s="1"/>
  <c r="AE46" i="47"/>
  <c r="AD46" i="47"/>
  <c r="Y46" i="47"/>
  <c r="V46" i="47"/>
  <c r="T46" i="47"/>
  <c r="AM45" i="47"/>
  <c r="AK45" i="47"/>
  <c r="AH45" i="47"/>
  <c r="AI45" i="47" s="1"/>
  <c r="AG45" i="47"/>
  <c r="AL45" i="47" s="1"/>
  <c r="AF45" i="47"/>
  <c r="AE45" i="47"/>
  <c r="AD45" i="47"/>
  <c r="Y45" i="47"/>
  <c r="V45" i="47"/>
  <c r="T45" i="47"/>
  <c r="AM44" i="47"/>
  <c r="AK44" i="47"/>
  <c r="AJ44" i="47"/>
  <c r="AI44" i="47"/>
  <c r="AH44" i="47"/>
  <c r="AG44" i="47"/>
  <c r="AL44" i="47" s="1"/>
  <c r="AF44" i="47"/>
  <c r="AE44" i="47"/>
  <c r="AD44" i="47"/>
  <c r="Y44" i="47"/>
  <c r="V44" i="47"/>
  <c r="T44" i="47"/>
  <c r="AM43" i="47"/>
  <c r="AK43" i="47"/>
  <c r="AH43" i="47"/>
  <c r="AI43" i="47" s="1"/>
  <c r="AG43" i="47"/>
  <c r="AF43" i="47"/>
  <c r="AE43" i="47"/>
  <c r="AD43" i="47"/>
  <c r="Y43" i="47"/>
  <c r="V43" i="47"/>
  <c r="T43" i="47"/>
  <c r="AM42" i="47"/>
  <c r="AK42" i="47"/>
  <c r="AH42" i="47"/>
  <c r="AI42" i="47" s="1"/>
  <c r="AF42" i="47"/>
  <c r="AG42" i="47" s="1"/>
  <c r="AE42" i="47"/>
  <c r="AD42" i="47"/>
  <c r="Y42" i="47"/>
  <c r="V42" i="47"/>
  <c r="T42" i="47"/>
  <c r="AM41" i="47"/>
  <c r="AK41" i="47"/>
  <c r="AI41" i="47"/>
  <c r="AH41" i="47"/>
  <c r="AF41" i="47"/>
  <c r="AG41" i="47" s="1"/>
  <c r="AE41" i="47"/>
  <c r="AD41" i="47"/>
  <c r="Y41" i="47"/>
  <c r="V41" i="47"/>
  <c r="T41" i="47"/>
  <c r="AM40" i="47"/>
  <c r="AK40" i="47"/>
  <c r="AI40" i="47"/>
  <c r="AH40" i="47"/>
  <c r="AF40" i="47"/>
  <c r="AG40" i="47" s="1"/>
  <c r="AE40" i="47"/>
  <c r="AD40" i="47"/>
  <c r="AN40" i="47" s="1"/>
  <c r="Y40" i="47"/>
  <c r="V40" i="47"/>
  <c r="T40" i="47"/>
  <c r="AM39" i="47"/>
  <c r="AK39" i="47"/>
  <c r="AH39" i="47"/>
  <c r="AI39" i="47" s="1"/>
  <c r="AF39" i="47"/>
  <c r="AG39" i="47" s="1"/>
  <c r="AE39" i="47"/>
  <c r="AD39" i="47"/>
  <c r="AN39" i="47" s="1"/>
  <c r="Y39" i="47"/>
  <c r="V39" i="47"/>
  <c r="T39" i="47"/>
  <c r="AM38" i="47"/>
  <c r="AK38" i="47"/>
  <c r="AI38" i="47"/>
  <c r="AL38" i="47" s="1"/>
  <c r="AH38" i="47"/>
  <c r="AG38" i="47"/>
  <c r="AJ38" i="47" s="1"/>
  <c r="AF38" i="47"/>
  <c r="AE38" i="47"/>
  <c r="AD38" i="47"/>
  <c r="AN38" i="47" s="1"/>
  <c r="Y38" i="47"/>
  <c r="V38" i="47"/>
  <c r="U38" i="47"/>
  <c r="T38" i="47"/>
  <c r="AM37" i="47"/>
  <c r="AK37" i="47"/>
  <c r="AH37" i="47"/>
  <c r="AI37" i="47" s="1"/>
  <c r="AF37" i="47"/>
  <c r="AG37" i="47" s="1"/>
  <c r="AE37" i="47"/>
  <c r="AD37" i="47"/>
  <c r="AN37" i="47" s="1"/>
  <c r="Y37" i="47"/>
  <c r="V37" i="47"/>
  <c r="T37" i="47"/>
  <c r="AM36" i="47"/>
  <c r="AK36" i="47"/>
  <c r="AH36" i="47"/>
  <c r="AI36" i="47" s="1"/>
  <c r="AG36" i="47"/>
  <c r="AL36" i="47" s="1"/>
  <c r="AF36" i="47"/>
  <c r="AE36" i="47"/>
  <c r="AD36" i="47"/>
  <c r="Y36" i="47"/>
  <c r="V36" i="47"/>
  <c r="T36" i="47"/>
  <c r="AM35" i="47"/>
  <c r="AK35" i="47"/>
  <c r="AJ35" i="47"/>
  <c r="AI35" i="47"/>
  <c r="AH35" i="47"/>
  <c r="AG35" i="47"/>
  <c r="AL35" i="47" s="1"/>
  <c r="AF35" i="47"/>
  <c r="AE35" i="47"/>
  <c r="AN35" i="47" s="1"/>
  <c r="AD35" i="47"/>
  <c r="Y35" i="47"/>
  <c r="V35" i="47"/>
  <c r="T35" i="47"/>
  <c r="AM34" i="47"/>
  <c r="AK34" i="47"/>
  <c r="AH34" i="47"/>
  <c r="AI34" i="47" s="1"/>
  <c r="AF34" i="47"/>
  <c r="AG34" i="47" s="1"/>
  <c r="AE34" i="47"/>
  <c r="AD34" i="47"/>
  <c r="Y34" i="47"/>
  <c r="V34" i="47"/>
  <c r="T34" i="47"/>
  <c r="AM33" i="47"/>
  <c r="AK33" i="47"/>
  <c r="AH33" i="47"/>
  <c r="AI33" i="47" s="1"/>
  <c r="AF33" i="47"/>
  <c r="AG33" i="47" s="1"/>
  <c r="AE33" i="47"/>
  <c r="AD33" i="47"/>
  <c r="Y33" i="47"/>
  <c r="W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U32" i="47"/>
  <c r="T32" i="47"/>
  <c r="AM31" i="47"/>
  <c r="AK31" i="47"/>
  <c r="AI31" i="47"/>
  <c r="AH31" i="47"/>
  <c r="AF31" i="47"/>
  <c r="AG31" i="47" s="1"/>
  <c r="AE31" i="47"/>
  <c r="AD31" i="47"/>
  <c r="AN31" i="47" s="1"/>
  <c r="Y31" i="47"/>
  <c r="V31" i="47"/>
  <c r="T31" i="47"/>
  <c r="AM30" i="47"/>
  <c r="AK30" i="47"/>
  <c r="AH30" i="47"/>
  <c r="AI30" i="47" s="1"/>
  <c r="AF30" i="47"/>
  <c r="AG30" i="47" s="1"/>
  <c r="AE30" i="47"/>
  <c r="AD30" i="47"/>
  <c r="AN30" i="47" s="1"/>
  <c r="Y30" i="47"/>
  <c r="V30" i="47"/>
  <c r="T30" i="47"/>
  <c r="AM29" i="47"/>
  <c r="AK29" i="47"/>
  <c r="AI29" i="47"/>
  <c r="AH29" i="47"/>
  <c r="AG29" i="47"/>
  <c r="AL29" i="47" s="1"/>
  <c r="AF29" i="47"/>
  <c r="AE29" i="47"/>
  <c r="AD29" i="47"/>
  <c r="Y29" i="47"/>
  <c r="V29" i="47"/>
  <c r="T29" i="47"/>
  <c r="AM28" i="47"/>
  <c r="AK28" i="47"/>
  <c r="AH28" i="47"/>
  <c r="AI28" i="47" s="1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Y27" i="47"/>
  <c r="V27" i="47"/>
  <c r="T27" i="47"/>
  <c r="AM26" i="47"/>
  <c r="AK26" i="47"/>
  <c r="AJ26" i="47"/>
  <c r="AI26" i="47"/>
  <c r="AH26" i="47"/>
  <c r="AG26" i="47"/>
  <c r="AL26" i="47" s="1"/>
  <c r="AF26" i="47"/>
  <c r="AE26" i="47"/>
  <c r="AD26" i="47"/>
  <c r="Y26" i="47"/>
  <c r="V26" i="47"/>
  <c r="T26" i="47"/>
  <c r="AM25" i="47"/>
  <c r="AK25" i="47"/>
  <c r="AH25" i="47"/>
  <c r="AI25" i="47" s="1"/>
  <c r="AF25" i="47"/>
  <c r="AG25" i="47" s="1"/>
  <c r="AE25" i="47"/>
  <c r="AD25" i="47"/>
  <c r="Y25" i="47"/>
  <c r="V25" i="47"/>
  <c r="T25" i="47"/>
  <c r="AM24" i="47"/>
  <c r="AK24" i="47"/>
  <c r="AH24" i="47"/>
  <c r="AI24" i="47" s="1"/>
  <c r="AF24" i="47"/>
  <c r="AG24" i="47" s="1"/>
  <c r="AE24" i="47"/>
  <c r="AD24" i="47"/>
  <c r="AN24" i="47" s="1"/>
  <c r="Y24" i="47"/>
  <c r="W24" i="47"/>
  <c r="V24" i="47"/>
  <c r="T24" i="47"/>
  <c r="AM23" i="47"/>
  <c r="AK23" i="47"/>
  <c r="AI23" i="47"/>
  <c r="AH23" i="47"/>
  <c r="AF23" i="47"/>
  <c r="AG23" i="47" s="1"/>
  <c r="AE23" i="47"/>
  <c r="AD23" i="47"/>
  <c r="Y23" i="47"/>
  <c r="V23" i="47"/>
  <c r="U23" i="47"/>
  <c r="T23" i="47"/>
  <c r="AM22" i="47"/>
  <c r="AK22" i="47"/>
  <c r="AI22" i="47"/>
  <c r="AH22" i="47"/>
  <c r="AF22" i="47"/>
  <c r="AG22" i="47" s="1"/>
  <c r="AE22" i="47"/>
  <c r="AD22" i="47"/>
  <c r="Y22" i="47"/>
  <c r="V22" i="47"/>
  <c r="T22" i="47"/>
  <c r="AM21" i="47"/>
  <c r="AK21" i="47"/>
  <c r="AH21" i="47"/>
  <c r="AI21" i="47" s="1"/>
  <c r="AF21" i="47"/>
  <c r="AG21" i="47" s="1"/>
  <c r="AE21" i="47"/>
  <c r="AD21" i="47"/>
  <c r="Y21" i="47"/>
  <c r="V21" i="47"/>
  <c r="T21" i="47"/>
  <c r="AM20" i="47"/>
  <c r="AK20" i="47"/>
  <c r="AI20" i="47"/>
  <c r="AH20" i="47"/>
  <c r="AG20" i="47"/>
  <c r="AL20" i="47" s="1"/>
  <c r="AF20" i="47"/>
  <c r="AE20" i="47"/>
  <c r="AD20" i="47"/>
  <c r="Y20" i="47"/>
  <c r="V20" i="47"/>
  <c r="T20" i="47"/>
  <c r="AM19" i="47"/>
  <c r="AK19" i="47"/>
  <c r="AH19" i="47"/>
  <c r="AI19" i="47" s="1"/>
  <c r="AF19" i="47"/>
  <c r="AG19" i="47" s="1"/>
  <c r="AE19" i="47"/>
  <c r="AD19" i="47"/>
  <c r="AN19" i="47" s="1"/>
  <c r="Y19" i="47"/>
  <c r="V19" i="47"/>
  <c r="T19" i="47"/>
  <c r="AM18" i="47"/>
  <c r="AK18" i="47"/>
  <c r="AH18" i="47"/>
  <c r="AI18" i="47" s="1"/>
  <c r="AG18" i="47"/>
  <c r="AF18" i="47"/>
  <c r="AE18" i="47"/>
  <c r="AD18" i="47"/>
  <c r="AN18" i="47" s="1"/>
  <c r="Y18" i="47"/>
  <c r="W18" i="47"/>
  <c r="V18" i="47"/>
  <c r="T18" i="47"/>
  <c r="AM17" i="47"/>
  <c r="AK17" i="47"/>
  <c r="AJ17" i="47"/>
  <c r="AI17" i="47"/>
  <c r="AH17" i="47"/>
  <c r="AG17" i="47"/>
  <c r="AL17" i="47" s="1"/>
  <c r="AF17" i="47"/>
  <c r="AE17" i="47"/>
  <c r="AD17" i="47"/>
  <c r="Y17" i="47"/>
  <c r="V17" i="47"/>
  <c r="T17" i="47"/>
  <c r="AM16" i="47"/>
  <c r="AK16" i="47"/>
  <c r="AH16" i="47"/>
  <c r="AI16" i="47" s="1"/>
  <c r="AF16" i="47"/>
  <c r="AG16" i="47" s="1"/>
  <c r="AE16" i="47"/>
  <c r="AD16" i="47"/>
  <c r="Y16" i="47"/>
  <c r="V16" i="47"/>
  <c r="T16" i="47"/>
  <c r="AM15" i="47"/>
  <c r="AK15" i="47"/>
  <c r="AI15" i="47"/>
  <c r="AJ15" i="47" s="1"/>
  <c r="AH15" i="47"/>
  <c r="AG15" i="47"/>
  <c r="AL15" i="47" s="1"/>
  <c r="AF15" i="47"/>
  <c r="AE15" i="47"/>
  <c r="AD15" i="47"/>
  <c r="Y15" i="47"/>
  <c r="V15" i="47"/>
  <c r="T15" i="47"/>
  <c r="AM14" i="47"/>
  <c r="AK14" i="47"/>
  <c r="AH14" i="47"/>
  <c r="AI14" i="47" s="1"/>
  <c r="AF14" i="47"/>
  <c r="AG14" i="47" s="1"/>
  <c r="AE14" i="47"/>
  <c r="AD14" i="47"/>
  <c r="Y14" i="47"/>
  <c r="V14" i="47"/>
  <c r="T14" i="47"/>
  <c r="AM13" i="47"/>
  <c r="AK13" i="47"/>
  <c r="AH13" i="47"/>
  <c r="AI13" i="47" s="1"/>
  <c r="AG13" i="47"/>
  <c r="AL13" i="47" s="1"/>
  <c r="AF13" i="47"/>
  <c r="AE13" i="47"/>
  <c r="AD13" i="47"/>
  <c r="Y13" i="47"/>
  <c r="V13" i="47"/>
  <c r="U13" i="47"/>
  <c r="T13" i="47"/>
  <c r="AM12" i="47"/>
  <c r="AK12" i="47"/>
  <c r="AH12" i="47"/>
  <c r="AI12" i="47" s="1"/>
  <c r="AF12" i="47"/>
  <c r="AG12" i="47" s="1"/>
  <c r="AE12" i="47"/>
  <c r="AD12" i="47"/>
  <c r="Y12" i="47"/>
  <c r="V12" i="47"/>
  <c r="T12" i="47"/>
  <c r="A12" i="47"/>
  <c r="AM11" i="47"/>
  <c r="AK11" i="47"/>
  <c r="AI11" i="47"/>
  <c r="AH11" i="47"/>
  <c r="AG11" i="47"/>
  <c r="AL11" i="47" s="1"/>
  <c r="AF11" i="47"/>
  <c r="AE11" i="47"/>
  <c r="AD11" i="47"/>
  <c r="AN11" i="47" s="1"/>
  <c r="Y11" i="47"/>
  <c r="V11" i="47"/>
  <c r="T11" i="47"/>
  <c r="AM10" i="47"/>
  <c r="AK10" i="47"/>
  <c r="AI10" i="47"/>
  <c r="AH10" i="47"/>
  <c r="AG10" i="47"/>
  <c r="AL10" i="47" s="1"/>
  <c r="AF10" i="47"/>
  <c r="AE10" i="47"/>
  <c r="AD10" i="47"/>
  <c r="Y10" i="47"/>
  <c r="V10" i="47"/>
  <c r="T10" i="47"/>
  <c r="A10" i="47"/>
  <c r="W15" i="47" s="1"/>
  <c r="AM9" i="47"/>
  <c r="AK9" i="47"/>
  <c r="AH9" i="47"/>
  <c r="AI9" i="47" s="1"/>
  <c r="AG9" i="47"/>
  <c r="AL9" i="47" s="1"/>
  <c r="AF9" i="47"/>
  <c r="AE9" i="47"/>
  <c r="AD9" i="47"/>
  <c r="Y9" i="47"/>
  <c r="V9" i="47"/>
  <c r="T9" i="47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G7" i="47"/>
  <c r="AF7" i="47"/>
  <c r="Y7" i="47"/>
  <c r="V7" i="47"/>
  <c r="U7" i="47"/>
  <c r="T7" i="47"/>
  <c r="AH7" i="47" s="1"/>
  <c r="AI7" i="47" s="1"/>
  <c r="AM6" i="47"/>
  <c r="AK6" i="47"/>
  <c r="AF6" i="47"/>
  <c r="AG6" i="47" s="1"/>
  <c r="AD6" i="47"/>
  <c r="Y6" i="47"/>
  <c r="V6" i="47"/>
  <c r="T6" i="47"/>
  <c r="AH6" i="47" s="1"/>
  <c r="AI6" i="47" s="1"/>
  <c r="A6" i="47"/>
  <c r="AM5" i="47"/>
  <c r="S15" i="67" s="1"/>
  <c r="AK5" i="47"/>
  <c r="AF5" i="47"/>
  <c r="AG5" i="47" s="1"/>
  <c r="Y5" i="47"/>
  <c r="A14" i="47" s="1"/>
  <c r="K15" i="67" s="1"/>
  <c r="V5" i="47"/>
  <c r="T5" i="47"/>
  <c r="AD5" i="47" s="1"/>
  <c r="F1" i="47"/>
  <c r="AM82" i="46"/>
  <c r="AK82" i="46"/>
  <c r="AH82" i="46"/>
  <c r="AI82" i="46" s="1"/>
  <c r="AG82" i="46"/>
  <c r="AF82" i="46"/>
  <c r="AE82" i="46"/>
  <c r="AD82" i="46"/>
  <c r="Y82" i="46"/>
  <c r="V82" i="46"/>
  <c r="T82" i="46"/>
  <c r="AM81" i="46"/>
  <c r="AK81" i="46"/>
  <c r="AI81" i="46"/>
  <c r="AH81" i="46"/>
  <c r="AF81" i="46"/>
  <c r="AG81" i="46" s="1"/>
  <c r="AE81" i="46"/>
  <c r="AD81" i="46"/>
  <c r="Y81" i="46"/>
  <c r="V81" i="46"/>
  <c r="T81" i="46"/>
  <c r="AM80" i="46"/>
  <c r="AK80" i="46"/>
  <c r="AH80" i="46"/>
  <c r="AI80" i="46" s="1"/>
  <c r="AF80" i="46"/>
  <c r="AG80" i="46" s="1"/>
  <c r="AE80" i="46"/>
  <c r="AD80" i="46"/>
  <c r="AN80" i="46" s="1"/>
  <c r="Y80" i="46"/>
  <c r="V80" i="46"/>
  <c r="T80" i="46"/>
  <c r="AM79" i="46"/>
  <c r="AK79" i="46"/>
  <c r="AH79" i="46"/>
  <c r="AI79" i="46" s="1"/>
  <c r="AF79" i="46"/>
  <c r="AG79" i="46" s="1"/>
  <c r="AE79" i="46"/>
  <c r="AD79" i="46"/>
  <c r="Y79" i="46"/>
  <c r="V79" i="46"/>
  <c r="T79" i="46"/>
  <c r="AM78" i="46"/>
  <c r="AK78" i="46"/>
  <c r="AH78" i="46"/>
  <c r="AI78" i="46" s="1"/>
  <c r="AF78" i="46"/>
  <c r="AG78" i="46" s="1"/>
  <c r="AE78" i="46"/>
  <c r="AD78" i="46"/>
  <c r="Y78" i="46"/>
  <c r="V78" i="46"/>
  <c r="T78" i="46"/>
  <c r="AM77" i="46"/>
  <c r="AK77" i="46"/>
  <c r="AH77" i="46"/>
  <c r="AI77" i="46" s="1"/>
  <c r="AF77" i="46"/>
  <c r="AG77" i="46" s="1"/>
  <c r="AE77" i="46"/>
  <c r="AD77" i="46"/>
  <c r="AN77" i="46" s="1"/>
  <c r="Y77" i="46"/>
  <c r="V77" i="46"/>
  <c r="T77" i="46"/>
  <c r="AM76" i="46"/>
  <c r="AK76" i="46"/>
  <c r="AH76" i="46"/>
  <c r="AI76" i="46" s="1"/>
  <c r="AG76" i="46"/>
  <c r="AL76" i="46" s="1"/>
  <c r="AF76" i="46"/>
  <c r="AE76" i="46"/>
  <c r="AD76" i="46"/>
  <c r="Y76" i="46"/>
  <c r="V76" i="46"/>
  <c r="T76" i="46"/>
  <c r="AM75" i="46"/>
  <c r="AK75" i="46"/>
  <c r="AI75" i="46"/>
  <c r="AH75" i="46"/>
  <c r="AF75" i="46"/>
  <c r="AG75" i="46" s="1"/>
  <c r="AE75" i="46"/>
  <c r="AD75" i="46"/>
  <c r="AN75" i="46" s="1"/>
  <c r="Y75" i="46"/>
  <c r="V75" i="46"/>
  <c r="T75" i="46"/>
  <c r="AM74" i="46"/>
  <c r="AK74" i="46"/>
  <c r="AH74" i="46"/>
  <c r="AI74" i="46" s="1"/>
  <c r="AF74" i="46"/>
  <c r="AG74" i="46" s="1"/>
  <c r="AE74" i="46"/>
  <c r="AD74" i="46"/>
  <c r="AN74" i="46" s="1"/>
  <c r="Y74" i="46"/>
  <c r="V74" i="46"/>
  <c r="T74" i="46"/>
  <c r="AM73" i="46"/>
  <c r="AK73" i="46"/>
  <c r="AH73" i="46"/>
  <c r="AI73" i="46" s="1"/>
  <c r="AF73" i="46"/>
  <c r="AG73" i="46" s="1"/>
  <c r="AE73" i="46"/>
  <c r="AD73" i="46"/>
  <c r="Y73" i="46"/>
  <c r="V73" i="46"/>
  <c r="T73" i="46"/>
  <c r="AM72" i="46"/>
  <c r="AK72" i="46"/>
  <c r="AH72" i="46"/>
  <c r="AI72" i="46" s="1"/>
  <c r="AF72" i="46"/>
  <c r="AG72" i="46" s="1"/>
  <c r="AE72" i="46"/>
  <c r="AD72" i="46"/>
  <c r="AN72" i="46" s="1"/>
  <c r="Y72" i="46"/>
  <c r="V72" i="46"/>
  <c r="T72" i="46"/>
  <c r="AM71" i="46"/>
  <c r="AK71" i="46"/>
  <c r="AH71" i="46"/>
  <c r="AI71" i="46" s="1"/>
  <c r="AF71" i="46"/>
  <c r="AG71" i="46" s="1"/>
  <c r="AE71" i="46"/>
  <c r="AD71" i="46"/>
  <c r="Y71" i="46"/>
  <c r="V71" i="46"/>
  <c r="T71" i="46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H69" i="46"/>
  <c r="AI69" i="46" s="1"/>
  <c r="AF69" i="46"/>
  <c r="AG69" i="46" s="1"/>
  <c r="AD69" i="46"/>
  <c r="Y69" i="46"/>
  <c r="V69" i="46"/>
  <c r="T69" i="46"/>
  <c r="AE69" i="46" s="1"/>
  <c r="AK68" i="46"/>
  <c r="AH68" i="46"/>
  <c r="AI68" i="46" s="1"/>
  <c r="AF68" i="46"/>
  <c r="AG68" i="46" s="1"/>
  <c r="AD68" i="46"/>
  <c r="Y68" i="46"/>
  <c r="V68" i="46"/>
  <c r="T68" i="46"/>
  <c r="AE68" i="46" s="1"/>
  <c r="AK67" i="46"/>
  <c r="AF67" i="46"/>
  <c r="AG67" i="46" s="1"/>
  <c r="AD67" i="46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H65" i="46"/>
  <c r="AI65" i="46" s="1"/>
  <c r="AF65" i="46"/>
  <c r="AG65" i="46" s="1"/>
  <c r="AE65" i="46"/>
  <c r="AD65" i="46"/>
  <c r="Y65" i="46"/>
  <c r="V65" i="46"/>
  <c r="T65" i="46"/>
  <c r="AM64" i="46"/>
  <c r="AK64" i="46"/>
  <c r="AH64" i="46"/>
  <c r="AI64" i="46" s="1"/>
  <c r="AG64" i="46"/>
  <c r="AL64" i="46" s="1"/>
  <c r="AF64" i="46"/>
  <c r="AE64" i="46"/>
  <c r="AD64" i="46"/>
  <c r="Y64" i="46"/>
  <c r="V64" i="46"/>
  <c r="T64" i="46"/>
  <c r="AK63" i="46"/>
  <c r="AF63" i="46"/>
  <c r="AG63" i="46" s="1"/>
  <c r="AE63" i="46"/>
  <c r="AD63" i="46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E61" i="46"/>
  <c r="AD61" i="46"/>
  <c r="Y61" i="46"/>
  <c r="V61" i="46"/>
  <c r="T61" i="46"/>
  <c r="AH61" i="46" s="1"/>
  <c r="AI61" i="46" s="1"/>
  <c r="AM60" i="46"/>
  <c r="AK60" i="46"/>
  <c r="AH60" i="46"/>
  <c r="AI60" i="46" s="1"/>
  <c r="AF60" i="46"/>
  <c r="AG60" i="46" s="1"/>
  <c r="AE60" i="46"/>
  <c r="Y60" i="46"/>
  <c r="V60" i="46"/>
  <c r="T60" i="46"/>
  <c r="AD60" i="46" s="1"/>
  <c r="AM59" i="46"/>
  <c r="AK59" i="46"/>
  <c r="AF59" i="46"/>
  <c r="AG59" i="46" s="1"/>
  <c r="AE59" i="46"/>
  <c r="AD59" i="46"/>
  <c r="Y59" i="46"/>
  <c r="V59" i="46"/>
  <c r="T59" i="46"/>
  <c r="AH59" i="46" s="1"/>
  <c r="AI59" i="46" s="1"/>
  <c r="AK58" i="46"/>
  <c r="AF58" i="46"/>
  <c r="AG58" i="46" s="1"/>
  <c r="AD58" i="46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H56" i="46"/>
  <c r="AI56" i="46" s="1"/>
  <c r="AF56" i="46"/>
  <c r="AG56" i="46" s="1"/>
  <c r="AE56" i="46"/>
  <c r="Y56" i="46"/>
  <c r="V56" i="46"/>
  <c r="T56" i="46"/>
  <c r="AD56" i="46" s="1"/>
  <c r="AM55" i="46"/>
  <c r="AK55" i="46"/>
  <c r="AH55" i="46"/>
  <c r="AI55" i="46" s="1"/>
  <c r="AF55" i="46"/>
  <c r="AG55" i="46" s="1"/>
  <c r="AE55" i="46"/>
  <c r="AD55" i="46"/>
  <c r="Y55" i="46"/>
  <c r="V55" i="46"/>
  <c r="T55" i="46"/>
  <c r="AK54" i="46"/>
  <c r="AF54" i="46"/>
  <c r="AG54" i="46" s="1"/>
  <c r="AE54" i="46"/>
  <c r="AD54" i="46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H51" i="46"/>
  <c r="AI51" i="46" s="1"/>
  <c r="AF51" i="46"/>
  <c r="AG51" i="46" s="1"/>
  <c r="AD51" i="46"/>
  <c r="Y51" i="46"/>
  <c r="V51" i="46"/>
  <c r="T51" i="46"/>
  <c r="AE51" i="46" s="1"/>
  <c r="AK50" i="46"/>
  <c r="AH50" i="46"/>
  <c r="AI50" i="46" s="1"/>
  <c r="AF50" i="46"/>
  <c r="AG50" i="46" s="1"/>
  <c r="AD50" i="46"/>
  <c r="Y50" i="46"/>
  <c r="V50" i="46"/>
  <c r="T50" i="46"/>
  <c r="AE50" i="46" s="1"/>
  <c r="AK49" i="46"/>
  <c r="AF49" i="46"/>
  <c r="AG49" i="46" s="1"/>
  <c r="AD49" i="46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H47" i="46"/>
  <c r="AI47" i="46" s="1"/>
  <c r="AF47" i="46"/>
  <c r="AG47" i="46" s="1"/>
  <c r="AE47" i="46"/>
  <c r="AD47" i="46"/>
  <c r="Y47" i="46"/>
  <c r="V47" i="46"/>
  <c r="T47" i="46"/>
  <c r="AK46" i="46"/>
  <c r="AH46" i="46"/>
  <c r="AI46" i="46" s="1"/>
  <c r="AG46" i="46"/>
  <c r="AF46" i="46"/>
  <c r="AE46" i="46"/>
  <c r="AD46" i="46"/>
  <c r="Y46" i="46"/>
  <c r="V46" i="46"/>
  <c r="T46" i="46"/>
  <c r="AM46" i="46" s="1"/>
  <c r="AM45" i="46"/>
  <c r="AK45" i="46"/>
  <c r="AH45" i="46"/>
  <c r="AI45" i="46" s="1"/>
  <c r="AF45" i="46"/>
  <c r="AG45" i="46" s="1"/>
  <c r="AE45" i="46"/>
  <c r="AD45" i="46"/>
  <c r="Y45" i="46"/>
  <c r="V45" i="46"/>
  <c r="T45" i="46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G39" i="46"/>
  <c r="AF39" i="46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AE36" i="46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AL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G32" i="46"/>
  <c r="AF32" i="46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M25" i="46"/>
  <c r="AK25" i="46"/>
  <c r="AG25" i="46"/>
  <c r="AF25" i="46"/>
  <c r="Y25" i="46"/>
  <c r="V25" i="46"/>
  <c r="T25" i="46"/>
  <c r="AH25" i="46" s="1"/>
  <c r="AI25" i="46" s="1"/>
  <c r="AK24" i="46"/>
  <c r="AF24" i="46"/>
  <c r="AG24" i="46" s="1"/>
  <c r="AE24" i="46"/>
  <c r="Y24" i="46"/>
  <c r="V24" i="46"/>
  <c r="T24" i="46"/>
  <c r="AD24" i="46" s="1"/>
  <c r="AK23" i="46"/>
  <c r="AG23" i="46"/>
  <c r="AF23" i="46"/>
  <c r="Y23" i="46"/>
  <c r="V23" i="46"/>
  <c r="T23" i="46"/>
  <c r="AH23" i="46" s="1"/>
  <c r="AI23" i="46" s="1"/>
  <c r="AM22" i="46"/>
  <c r="AK22" i="46"/>
  <c r="AF22" i="46"/>
  <c r="AG22" i="46" s="1"/>
  <c r="AL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M18" i="46"/>
  <c r="AK18" i="46"/>
  <c r="AG18" i="46"/>
  <c r="AF18" i="46"/>
  <c r="AE18" i="46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M16" i="46"/>
  <c r="AK16" i="46"/>
  <c r="AF16" i="46"/>
  <c r="AG16" i="46" s="1"/>
  <c r="Y16" i="46"/>
  <c r="V16" i="46"/>
  <c r="T16" i="46"/>
  <c r="AH16" i="46" s="1"/>
  <c r="AI16" i="46" s="1"/>
  <c r="AM15" i="46"/>
  <c r="AK15" i="46"/>
  <c r="AH15" i="46"/>
  <c r="AI15" i="46" s="1"/>
  <c r="AF15" i="46"/>
  <c r="AG15" i="46" s="1"/>
  <c r="AD15" i="46"/>
  <c r="Y15" i="46"/>
  <c r="V15" i="46"/>
  <c r="T15" i="46"/>
  <c r="AE15" i="46" s="1"/>
  <c r="AM14" i="46"/>
  <c r="AK14" i="46"/>
  <c r="AF14" i="46"/>
  <c r="AG14" i="46" s="1"/>
  <c r="Y14" i="46"/>
  <c r="V14" i="46"/>
  <c r="T14" i="46"/>
  <c r="AE14" i="46" s="1"/>
  <c r="AM13" i="46"/>
  <c r="AK13" i="46"/>
  <c r="AF13" i="46"/>
  <c r="AG13" i="46" s="1"/>
  <c r="Y13" i="46"/>
  <c r="V13" i="46"/>
  <c r="T13" i="46"/>
  <c r="AH13" i="46" s="1"/>
  <c r="AI13" i="46" s="1"/>
  <c r="AM12" i="46"/>
  <c r="AK12" i="46"/>
  <c r="AH12" i="46"/>
  <c r="AI12" i="46" s="1"/>
  <c r="AF12" i="46"/>
  <c r="AG12" i="46" s="1"/>
  <c r="Y12" i="46"/>
  <c r="V12" i="46"/>
  <c r="T12" i="46"/>
  <c r="AE12" i="46" s="1"/>
  <c r="A12" i="46"/>
  <c r="AM11" i="46"/>
  <c r="AK11" i="46"/>
  <c r="AF11" i="46"/>
  <c r="AG11" i="46" s="1"/>
  <c r="AE11" i="46"/>
  <c r="Y11" i="46"/>
  <c r="V11" i="46"/>
  <c r="T11" i="46"/>
  <c r="AH11" i="46" s="1"/>
  <c r="AI11" i="46" s="1"/>
  <c r="AM10" i="46"/>
  <c r="AK10" i="46"/>
  <c r="AF10" i="46"/>
  <c r="AG10" i="46" s="1"/>
  <c r="AE10" i="46"/>
  <c r="AD10" i="46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M8" i="46"/>
  <c r="AK8" i="46"/>
  <c r="AG8" i="46"/>
  <c r="AF8" i="46"/>
  <c r="Y8" i="46"/>
  <c r="V8" i="46"/>
  <c r="T8" i="46"/>
  <c r="AD8" i="46" s="1"/>
  <c r="AK7" i="46"/>
  <c r="AF7" i="46"/>
  <c r="AG7" i="46" s="1"/>
  <c r="AD7" i="46"/>
  <c r="Y7" i="46"/>
  <c r="V7" i="46"/>
  <c r="T7" i="46"/>
  <c r="AH7" i="46" s="1"/>
  <c r="AI7" i="46" s="1"/>
  <c r="AM6" i="46"/>
  <c r="AK6" i="46"/>
  <c r="AH6" i="46"/>
  <c r="AI6" i="46" s="1"/>
  <c r="AF6" i="46"/>
  <c r="AG6" i="46" s="1"/>
  <c r="AD6" i="46"/>
  <c r="Y6" i="46"/>
  <c r="V6" i="46"/>
  <c r="U6" i="46"/>
  <c r="T6" i="46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I24" i="45"/>
  <c r="AH24" i="45"/>
  <c r="AF24" i="45"/>
  <c r="AG24" i="45" s="1"/>
  <c r="AE24" i="45"/>
  <c r="AD24" i="45"/>
  <c r="Y24" i="45"/>
  <c r="V24" i="45"/>
  <c r="T24" i="45"/>
  <c r="AM23" i="45"/>
  <c r="AK23" i="45"/>
  <c r="AH23" i="45"/>
  <c r="AI23" i="45" s="1"/>
  <c r="AF23" i="45"/>
  <c r="AG23" i="45" s="1"/>
  <c r="AE23" i="45"/>
  <c r="AD23" i="45"/>
  <c r="Y23" i="45"/>
  <c r="V23" i="45"/>
  <c r="T23" i="45"/>
  <c r="AM22" i="45"/>
  <c r="AK22" i="45"/>
  <c r="AH22" i="45"/>
  <c r="AI22" i="45" s="1"/>
  <c r="AF22" i="45"/>
  <c r="AG22" i="45" s="1"/>
  <c r="AE22" i="45"/>
  <c r="AD22" i="45"/>
  <c r="Y22" i="45"/>
  <c r="V22" i="45"/>
  <c r="T22" i="45"/>
  <c r="AM21" i="45"/>
  <c r="AK21" i="45"/>
  <c r="AH21" i="45"/>
  <c r="AI21" i="45" s="1"/>
  <c r="AF21" i="45"/>
  <c r="AG21" i="45" s="1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AN20" i="45" s="1"/>
  <c r="Y20" i="45"/>
  <c r="V20" i="45"/>
  <c r="T20" i="45"/>
  <c r="AM19" i="45"/>
  <c r="AK19" i="45"/>
  <c r="AH19" i="45"/>
  <c r="AI19" i="45" s="1"/>
  <c r="AG19" i="45"/>
  <c r="AF19" i="45"/>
  <c r="AE19" i="45"/>
  <c r="AD19" i="45"/>
  <c r="Y19" i="45"/>
  <c r="V19" i="45"/>
  <c r="T19" i="45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AJ16" i="45" s="1"/>
  <c r="Y16" i="45"/>
  <c r="V16" i="45"/>
  <c r="T16" i="45"/>
  <c r="AH16" i="45" s="1"/>
  <c r="AI16" i="45" s="1"/>
  <c r="AM15" i="45"/>
  <c r="AK15" i="45"/>
  <c r="AG15" i="45"/>
  <c r="AF15" i="45"/>
  <c r="AD15" i="45"/>
  <c r="Y15" i="45"/>
  <c r="V15" i="45"/>
  <c r="T15" i="45"/>
  <c r="AH15" i="45" s="1"/>
  <c r="AI15" i="45" s="1"/>
  <c r="AM14" i="45"/>
  <c r="AK14" i="45"/>
  <c r="AH14" i="45"/>
  <c r="AI14" i="45" s="1"/>
  <c r="AF14" i="45"/>
  <c r="AG14" i="45" s="1"/>
  <c r="AL14" i="45" s="1"/>
  <c r="AD14" i="45"/>
  <c r="AN14" i="45" s="1"/>
  <c r="Y14" i="45"/>
  <c r="V14" i="45"/>
  <c r="T14" i="45"/>
  <c r="AE14" i="45" s="1"/>
  <c r="AM13" i="45"/>
  <c r="AK13" i="45"/>
  <c r="AH13" i="45"/>
  <c r="AI13" i="45" s="1"/>
  <c r="AG13" i="45"/>
  <c r="AF13" i="45"/>
  <c r="AE13" i="45"/>
  <c r="AD13" i="45"/>
  <c r="Y13" i="45"/>
  <c r="V13" i="45"/>
  <c r="T13" i="45"/>
  <c r="AM12" i="45"/>
  <c r="AK12" i="45"/>
  <c r="AG12" i="45"/>
  <c r="AF12" i="45"/>
  <c r="AE12" i="45"/>
  <c r="Y12" i="45"/>
  <c r="V12" i="45"/>
  <c r="T12" i="45"/>
  <c r="AD12" i="45" s="1"/>
  <c r="A12" i="45"/>
  <c r="AM11" i="45"/>
  <c r="AK11" i="45"/>
  <c r="AH11" i="45"/>
  <c r="AI11" i="45" s="1"/>
  <c r="AF11" i="45"/>
  <c r="AG11" i="45" s="1"/>
  <c r="AE11" i="45"/>
  <c r="AD11" i="45"/>
  <c r="Y11" i="45"/>
  <c r="V11" i="45"/>
  <c r="T11" i="45"/>
  <c r="AM10" i="45"/>
  <c r="AK10" i="45"/>
  <c r="AH10" i="45"/>
  <c r="AI10" i="45" s="1"/>
  <c r="AF10" i="45"/>
  <c r="AG10" i="45" s="1"/>
  <c r="AE10" i="45"/>
  <c r="AD10" i="45"/>
  <c r="Y10" i="45"/>
  <c r="V10" i="45"/>
  <c r="T10" i="45"/>
  <c r="A10" i="45"/>
  <c r="W24" i="45" s="1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H6" i="45"/>
  <c r="AI6" i="45" s="1"/>
  <c r="AG6" i="45"/>
  <c r="AF6" i="45"/>
  <c r="AD6" i="45"/>
  <c r="Y6" i="45"/>
  <c r="V6" i="45"/>
  <c r="T6" i="45"/>
  <c r="A6" i="45"/>
  <c r="AK5" i="45"/>
  <c r="AF5" i="45"/>
  <c r="AG5" i="45" s="1"/>
  <c r="Y5" i="45"/>
  <c r="W5" i="45"/>
  <c r="V5" i="45"/>
  <c r="T5" i="45"/>
  <c r="AH5" i="45" s="1"/>
  <c r="AI5" i="45" s="1"/>
  <c r="F1" i="45"/>
  <c r="AM24" i="44"/>
  <c r="AK24" i="44"/>
  <c r="AI24" i="44"/>
  <c r="AH24" i="44"/>
  <c r="AF24" i="44"/>
  <c r="AG24" i="44" s="1"/>
  <c r="AE24" i="44"/>
  <c r="AD24" i="44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H22" i="44"/>
  <c r="AI22" i="44" s="1"/>
  <c r="AF22" i="44"/>
  <c r="AG22" i="44" s="1"/>
  <c r="AE22" i="44"/>
  <c r="AD22" i="44"/>
  <c r="Y22" i="44"/>
  <c r="V22" i="44"/>
  <c r="T22" i="44"/>
  <c r="AM21" i="44"/>
  <c r="AK21" i="44"/>
  <c r="AH21" i="44"/>
  <c r="AI21" i="44" s="1"/>
  <c r="AG21" i="44"/>
  <c r="AL21" i="44" s="1"/>
  <c r="AF21" i="44"/>
  <c r="AE21" i="44"/>
  <c r="AD21" i="44"/>
  <c r="Y21" i="44"/>
  <c r="V21" i="44"/>
  <c r="T21" i="44"/>
  <c r="AM20" i="44"/>
  <c r="AK20" i="44"/>
  <c r="AI20" i="44"/>
  <c r="AH20" i="44"/>
  <c r="AF20" i="44"/>
  <c r="AG20" i="44" s="1"/>
  <c r="AE20" i="44"/>
  <c r="AD20" i="44"/>
  <c r="Y20" i="44"/>
  <c r="V20" i="44"/>
  <c r="T20" i="44"/>
  <c r="AM19" i="44"/>
  <c r="AK19" i="44"/>
  <c r="AH19" i="44"/>
  <c r="AI19" i="44" s="1"/>
  <c r="AG19" i="44"/>
  <c r="AL19" i="44" s="1"/>
  <c r="AF19" i="44"/>
  <c r="AE19" i="44"/>
  <c r="AD19" i="44"/>
  <c r="Y19" i="44"/>
  <c r="V19" i="44"/>
  <c r="T19" i="44"/>
  <c r="AM18" i="44"/>
  <c r="AK18" i="44"/>
  <c r="AI18" i="44"/>
  <c r="AH18" i="44"/>
  <c r="AF18" i="44"/>
  <c r="AG18" i="44" s="1"/>
  <c r="AE18" i="44"/>
  <c r="AD18" i="44"/>
  <c r="Y18" i="44"/>
  <c r="V18" i="44"/>
  <c r="T18" i="44"/>
  <c r="AM17" i="44"/>
  <c r="AK17" i="44"/>
  <c r="AH17" i="44"/>
  <c r="AI17" i="44" s="1"/>
  <c r="AF17" i="44"/>
  <c r="AG17" i="44" s="1"/>
  <c r="AE17" i="44"/>
  <c r="AD17" i="44"/>
  <c r="Y17" i="44"/>
  <c r="V17" i="44"/>
  <c r="T17" i="44"/>
  <c r="AM16" i="44"/>
  <c r="AK16" i="44"/>
  <c r="AH16" i="44"/>
  <c r="AI16" i="44" s="1"/>
  <c r="AF16" i="44"/>
  <c r="AG16" i="44" s="1"/>
  <c r="AE16" i="44"/>
  <c r="AD16" i="44"/>
  <c r="Y16" i="44"/>
  <c r="V16" i="44"/>
  <c r="T16" i="44"/>
  <c r="AM15" i="44"/>
  <c r="AK15" i="44"/>
  <c r="AH15" i="44"/>
  <c r="AI15" i="44" s="1"/>
  <c r="AG15" i="44"/>
  <c r="AF15" i="44"/>
  <c r="AE15" i="44"/>
  <c r="AD15" i="44"/>
  <c r="Y15" i="44"/>
  <c r="V15" i="44"/>
  <c r="T15" i="44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AM11" i="44"/>
  <c r="AK11" i="44"/>
  <c r="AF11" i="44"/>
  <c r="AG11" i="44" s="1"/>
  <c r="Y11" i="44"/>
  <c r="V11" i="44"/>
  <c r="T11" i="44"/>
  <c r="AE11" i="44" s="1"/>
  <c r="AK10" i="44"/>
  <c r="AG10" i="44"/>
  <c r="AF10" i="44"/>
  <c r="Y10" i="44"/>
  <c r="V10" i="44"/>
  <c r="T10" i="44"/>
  <c r="AE10" i="44" s="1"/>
  <c r="A10" i="44"/>
  <c r="U24" i="44" s="1"/>
  <c r="AM9" i="44"/>
  <c r="AK9" i="44"/>
  <c r="AF9" i="44"/>
  <c r="AG9" i="44" s="1"/>
  <c r="Y9" i="44"/>
  <c r="V9" i="44"/>
  <c r="T9" i="44"/>
  <c r="AD9" i="44" s="1"/>
  <c r="AK8" i="44"/>
  <c r="AF8" i="44"/>
  <c r="AG8" i="44" s="1"/>
  <c r="AD8" i="44"/>
  <c r="Y8" i="44"/>
  <c r="W8" i="44"/>
  <c r="V8" i="44"/>
  <c r="T8" i="44"/>
  <c r="AH8" i="44" s="1"/>
  <c r="AI8" i="44" s="1"/>
  <c r="AM7" i="44"/>
  <c r="AK7" i="44"/>
  <c r="AF7" i="44"/>
  <c r="AG7" i="44" s="1"/>
  <c r="Y7" i="44"/>
  <c r="W7" i="44"/>
  <c r="V7" i="44"/>
  <c r="T7" i="44"/>
  <c r="AH7" i="44" s="1"/>
  <c r="AI7" i="44" s="1"/>
  <c r="AK6" i="44"/>
  <c r="AF6" i="44"/>
  <c r="AG6" i="44" s="1"/>
  <c r="Y6" i="44"/>
  <c r="W6" i="44"/>
  <c r="V6" i="44"/>
  <c r="U6" i="44"/>
  <c r="T6" i="44"/>
  <c r="AH6" i="44" s="1"/>
  <c r="AI6" i="44" s="1"/>
  <c r="A6" i="44"/>
  <c r="AM5" i="44"/>
  <c r="AK5" i="44"/>
  <c r="AF5" i="44"/>
  <c r="AG5" i="44" s="1"/>
  <c r="Y5" i="44"/>
  <c r="W5" i="44"/>
  <c r="V5" i="44"/>
  <c r="T5" i="44"/>
  <c r="AH5" i="44" s="1"/>
  <c r="AI5" i="44" s="1"/>
  <c r="F1" i="44"/>
  <c r="AM24" i="43"/>
  <c r="AK24" i="43"/>
  <c r="AH24" i="43"/>
  <c r="AI24" i="43" s="1"/>
  <c r="AL24" i="43" s="1"/>
  <c r="AG24" i="43"/>
  <c r="AJ24" i="43" s="1"/>
  <c r="AF24" i="43"/>
  <c r="AE24" i="43"/>
  <c r="AD24" i="43"/>
  <c r="Y24" i="43"/>
  <c r="V24" i="43"/>
  <c r="T24" i="43"/>
  <c r="AM23" i="43"/>
  <c r="AK23" i="43"/>
  <c r="AH23" i="43"/>
  <c r="AI23" i="43" s="1"/>
  <c r="AF23" i="43"/>
  <c r="AG23" i="43" s="1"/>
  <c r="AE23" i="43"/>
  <c r="AD23" i="43"/>
  <c r="AN23" i="43" s="1"/>
  <c r="Y23" i="43"/>
  <c r="V23" i="43"/>
  <c r="T23" i="43"/>
  <c r="AM22" i="43"/>
  <c r="AK22" i="43"/>
  <c r="AH22" i="43"/>
  <c r="AI22" i="43" s="1"/>
  <c r="AF22" i="43"/>
  <c r="AG22" i="43" s="1"/>
  <c r="AE22" i="43"/>
  <c r="AD22" i="43"/>
  <c r="Y22" i="43"/>
  <c r="V22" i="43"/>
  <c r="T22" i="43"/>
  <c r="AM21" i="43"/>
  <c r="AK21" i="43"/>
  <c r="AH21" i="43"/>
  <c r="AI21" i="43" s="1"/>
  <c r="AF21" i="43"/>
  <c r="AG21" i="43" s="1"/>
  <c r="AE21" i="43"/>
  <c r="AD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H19" i="43"/>
  <c r="AI19" i="43" s="1"/>
  <c r="AF19" i="43"/>
  <c r="AG19" i="43" s="1"/>
  <c r="AD19" i="43"/>
  <c r="Y19" i="43"/>
  <c r="V19" i="43"/>
  <c r="T19" i="43"/>
  <c r="AE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AK11" i="43"/>
  <c r="AH11" i="43"/>
  <c r="AI11" i="43" s="1"/>
  <c r="AF11" i="43"/>
  <c r="AG11" i="43" s="1"/>
  <c r="Y11" i="43"/>
  <c r="V11" i="43"/>
  <c r="T11" i="43"/>
  <c r="AE11" i="43" s="1"/>
  <c r="AM10" i="43"/>
  <c r="AK10" i="43"/>
  <c r="AH10" i="43"/>
  <c r="AI10" i="43" s="1"/>
  <c r="AF10" i="43"/>
  <c r="AG10" i="43" s="1"/>
  <c r="AE10" i="43"/>
  <c r="AD10" i="43"/>
  <c r="Y10" i="43"/>
  <c r="V10" i="43"/>
  <c r="T10" i="43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H24" i="42"/>
  <c r="AI24" i="42" s="1"/>
  <c r="AJ24" i="42" s="1"/>
  <c r="AG24" i="42"/>
  <c r="AL24" i="42" s="1"/>
  <c r="AF24" i="42"/>
  <c r="AE24" i="42"/>
  <c r="AD24" i="42"/>
  <c r="Y24" i="42"/>
  <c r="W24" i="42"/>
  <c r="V24" i="42"/>
  <c r="U24" i="42"/>
  <c r="T24" i="42"/>
  <c r="AM23" i="42"/>
  <c r="AK23" i="42"/>
  <c r="AI23" i="42"/>
  <c r="AH23" i="42"/>
  <c r="AF23" i="42"/>
  <c r="AG23" i="42" s="1"/>
  <c r="AE23" i="42"/>
  <c r="AD23" i="42"/>
  <c r="AN23" i="42" s="1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H21" i="42"/>
  <c r="AI21" i="42" s="1"/>
  <c r="AJ21" i="42" s="1"/>
  <c r="AG21" i="42"/>
  <c r="AF21" i="42"/>
  <c r="AE21" i="42"/>
  <c r="AD21" i="42"/>
  <c r="Y21" i="42"/>
  <c r="W21" i="42"/>
  <c r="V21" i="42"/>
  <c r="U21" i="42"/>
  <c r="T21" i="42"/>
  <c r="AM20" i="42"/>
  <c r="AK20" i="42"/>
  <c r="AI20" i="42"/>
  <c r="AH20" i="42"/>
  <c r="AF20" i="42"/>
  <c r="AG20" i="42" s="1"/>
  <c r="AE20" i="42"/>
  <c r="AD20" i="42"/>
  <c r="AN20" i="42" s="1"/>
  <c r="Y20" i="42"/>
  <c r="W20" i="42"/>
  <c r="V20" i="42"/>
  <c r="U20" i="42"/>
  <c r="T20" i="42"/>
  <c r="AM19" i="42"/>
  <c r="AK19" i="42"/>
  <c r="AI19" i="42"/>
  <c r="AH19" i="42"/>
  <c r="AF19" i="42"/>
  <c r="AG19" i="42" s="1"/>
  <c r="AE19" i="42"/>
  <c r="AD19" i="42"/>
  <c r="Y19" i="42"/>
  <c r="W19" i="42"/>
  <c r="V19" i="42"/>
  <c r="U19" i="42"/>
  <c r="T19" i="42"/>
  <c r="AM18" i="42"/>
  <c r="AK18" i="42"/>
  <c r="AH18" i="42"/>
  <c r="AI18" i="42" s="1"/>
  <c r="AJ18" i="42" s="1"/>
  <c r="AG18" i="42"/>
  <c r="AF18" i="42"/>
  <c r="AE18" i="42"/>
  <c r="AD18" i="42"/>
  <c r="Y18" i="42"/>
  <c r="W18" i="42"/>
  <c r="V18" i="42"/>
  <c r="U18" i="42"/>
  <c r="T18" i="42"/>
  <c r="AM17" i="42"/>
  <c r="AK17" i="42"/>
  <c r="AI17" i="42"/>
  <c r="AH17" i="42"/>
  <c r="AF17" i="42"/>
  <c r="AG17" i="42" s="1"/>
  <c r="AE17" i="42"/>
  <c r="AD17" i="42"/>
  <c r="AN17" i="42" s="1"/>
  <c r="Y17" i="42"/>
  <c r="W17" i="42"/>
  <c r="V17" i="42"/>
  <c r="U17" i="42"/>
  <c r="T17" i="42"/>
  <c r="AM16" i="42"/>
  <c r="AK16" i="42"/>
  <c r="AI16" i="42"/>
  <c r="AH16" i="42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H15" i="42"/>
  <c r="AI15" i="42" s="1"/>
  <c r="AF15" i="42"/>
  <c r="AG15" i="42" s="1"/>
  <c r="AE15" i="42"/>
  <c r="AD15" i="42"/>
  <c r="AN15" i="42" s="1"/>
  <c r="Y15" i="42"/>
  <c r="W15" i="42"/>
  <c r="V15" i="42"/>
  <c r="U15" i="42"/>
  <c r="T15" i="42"/>
  <c r="AM14" i="42"/>
  <c r="AK14" i="42"/>
  <c r="AH14" i="42"/>
  <c r="AI14" i="42" s="1"/>
  <c r="AF14" i="42"/>
  <c r="AG14" i="42" s="1"/>
  <c r="AE14" i="42"/>
  <c r="AD14" i="42"/>
  <c r="Y14" i="42"/>
  <c r="W14" i="42"/>
  <c r="V14" i="42"/>
  <c r="U14" i="42"/>
  <c r="T14" i="42"/>
  <c r="A14" i="42"/>
  <c r="AM13" i="42"/>
  <c r="AK13" i="42"/>
  <c r="AH13" i="42"/>
  <c r="AI13" i="42" s="1"/>
  <c r="AF13" i="42"/>
  <c r="AG13" i="42" s="1"/>
  <c r="AE13" i="42"/>
  <c r="AD13" i="42"/>
  <c r="Y13" i="42"/>
  <c r="W13" i="42"/>
  <c r="V13" i="42"/>
  <c r="U13" i="42"/>
  <c r="T13" i="42"/>
  <c r="AM12" i="42"/>
  <c r="AL12" i="42"/>
  <c r="AK12" i="42"/>
  <c r="AI12" i="42"/>
  <c r="AH12" i="42"/>
  <c r="AG12" i="42"/>
  <c r="AJ12" i="42" s="1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F11" i="42"/>
  <c r="AG11" i="42" s="1"/>
  <c r="AE11" i="42"/>
  <c r="AD11" i="42"/>
  <c r="Y11" i="42"/>
  <c r="W11" i="42"/>
  <c r="V11" i="42"/>
  <c r="U11" i="42"/>
  <c r="T11" i="42"/>
  <c r="AM10" i="42"/>
  <c r="AK10" i="42"/>
  <c r="AI10" i="42"/>
  <c r="AH10" i="42"/>
  <c r="AF10" i="42"/>
  <c r="AG10" i="42" s="1"/>
  <c r="AE10" i="42"/>
  <c r="AD10" i="42"/>
  <c r="Y10" i="42"/>
  <c r="W10" i="42"/>
  <c r="V10" i="42"/>
  <c r="U10" i="42"/>
  <c r="T10" i="42"/>
  <c r="A10" i="42"/>
  <c r="AM9" i="42"/>
  <c r="AK9" i="42"/>
  <c r="AH9" i="42"/>
  <c r="AI9" i="42" s="1"/>
  <c r="AG9" i="42"/>
  <c r="AL9" i="42" s="1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H7" i="42"/>
  <c r="AI7" i="42" s="1"/>
  <c r="AJ7" i="42" s="1"/>
  <c r="AG7" i="42"/>
  <c r="AL7" i="42" s="1"/>
  <c r="AF7" i="42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Y6" i="42"/>
  <c r="W6" i="42"/>
  <c r="V6" i="42"/>
  <c r="U6" i="42"/>
  <c r="T6" i="42"/>
  <c r="A6" i="42"/>
  <c r="AM5" i="42"/>
  <c r="AK5" i="42"/>
  <c r="AH5" i="42"/>
  <c r="AI5" i="42" s="1"/>
  <c r="AF5" i="42"/>
  <c r="AG5" i="42" s="1"/>
  <c r="AD5" i="42"/>
  <c r="AN5" i="42" s="1"/>
  <c r="Y5" i="42"/>
  <c r="W5" i="42"/>
  <c r="V5" i="42"/>
  <c r="U5" i="42"/>
  <c r="T5" i="42"/>
  <c r="F1" i="42"/>
  <c r="AM24" i="41"/>
  <c r="AK24" i="41"/>
  <c r="AI24" i="41"/>
  <c r="AH24" i="41"/>
  <c r="AF24" i="41"/>
  <c r="AG24" i="41" s="1"/>
  <c r="AE24" i="41"/>
  <c r="AD24" i="41"/>
  <c r="AN24" i="41" s="1"/>
  <c r="Y24" i="41"/>
  <c r="W24" i="41"/>
  <c r="V24" i="41"/>
  <c r="U24" i="41"/>
  <c r="T24" i="41"/>
  <c r="AM23" i="41"/>
  <c r="AK23" i="41"/>
  <c r="AH23" i="41"/>
  <c r="AI23" i="41" s="1"/>
  <c r="AF23" i="41"/>
  <c r="AG23" i="41" s="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I21" i="41"/>
  <c r="AH21" i="41"/>
  <c r="AF21" i="41"/>
  <c r="AG21" i="41" s="1"/>
  <c r="AE21" i="41"/>
  <c r="AD21" i="41"/>
  <c r="Y21" i="41"/>
  <c r="W21" i="41"/>
  <c r="V21" i="41"/>
  <c r="U21" i="41"/>
  <c r="T21" i="41"/>
  <c r="AM20" i="41"/>
  <c r="AK20" i="41"/>
  <c r="AH20" i="41"/>
  <c r="AI20" i="41" s="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F19" i="41"/>
  <c r="AG19" i="41" s="1"/>
  <c r="AE19" i="41"/>
  <c r="AD19" i="41"/>
  <c r="AN19" i="41" s="1"/>
  <c r="Y19" i="41"/>
  <c r="W19" i="41"/>
  <c r="V19" i="41"/>
  <c r="U19" i="41"/>
  <c r="T19" i="41"/>
  <c r="AM18" i="41"/>
  <c r="AK18" i="41"/>
  <c r="AI18" i="41"/>
  <c r="AH18" i="41"/>
  <c r="AF18" i="41"/>
  <c r="AG18" i="41" s="1"/>
  <c r="AE18" i="41"/>
  <c r="AD18" i="41"/>
  <c r="Y18" i="41"/>
  <c r="W18" i="41"/>
  <c r="V18" i="41"/>
  <c r="U18" i="41"/>
  <c r="T18" i="41"/>
  <c r="AM17" i="41"/>
  <c r="AK17" i="41"/>
  <c r="AH17" i="41"/>
  <c r="AI17" i="41" s="1"/>
  <c r="AF17" i="41"/>
  <c r="AG17" i="41" s="1"/>
  <c r="AE17" i="41"/>
  <c r="AD17" i="41"/>
  <c r="Y17" i="41"/>
  <c r="W17" i="41"/>
  <c r="V17" i="41"/>
  <c r="U17" i="41"/>
  <c r="T17" i="41"/>
  <c r="AM16" i="41"/>
  <c r="AK16" i="41"/>
  <c r="AH16" i="41"/>
  <c r="AI16" i="41" s="1"/>
  <c r="AF16" i="41"/>
  <c r="AG16" i="41" s="1"/>
  <c r="AE16" i="41"/>
  <c r="AD16" i="41"/>
  <c r="AN16" i="41" s="1"/>
  <c r="Y16" i="41"/>
  <c r="W16" i="41"/>
  <c r="V16" i="41"/>
  <c r="U16" i="41"/>
  <c r="T16" i="41"/>
  <c r="A16" i="41"/>
  <c r="AM15" i="41"/>
  <c r="AK15" i="41"/>
  <c r="AH15" i="41"/>
  <c r="AI15" i="41" s="1"/>
  <c r="AG15" i="41"/>
  <c r="AF15" i="41"/>
  <c r="AE15" i="41"/>
  <c r="AD15" i="41"/>
  <c r="Y15" i="41"/>
  <c r="W15" i="41"/>
  <c r="V15" i="41"/>
  <c r="U15" i="41"/>
  <c r="T15" i="41"/>
  <c r="AM14" i="41"/>
  <c r="AK14" i="41"/>
  <c r="AH14" i="41"/>
  <c r="AI14" i="41" s="1"/>
  <c r="AG14" i="41"/>
  <c r="AL14" i="41" s="1"/>
  <c r="AF14" i="41"/>
  <c r="AE14" i="41"/>
  <c r="AD14" i="41"/>
  <c r="Y14" i="41"/>
  <c r="W14" i="41"/>
  <c r="V14" i="41"/>
  <c r="U14" i="41"/>
  <c r="T14" i="41"/>
  <c r="A14" i="41"/>
  <c r="AM13" i="41"/>
  <c r="AK13" i="41"/>
  <c r="AH13" i="41"/>
  <c r="AI13" i="41" s="1"/>
  <c r="AG13" i="41"/>
  <c r="AF13" i="41"/>
  <c r="AE13" i="41"/>
  <c r="AD13" i="41"/>
  <c r="Y13" i="41"/>
  <c r="W13" i="41"/>
  <c r="V13" i="41"/>
  <c r="U13" i="41"/>
  <c r="T13" i="41"/>
  <c r="AM12" i="41"/>
  <c r="AK12" i="41"/>
  <c r="AH12" i="41"/>
  <c r="AI12" i="41" s="1"/>
  <c r="AF12" i="41"/>
  <c r="AG12" i="41" s="1"/>
  <c r="AE12" i="41"/>
  <c r="AD12" i="41"/>
  <c r="Y12" i="41"/>
  <c r="W12" i="41"/>
  <c r="V12" i="41"/>
  <c r="U12" i="41"/>
  <c r="T12" i="41"/>
  <c r="A12" i="41"/>
  <c r="AM11" i="41"/>
  <c r="AK11" i="41"/>
  <c r="AI11" i="41"/>
  <c r="AH11" i="41"/>
  <c r="AG11" i="41"/>
  <c r="AL11" i="41" s="1"/>
  <c r="AF11" i="41"/>
  <c r="AE11" i="41"/>
  <c r="AD11" i="41"/>
  <c r="Y11" i="41"/>
  <c r="W11" i="41"/>
  <c r="V11" i="41"/>
  <c r="U11" i="41"/>
  <c r="T11" i="41"/>
  <c r="AM10" i="41"/>
  <c r="AK10" i="41"/>
  <c r="AH10" i="41"/>
  <c r="AI10" i="41" s="1"/>
  <c r="AF10" i="41"/>
  <c r="AG10" i="41" s="1"/>
  <c r="AE10" i="41"/>
  <c r="AD10" i="41"/>
  <c r="Y10" i="41"/>
  <c r="W10" i="41"/>
  <c r="V10" i="41"/>
  <c r="U10" i="41"/>
  <c r="T10" i="41"/>
  <c r="A10" i="41"/>
  <c r="AM9" i="41"/>
  <c r="AK9" i="41"/>
  <c r="AJ9" i="41"/>
  <c r="AH9" i="41"/>
  <c r="AI9" i="41" s="1"/>
  <c r="AF9" i="41"/>
  <c r="AG9" i="41" s="1"/>
  <c r="AE9" i="41"/>
  <c r="AD9" i="41"/>
  <c r="Y9" i="41"/>
  <c r="W9" i="41"/>
  <c r="V9" i="41"/>
  <c r="U9" i="41"/>
  <c r="T9" i="41"/>
  <c r="AM8" i="41"/>
  <c r="AK8" i="41"/>
  <c r="AH8" i="41"/>
  <c r="AI8" i="41" s="1"/>
  <c r="AF8" i="41"/>
  <c r="AG8" i="41" s="1"/>
  <c r="AD8" i="41"/>
  <c r="AN8" i="41" s="1"/>
  <c r="Y8" i="41"/>
  <c r="W8" i="41"/>
  <c r="V8" i="41"/>
  <c r="U8" i="41"/>
  <c r="T8" i="41"/>
  <c r="AM7" i="41"/>
  <c r="AK7" i="41"/>
  <c r="AH7" i="41"/>
  <c r="AI7" i="41" s="1"/>
  <c r="AF7" i="41"/>
  <c r="AG7" i="41" s="1"/>
  <c r="AD7" i="41"/>
  <c r="AN7" i="41" s="1"/>
  <c r="Y7" i="41"/>
  <c r="W7" i="41"/>
  <c r="V7" i="41"/>
  <c r="U7" i="41"/>
  <c r="T7" i="41"/>
  <c r="AM6" i="41"/>
  <c r="AK6" i="41"/>
  <c r="AH6" i="41"/>
  <c r="AI6" i="41" s="1"/>
  <c r="AF6" i="41"/>
  <c r="AG6" i="41" s="1"/>
  <c r="AD6" i="41"/>
  <c r="AN6" i="41" s="1"/>
  <c r="Y6" i="41"/>
  <c r="W6" i="41"/>
  <c r="V6" i="41"/>
  <c r="U6" i="41"/>
  <c r="T6" i="41"/>
  <c r="A6" i="41"/>
  <c r="AM5" i="41"/>
  <c r="AK5" i="41"/>
  <c r="AI5" i="41"/>
  <c r="AH5" i="41"/>
  <c r="AF5" i="41"/>
  <c r="AG5" i="41" s="1"/>
  <c r="AJ5" i="41" s="1"/>
  <c r="AD5" i="41"/>
  <c r="Y5" i="41"/>
  <c r="W5" i="41"/>
  <c r="V5" i="41"/>
  <c r="U5" i="41"/>
  <c r="T5" i="41"/>
  <c r="F1" i="41"/>
  <c r="AM24" i="40"/>
  <c r="AK24" i="40"/>
  <c r="AH24" i="40"/>
  <c r="AI24" i="40" s="1"/>
  <c r="AG24" i="40"/>
  <c r="AF24" i="40"/>
  <c r="AE24" i="40"/>
  <c r="AD24" i="40"/>
  <c r="Y24" i="40"/>
  <c r="V24" i="40"/>
  <c r="T24" i="40"/>
  <c r="AM23" i="40"/>
  <c r="AK23" i="40"/>
  <c r="AI23" i="40"/>
  <c r="AH23" i="40"/>
  <c r="AF23" i="40"/>
  <c r="AG23" i="40" s="1"/>
  <c r="AE23" i="40"/>
  <c r="AD23" i="40"/>
  <c r="Y23" i="40"/>
  <c r="V23" i="40"/>
  <c r="T23" i="40"/>
  <c r="AM22" i="40"/>
  <c r="AK22" i="40"/>
  <c r="AH22" i="40"/>
  <c r="AI22" i="40" s="1"/>
  <c r="AL22" i="40" s="1"/>
  <c r="AF22" i="40"/>
  <c r="AG22" i="40" s="1"/>
  <c r="AE22" i="40"/>
  <c r="AD22" i="40"/>
  <c r="Y22" i="40"/>
  <c r="V22" i="40"/>
  <c r="T22" i="40"/>
  <c r="AM21" i="40"/>
  <c r="AK21" i="40"/>
  <c r="AH21" i="40"/>
  <c r="AI21" i="40" s="1"/>
  <c r="AF21" i="40"/>
  <c r="AG21" i="40" s="1"/>
  <c r="AE21" i="40"/>
  <c r="AD21" i="40"/>
  <c r="Y21" i="40"/>
  <c r="V21" i="40"/>
  <c r="T21" i="40"/>
  <c r="AM20" i="40"/>
  <c r="AK20" i="40"/>
  <c r="AI20" i="40"/>
  <c r="AH20" i="40"/>
  <c r="AG20" i="40"/>
  <c r="AL20" i="40" s="1"/>
  <c r="AF20" i="40"/>
  <c r="AE20" i="40"/>
  <c r="AD20" i="40"/>
  <c r="Y20" i="40"/>
  <c r="V20" i="40"/>
  <c r="T20" i="40"/>
  <c r="AM19" i="40"/>
  <c r="AK19" i="40"/>
  <c r="AF19" i="40"/>
  <c r="AG19" i="40" s="1"/>
  <c r="AJ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H17" i="40"/>
  <c r="AI17" i="40" s="1"/>
  <c r="AF17" i="40"/>
  <c r="AG17" i="40" s="1"/>
  <c r="AD17" i="40"/>
  <c r="Y17" i="40"/>
  <c r="V17" i="40"/>
  <c r="T17" i="40"/>
  <c r="AM17" i="40" s="1"/>
  <c r="AK16" i="40"/>
  <c r="AF16" i="40"/>
  <c r="AG16" i="40" s="1"/>
  <c r="AE16" i="40"/>
  <c r="AD16" i="40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H6" i="40"/>
  <c r="AI6" i="40" s="1"/>
  <c r="AG6" i="40"/>
  <c r="AF6" i="40"/>
  <c r="Y6" i="40"/>
  <c r="V6" i="40"/>
  <c r="T6" i="40"/>
  <c r="AD6" i="40" s="1"/>
  <c r="A6" i="40"/>
  <c r="AM5" i="40"/>
  <c r="AK5" i="40"/>
  <c r="AF5" i="40"/>
  <c r="AG5" i="40" s="1"/>
  <c r="Y5" i="40"/>
  <c r="V5" i="40"/>
  <c r="T5" i="40"/>
  <c r="AH5" i="40" s="1"/>
  <c r="AI5" i="40" s="1"/>
  <c r="F1" i="40"/>
  <c r="AM50" i="39"/>
  <c r="AK50" i="39"/>
  <c r="AI50" i="39"/>
  <c r="AH50" i="39"/>
  <c r="AG50" i="39"/>
  <c r="AL50" i="39" s="1"/>
  <c r="AF50" i="39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H48" i="39"/>
  <c r="AI48" i="39" s="1"/>
  <c r="AG48" i="39"/>
  <c r="AF48" i="39"/>
  <c r="AE48" i="39"/>
  <c r="AD48" i="39"/>
  <c r="Y48" i="39"/>
  <c r="V48" i="39"/>
  <c r="T48" i="39"/>
  <c r="AM47" i="39"/>
  <c r="AK47" i="39"/>
  <c r="AJ47" i="39"/>
  <c r="AI47" i="39"/>
  <c r="AH47" i="39"/>
  <c r="AG47" i="39"/>
  <c r="AL47" i="39" s="1"/>
  <c r="AF47" i="39"/>
  <c r="AE47" i="39"/>
  <c r="AD47" i="39"/>
  <c r="Y47" i="39"/>
  <c r="V47" i="39"/>
  <c r="T47" i="39"/>
  <c r="AM46" i="39"/>
  <c r="AK46" i="39"/>
  <c r="AH46" i="39"/>
  <c r="AI46" i="39" s="1"/>
  <c r="AF46" i="39"/>
  <c r="AG46" i="39" s="1"/>
  <c r="AE46" i="39"/>
  <c r="AD46" i="39"/>
  <c r="Y46" i="39"/>
  <c r="V46" i="39"/>
  <c r="T46" i="39"/>
  <c r="AM45" i="39"/>
  <c r="AK45" i="39"/>
  <c r="AH45" i="39"/>
  <c r="AI45" i="39" s="1"/>
  <c r="AG45" i="39"/>
  <c r="AL45" i="39" s="1"/>
  <c r="AF45" i="39"/>
  <c r="AE45" i="39"/>
  <c r="AD45" i="39"/>
  <c r="Y45" i="39"/>
  <c r="V45" i="39"/>
  <c r="T45" i="39"/>
  <c r="AM44" i="39"/>
  <c r="AK44" i="39"/>
  <c r="AI44" i="39"/>
  <c r="AH44" i="39"/>
  <c r="AG44" i="39"/>
  <c r="AL44" i="39" s="1"/>
  <c r="AF44" i="39"/>
  <c r="AE44" i="39"/>
  <c r="AD44" i="39"/>
  <c r="Y44" i="39"/>
  <c r="V44" i="39"/>
  <c r="T44" i="39"/>
  <c r="AM43" i="39"/>
  <c r="AK43" i="39"/>
  <c r="AI43" i="39"/>
  <c r="AH43" i="39"/>
  <c r="AG43" i="39"/>
  <c r="AL43" i="39" s="1"/>
  <c r="AF43" i="39"/>
  <c r="AE43" i="39"/>
  <c r="AD43" i="39"/>
  <c r="Y43" i="39"/>
  <c r="V43" i="39"/>
  <c r="T43" i="39"/>
  <c r="AM42" i="39"/>
  <c r="AK42" i="39"/>
  <c r="AI42" i="39"/>
  <c r="AH42" i="39"/>
  <c r="AG42" i="39"/>
  <c r="AL42" i="39" s="1"/>
  <c r="AF42" i="39"/>
  <c r="AE42" i="39"/>
  <c r="AD42" i="39"/>
  <c r="Y42" i="39"/>
  <c r="V42" i="39"/>
  <c r="T42" i="39"/>
  <c r="AM41" i="39"/>
  <c r="AK41" i="39"/>
  <c r="AI41" i="39"/>
  <c r="AH41" i="39"/>
  <c r="AG41" i="39"/>
  <c r="AJ41" i="39" s="1"/>
  <c r="AF41" i="39"/>
  <c r="AE41" i="39"/>
  <c r="AD41" i="39"/>
  <c r="Y41" i="39"/>
  <c r="V41" i="39"/>
  <c r="T41" i="39"/>
  <c r="AM40" i="39"/>
  <c r="AK40" i="39"/>
  <c r="AI40" i="39"/>
  <c r="AH40" i="39"/>
  <c r="AF40" i="39"/>
  <c r="AG40" i="39" s="1"/>
  <c r="AE40" i="39"/>
  <c r="AD40" i="39"/>
  <c r="Y40" i="39"/>
  <c r="V40" i="39"/>
  <c r="T40" i="39"/>
  <c r="AM39" i="39"/>
  <c r="AK39" i="39"/>
  <c r="AH39" i="39"/>
  <c r="AI39" i="39" s="1"/>
  <c r="AG39" i="39"/>
  <c r="AF39" i="39"/>
  <c r="AE39" i="39"/>
  <c r="AD39" i="39"/>
  <c r="Y39" i="39"/>
  <c r="V39" i="39"/>
  <c r="T39" i="39"/>
  <c r="AM38" i="39"/>
  <c r="AK38" i="39"/>
  <c r="AI38" i="39"/>
  <c r="AH38" i="39"/>
  <c r="AG38" i="39"/>
  <c r="AL38" i="39" s="1"/>
  <c r="AF38" i="39"/>
  <c r="AE38" i="39"/>
  <c r="AD38" i="39"/>
  <c r="Y38" i="39"/>
  <c r="V38" i="39"/>
  <c r="T38" i="39"/>
  <c r="AM37" i="39"/>
  <c r="AK37" i="39"/>
  <c r="AI37" i="39"/>
  <c r="AH37" i="39"/>
  <c r="AG37" i="39"/>
  <c r="AL37" i="39" s="1"/>
  <c r="AF37" i="39"/>
  <c r="AE37" i="39"/>
  <c r="AD37" i="39"/>
  <c r="Y37" i="39"/>
  <c r="V37" i="39"/>
  <c r="T37" i="39"/>
  <c r="AM36" i="39"/>
  <c r="AK36" i="39"/>
  <c r="AI36" i="39"/>
  <c r="AH36" i="39"/>
  <c r="AG36" i="39"/>
  <c r="AL36" i="39" s="1"/>
  <c r="AF36" i="39"/>
  <c r="AE36" i="39"/>
  <c r="AD36" i="39"/>
  <c r="Y36" i="39"/>
  <c r="V36" i="39"/>
  <c r="T36" i="39"/>
  <c r="AM35" i="39"/>
  <c r="AK35" i="39"/>
  <c r="AI35" i="39"/>
  <c r="AH35" i="39"/>
  <c r="AG35" i="39"/>
  <c r="AJ35" i="39" s="1"/>
  <c r="AF35" i="39"/>
  <c r="AE35" i="39"/>
  <c r="AD35" i="39"/>
  <c r="Y35" i="39"/>
  <c r="V35" i="39"/>
  <c r="T35" i="39"/>
  <c r="AM34" i="39"/>
  <c r="AK34" i="39"/>
  <c r="AI34" i="39"/>
  <c r="AH34" i="39"/>
  <c r="AF34" i="39"/>
  <c r="AG34" i="39" s="1"/>
  <c r="AE34" i="39"/>
  <c r="AD34" i="39"/>
  <c r="Y34" i="39"/>
  <c r="V34" i="39"/>
  <c r="T34" i="39"/>
  <c r="AM33" i="39"/>
  <c r="AK33" i="39"/>
  <c r="AH33" i="39"/>
  <c r="AI33" i="39" s="1"/>
  <c r="AG33" i="39"/>
  <c r="AF33" i="39"/>
  <c r="AE33" i="39"/>
  <c r="AD33" i="39"/>
  <c r="Y33" i="39"/>
  <c r="V33" i="39"/>
  <c r="T33" i="39"/>
  <c r="AM32" i="39"/>
  <c r="AK32" i="39"/>
  <c r="AI32" i="39"/>
  <c r="AH32" i="39"/>
  <c r="AG32" i="39"/>
  <c r="AL32" i="39" s="1"/>
  <c r="AF32" i="39"/>
  <c r="AE32" i="39"/>
  <c r="AD32" i="39"/>
  <c r="Y32" i="39"/>
  <c r="V32" i="39"/>
  <c r="T32" i="39"/>
  <c r="AM31" i="39"/>
  <c r="AK31" i="39"/>
  <c r="AI31" i="39"/>
  <c r="AH31" i="39"/>
  <c r="AG31" i="39"/>
  <c r="AL31" i="39" s="1"/>
  <c r="AF31" i="39"/>
  <c r="AE31" i="39"/>
  <c r="AD31" i="39"/>
  <c r="Y31" i="39"/>
  <c r="V31" i="39"/>
  <c r="T31" i="39"/>
  <c r="AM30" i="39"/>
  <c r="AK30" i="39"/>
  <c r="AH30" i="39"/>
  <c r="AI30" i="39" s="1"/>
  <c r="AG30" i="39"/>
  <c r="AF30" i="39"/>
  <c r="AE30" i="39"/>
  <c r="AD30" i="39"/>
  <c r="Y30" i="39"/>
  <c r="V30" i="39"/>
  <c r="T30" i="39"/>
  <c r="AM29" i="39"/>
  <c r="AK29" i="39"/>
  <c r="AI29" i="39"/>
  <c r="AH29" i="39"/>
  <c r="AG29" i="39"/>
  <c r="AJ29" i="39" s="1"/>
  <c r="AF29" i="39"/>
  <c r="AE29" i="39"/>
  <c r="AD29" i="39"/>
  <c r="Y29" i="39"/>
  <c r="V29" i="39"/>
  <c r="T29" i="39"/>
  <c r="AM28" i="39"/>
  <c r="AK28" i="39"/>
  <c r="AI28" i="39"/>
  <c r="AH28" i="39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L27" i="39" s="1"/>
  <c r="AF27" i="39"/>
  <c r="AE27" i="39"/>
  <c r="AD27" i="39"/>
  <c r="Y27" i="39"/>
  <c r="V27" i="39"/>
  <c r="T27" i="39"/>
  <c r="AM26" i="39"/>
  <c r="AK26" i="39"/>
  <c r="AI26" i="39"/>
  <c r="AH26" i="39"/>
  <c r="AG26" i="39"/>
  <c r="AL26" i="39" s="1"/>
  <c r="AF26" i="39"/>
  <c r="AE26" i="39"/>
  <c r="AD26" i="39"/>
  <c r="Y26" i="39"/>
  <c r="V26" i="39"/>
  <c r="T26" i="39"/>
  <c r="AM25" i="39"/>
  <c r="AK25" i="39"/>
  <c r="AI25" i="39"/>
  <c r="AH25" i="39"/>
  <c r="AF25" i="39"/>
  <c r="AG25" i="39" s="1"/>
  <c r="AE25" i="39"/>
  <c r="AD25" i="39"/>
  <c r="Y25" i="39"/>
  <c r="V25" i="39"/>
  <c r="T25" i="39"/>
  <c r="AM24" i="39"/>
  <c r="AK24" i="39"/>
  <c r="AH24" i="39"/>
  <c r="AI24" i="39" s="1"/>
  <c r="AG24" i="39"/>
  <c r="AF24" i="39"/>
  <c r="AE24" i="39"/>
  <c r="AD24" i="39"/>
  <c r="Y24" i="39"/>
  <c r="V24" i="39"/>
  <c r="T24" i="39"/>
  <c r="AM23" i="39"/>
  <c r="AK23" i="39"/>
  <c r="AI23" i="39"/>
  <c r="AH23" i="39"/>
  <c r="AG23" i="39"/>
  <c r="AJ23" i="39" s="1"/>
  <c r="AF23" i="39"/>
  <c r="AE23" i="39"/>
  <c r="AD23" i="39"/>
  <c r="Y23" i="39"/>
  <c r="V23" i="39"/>
  <c r="T23" i="39"/>
  <c r="AM22" i="39"/>
  <c r="AK22" i="39"/>
  <c r="AI22" i="39"/>
  <c r="AH22" i="39"/>
  <c r="AF22" i="39"/>
  <c r="AG22" i="39" s="1"/>
  <c r="AE22" i="39"/>
  <c r="AD22" i="39"/>
  <c r="Y22" i="39"/>
  <c r="V22" i="39"/>
  <c r="T22" i="39"/>
  <c r="AM21" i="39"/>
  <c r="AK21" i="39"/>
  <c r="AH21" i="39"/>
  <c r="AI21" i="39" s="1"/>
  <c r="AG21" i="39"/>
  <c r="AF21" i="39"/>
  <c r="AE21" i="39"/>
  <c r="AD21" i="39"/>
  <c r="Y21" i="39"/>
  <c r="V21" i="39"/>
  <c r="T21" i="39"/>
  <c r="AM20" i="39"/>
  <c r="AK20" i="39"/>
  <c r="AI20" i="39"/>
  <c r="AH20" i="39"/>
  <c r="AG20" i="39"/>
  <c r="AL20" i="39" s="1"/>
  <c r="AF20" i="39"/>
  <c r="AE20" i="39"/>
  <c r="AD20" i="39"/>
  <c r="Y20" i="39"/>
  <c r="V20" i="39"/>
  <c r="T20" i="39"/>
  <c r="AM19" i="39"/>
  <c r="AK19" i="39"/>
  <c r="AI19" i="39"/>
  <c r="AH19" i="39"/>
  <c r="AF19" i="39"/>
  <c r="AG19" i="39" s="1"/>
  <c r="AE19" i="39"/>
  <c r="AD19" i="39"/>
  <c r="Y19" i="39"/>
  <c r="V19" i="39"/>
  <c r="T19" i="39"/>
  <c r="AM18" i="39"/>
  <c r="AK18" i="39"/>
  <c r="AH18" i="39"/>
  <c r="AI18" i="39" s="1"/>
  <c r="AG18" i="39"/>
  <c r="AF18" i="39"/>
  <c r="AE18" i="39"/>
  <c r="AD18" i="39"/>
  <c r="Y18" i="39"/>
  <c r="V18" i="39"/>
  <c r="T18" i="39"/>
  <c r="AM17" i="39"/>
  <c r="AK17" i="39"/>
  <c r="AI17" i="39"/>
  <c r="AH17" i="39"/>
  <c r="AG17" i="39"/>
  <c r="AJ17" i="39" s="1"/>
  <c r="AF17" i="39"/>
  <c r="AE17" i="39"/>
  <c r="AD17" i="39"/>
  <c r="Y17" i="39"/>
  <c r="V17" i="39"/>
  <c r="T17" i="39"/>
  <c r="AK16" i="39"/>
  <c r="AF16" i="39"/>
  <c r="AG16" i="39" s="1"/>
  <c r="Y16" i="39"/>
  <c r="V16" i="39"/>
  <c r="T16" i="39"/>
  <c r="AM16" i="39" s="1"/>
  <c r="AM15" i="39"/>
  <c r="AK15" i="39"/>
  <c r="AH15" i="39"/>
  <c r="AI15" i="39" s="1"/>
  <c r="AF15" i="39"/>
  <c r="AG15" i="39" s="1"/>
  <c r="AL15" i="39" s="1"/>
  <c r="AD15" i="39"/>
  <c r="Y15" i="39"/>
  <c r="V15" i="39"/>
  <c r="T15" i="39"/>
  <c r="AE15" i="39" s="1"/>
  <c r="AM14" i="39"/>
  <c r="AK14" i="39"/>
  <c r="AH14" i="39"/>
  <c r="AI14" i="39" s="1"/>
  <c r="AG14" i="39"/>
  <c r="AF14" i="39"/>
  <c r="AE14" i="39"/>
  <c r="Y14" i="39"/>
  <c r="V14" i="39"/>
  <c r="T14" i="39"/>
  <c r="AD14" i="39" s="1"/>
  <c r="AK13" i="39"/>
  <c r="AF13" i="39"/>
  <c r="AG13" i="39" s="1"/>
  <c r="AE13" i="39"/>
  <c r="Y13" i="39"/>
  <c r="V13" i="39"/>
  <c r="T13" i="39"/>
  <c r="AH13" i="39" s="1"/>
  <c r="AI13" i="39" s="1"/>
  <c r="AK12" i="39"/>
  <c r="AF12" i="39"/>
  <c r="AG12" i="39" s="1"/>
  <c r="AD12" i="39"/>
  <c r="Y12" i="39"/>
  <c r="V12" i="39"/>
  <c r="T12" i="39"/>
  <c r="AE12" i="39" s="1"/>
  <c r="A12" i="39"/>
  <c r="AK11" i="39"/>
  <c r="AF11" i="39"/>
  <c r="AG11" i="39" s="1"/>
  <c r="AD11" i="39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M9" i="39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M7" i="39"/>
  <c r="AK7" i="39"/>
  <c r="AH7" i="39"/>
  <c r="AI7" i="39" s="1"/>
  <c r="AF7" i="39"/>
  <c r="AG7" i="39" s="1"/>
  <c r="AD7" i="39"/>
  <c r="Y7" i="39"/>
  <c r="V7" i="39"/>
  <c r="T7" i="39"/>
  <c r="AK6" i="39"/>
  <c r="AF6" i="39"/>
  <c r="AG6" i="39" s="1"/>
  <c r="Y6" i="39"/>
  <c r="V6" i="39"/>
  <c r="T6" i="39"/>
  <c r="AH6" i="39" s="1"/>
  <c r="AI6" i="39" s="1"/>
  <c r="A6" i="39"/>
  <c r="AM5" i="39"/>
  <c r="AK5" i="39"/>
  <c r="AH5" i="39"/>
  <c r="AI5" i="39" s="1"/>
  <c r="AF5" i="39"/>
  <c r="AG5" i="39" s="1"/>
  <c r="AD5" i="39"/>
  <c r="Y5" i="39"/>
  <c r="V5" i="39"/>
  <c r="T5" i="39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AJ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AD118" i="66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H116" i="66"/>
  <c r="AI116" i="66" s="1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AE97" i="66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M57" i="66"/>
  <c r="AK57" i="66"/>
  <c r="AF57" i="66"/>
  <c r="AG57" i="66" s="1"/>
  <c r="Y57" i="66"/>
  <c r="V57" i="66"/>
  <c r="T57" i="66"/>
  <c r="AE57" i="66" s="1"/>
  <c r="AM56" i="66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M51" i="66"/>
  <c r="AK51" i="66"/>
  <c r="AF51" i="66"/>
  <c r="AG51" i="66" s="1"/>
  <c r="Y51" i="66"/>
  <c r="V51" i="66"/>
  <c r="T51" i="66"/>
  <c r="AH51" i="66" s="1"/>
  <c r="AI51" i="66" s="1"/>
  <c r="AM50" i="66"/>
  <c r="AK50" i="66"/>
  <c r="AF50" i="66"/>
  <c r="AG50" i="66" s="1"/>
  <c r="Y50" i="66"/>
  <c r="V50" i="66"/>
  <c r="T50" i="66"/>
  <c r="AD50" i="66" s="1"/>
  <c r="AM49" i="66"/>
  <c r="AK49" i="66"/>
  <c r="AF49" i="66"/>
  <c r="AG49" i="66" s="1"/>
  <c r="Y49" i="66"/>
  <c r="V49" i="66"/>
  <c r="T49" i="66"/>
  <c r="AD49" i="66" s="1"/>
  <c r="AM48" i="66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M44" i="66"/>
  <c r="AK44" i="66"/>
  <c r="AF44" i="66"/>
  <c r="AG44" i="66" s="1"/>
  <c r="Y44" i="66"/>
  <c r="V44" i="66"/>
  <c r="T44" i="66"/>
  <c r="AD44" i="66" s="1"/>
  <c r="AM43" i="66"/>
  <c r="AK43" i="66"/>
  <c r="AF43" i="66"/>
  <c r="AG43" i="66" s="1"/>
  <c r="Y43" i="66"/>
  <c r="V43" i="66"/>
  <c r="T43" i="66"/>
  <c r="AD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H40" i="66" s="1"/>
  <c r="AI40" i="66" s="1"/>
  <c r="AM39" i="66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M37" i="66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M35" i="66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M33" i="66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M29" i="66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M24" i="66"/>
  <c r="AK24" i="66"/>
  <c r="AF24" i="66"/>
  <c r="AG24" i="66" s="1"/>
  <c r="Y24" i="66"/>
  <c r="V24" i="66"/>
  <c r="T24" i="66"/>
  <c r="AD24" i="66" s="1"/>
  <c r="AM23" i="66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M21" i="66"/>
  <c r="AK21" i="66"/>
  <c r="AF21" i="66"/>
  <c r="AG21" i="66" s="1"/>
  <c r="Y21" i="66"/>
  <c r="V21" i="66"/>
  <c r="T21" i="66"/>
  <c r="AD21" i="66" s="1"/>
  <c r="AM20" i="66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Y18" i="66"/>
  <c r="V18" i="66"/>
  <c r="T18" i="66"/>
  <c r="AD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M11" i="66"/>
  <c r="AK11" i="66"/>
  <c r="AH11" i="66"/>
  <c r="AI11" i="66" s="1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M9" i="66"/>
  <c r="AK9" i="66"/>
  <c r="AF9" i="66"/>
  <c r="AG9" i="66" s="1"/>
  <c r="Y9" i="66"/>
  <c r="V9" i="66"/>
  <c r="T9" i="66"/>
  <c r="AH9" i="66" s="1"/>
  <c r="AI9" i="66" s="1"/>
  <c r="AM8" i="66"/>
  <c r="AK8" i="66"/>
  <c r="AF8" i="66"/>
  <c r="AG8" i="66" s="1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AE24" i="38"/>
  <c r="AD24" i="38"/>
  <c r="Y24" i="38"/>
  <c r="V24" i="38"/>
  <c r="T24" i="38"/>
  <c r="AM23" i="38"/>
  <c r="AK23" i="38"/>
  <c r="AH23" i="38"/>
  <c r="AI23" i="38" s="1"/>
  <c r="AF23" i="38"/>
  <c r="AG23" i="38" s="1"/>
  <c r="AE23" i="38"/>
  <c r="AD23" i="38"/>
  <c r="Y23" i="38"/>
  <c r="V23" i="38"/>
  <c r="T23" i="38"/>
  <c r="AM22" i="38"/>
  <c r="AK22" i="38"/>
  <c r="AH22" i="38"/>
  <c r="AI22" i="38" s="1"/>
  <c r="AG22" i="38"/>
  <c r="AF22" i="38"/>
  <c r="AE22" i="38"/>
  <c r="AD22" i="38"/>
  <c r="Y22" i="38"/>
  <c r="V22" i="38"/>
  <c r="T22" i="38"/>
  <c r="AM21" i="38"/>
  <c r="AK21" i="38"/>
  <c r="AI21" i="38"/>
  <c r="AH21" i="38"/>
  <c r="AF21" i="38"/>
  <c r="AG21" i="38" s="1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AN20" i="38" s="1"/>
  <c r="Y20" i="38"/>
  <c r="V20" i="38"/>
  <c r="T20" i="38"/>
  <c r="AM19" i="38"/>
  <c r="AK19" i="38"/>
  <c r="AI19" i="38"/>
  <c r="AH19" i="38"/>
  <c r="AF19" i="38"/>
  <c r="AG19" i="38" s="1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H17" i="38"/>
  <c r="AI17" i="38" s="1"/>
  <c r="AF17" i="38"/>
  <c r="AG17" i="38" s="1"/>
  <c r="AE17" i="38"/>
  <c r="AD17" i="38"/>
  <c r="Y17" i="38"/>
  <c r="V17" i="38"/>
  <c r="T17" i="38"/>
  <c r="AM16" i="38"/>
  <c r="AK16" i="38"/>
  <c r="AH16" i="38"/>
  <c r="AI16" i="38" s="1"/>
  <c r="AG16" i="38"/>
  <c r="AF16" i="38"/>
  <c r="AE16" i="38"/>
  <c r="AD16" i="38"/>
  <c r="Y16" i="38"/>
  <c r="V16" i="38"/>
  <c r="T16" i="38"/>
  <c r="AM15" i="38"/>
  <c r="AK15" i="38"/>
  <c r="AI15" i="38"/>
  <c r="AH15" i="38"/>
  <c r="AF15" i="38"/>
  <c r="AG15" i="38" s="1"/>
  <c r="AE15" i="38"/>
  <c r="AD15" i="38"/>
  <c r="Y15" i="38"/>
  <c r="V15" i="38"/>
  <c r="T15" i="38"/>
  <c r="AM14" i="38"/>
  <c r="AK14" i="38"/>
  <c r="AH14" i="38"/>
  <c r="AI14" i="38" s="1"/>
  <c r="AG14" i="38"/>
  <c r="AF14" i="38"/>
  <c r="AE14" i="38"/>
  <c r="AD14" i="38"/>
  <c r="Y14" i="38"/>
  <c r="V14" i="38"/>
  <c r="T14" i="38"/>
  <c r="AM13" i="38"/>
  <c r="AK13" i="38"/>
  <c r="AH13" i="38"/>
  <c r="AI13" i="38" s="1"/>
  <c r="AG13" i="38"/>
  <c r="AF13" i="38"/>
  <c r="AE13" i="38"/>
  <c r="AD13" i="38"/>
  <c r="Y13" i="38"/>
  <c r="V13" i="38"/>
  <c r="T13" i="38"/>
  <c r="AM12" i="38"/>
  <c r="AK12" i="38"/>
  <c r="AI12" i="38"/>
  <c r="AH12" i="38"/>
  <c r="AG12" i="38"/>
  <c r="AL12" i="38" s="1"/>
  <c r="AF12" i="38"/>
  <c r="AE12" i="38"/>
  <c r="AD12" i="38"/>
  <c r="Y12" i="38"/>
  <c r="V12" i="38"/>
  <c r="T12" i="38"/>
  <c r="A12" i="38"/>
  <c r="AM11" i="38"/>
  <c r="AK11" i="38"/>
  <c r="AH11" i="38"/>
  <c r="AI11" i="38" s="1"/>
  <c r="AG11" i="38"/>
  <c r="AJ11" i="38" s="1"/>
  <c r="AF11" i="38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U22" i="38" s="1"/>
  <c r="AM9" i="38"/>
  <c r="AK9" i="38"/>
  <c r="AI9" i="38"/>
  <c r="AH9" i="38"/>
  <c r="AF9" i="38"/>
  <c r="AG9" i="38" s="1"/>
  <c r="AE9" i="38"/>
  <c r="AD9" i="38"/>
  <c r="Y9" i="38"/>
  <c r="V9" i="38"/>
  <c r="T9" i="38"/>
  <c r="AM8" i="38"/>
  <c r="AK8" i="38"/>
  <c r="AI8" i="38"/>
  <c r="AL8" i="38" s="1"/>
  <c r="AH8" i="38"/>
  <c r="AG8" i="38"/>
  <c r="AJ8" i="38" s="1"/>
  <c r="AF8" i="38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U6" i="38"/>
  <c r="T6" i="38"/>
  <c r="AD6" i="38" s="1"/>
  <c r="A6" i="38"/>
  <c r="AK5" i="38"/>
  <c r="AF5" i="38"/>
  <c r="AG5" i="38" s="1"/>
  <c r="Y5" i="38"/>
  <c r="A14" i="38" s="1"/>
  <c r="K49" i="68" s="1"/>
  <c r="V5" i="38"/>
  <c r="T5" i="38"/>
  <c r="AM5" i="38" s="1"/>
  <c r="S49" i="68" s="1"/>
  <c r="F1" i="38"/>
  <c r="AM24" i="37"/>
  <c r="AK24" i="37"/>
  <c r="AI24" i="37"/>
  <c r="AH24" i="37"/>
  <c r="AF24" i="37"/>
  <c r="AG24" i="37" s="1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H22" i="37"/>
  <c r="AI22" i="37" s="1"/>
  <c r="AF22" i="37"/>
  <c r="AG22" i="37" s="1"/>
  <c r="AE22" i="37"/>
  <c r="AD22" i="37"/>
  <c r="Y22" i="37"/>
  <c r="V22" i="37"/>
  <c r="T22" i="37"/>
  <c r="AM21" i="37"/>
  <c r="AK21" i="37"/>
  <c r="AH21" i="37"/>
  <c r="AI21" i="37" s="1"/>
  <c r="AF21" i="37"/>
  <c r="AG21" i="37" s="1"/>
  <c r="AE21" i="37"/>
  <c r="AD21" i="37"/>
  <c r="Y21" i="37"/>
  <c r="V21" i="37"/>
  <c r="T21" i="37"/>
  <c r="AM20" i="37"/>
  <c r="AK20" i="37"/>
  <c r="AH20" i="37"/>
  <c r="AI20" i="37" s="1"/>
  <c r="AF20" i="37"/>
  <c r="AG20" i="37" s="1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H18" i="37"/>
  <c r="AI18" i="37" s="1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Y14" i="37"/>
  <c r="V14" i="37"/>
  <c r="T14" i="37"/>
  <c r="AM13" i="37"/>
  <c r="AK13" i="37"/>
  <c r="AH13" i="37"/>
  <c r="AI13" i="37" s="1"/>
  <c r="AF13" i="37"/>
  <c r="AG13" i="37" s="1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I11" i="37"/>
  <c r="AH11" i="37"/>
  <c r="AF11" i="37"/>
  <c r="AG11" i="37" s="1"/>
  <c r="AE11" i="37"/>
  <c r="AD11" i="37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24" i="37" s="1"/>
  <c r="AM9" i="37"/>
  <c r="AK9" i="37"/>
  <c r="AH9" i="37"/>
  <c r="AI9" i="37" s="1"/>
  <c r="AF9" i="37"/>
  <c r="AG9" i="37" s="1"/>
  <c r="AE9" i="37"/>
  <c r="AD9" i="37"/>
  <c r="Y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N7" i="37"/>
  <c r="AM7" i="37"/>
  <c r="AK7" i="37"/>
  <c r="AI7" i="37"/>
  <c r="AH7" i="37"/>
  <c r="AG7" i="37"/>
  <c r="AL7" i="37" s="1"/>
  <c r="AF7" i="37"/>
  <c r="AD7" i="37"/>
  <c r="Y7" i="37"/>
  <c r="V7" i="37"/>
  <c r="T7" i="37"/>
  <c r="AM6" i="37"/>
  <c r="AK6" i="37"/>
  <c r="AI6" i="37"/>
  <c r="AH6" i="37"/>
  <c r="AF6" i="37"/>
  <c r="AG6" i="37" s="1"/>
  <c r="AD6" i="37"/>
  <c r="AN6" i="37" s="1"/>
  <c r="Y6" i="37"/>
  <c r="V6" i="37"/>
  <c r="U6" i="37"/>
  <c r="T6" i="37"/>
  <c r="A6" i="37"/>
  <c r="AM5" i="37"/>
  <c r="AK5" i="37"/>
  <c r="AF5" i="37"/>
  <c r="AG5" i="37" s="1"/>
  <c r="Y5" i="37"/>
  <c r="A14" i="37" s="1"/>
  <c r="K48" i="68" s="1"/>
  <c r="V5" i="37"/>
  <c r="T5" i="37"/>
  <c r="AH5" i="37" s="1"/>
  <c r="AI5" i="37" s="1"/>
  <c r="F1" i="37"/>
  <c r="AM24" i="36"/>
  <c r="AK24" i="36"/>
  <c r="AI24" i="36"/>
  <c r="AH24" i="36"/>
  <c r="AF24" i="36"/>
  <c r="AG24" i="36" s="1"/>
  <c r="AE24" i="36"/>
  <c r="AD24" i="36"/>
  <c r="Y24" i="36"/>
  <c r="W24" i="36"/>
  <c r="V24" i="36"/>
  <c r="U24" i="36"/>
  <c r="T24" i="36"/>
  <c r="AM23" i="36"/>
  <c r="AK23" i="36"/>
  <c r="AH23" i="36"/>
  <c r="AI23" i="36" s="1"/>
  <c r="AF23" i="36"/>
  <c r="AG23" i="36" s="1"/>
  <c r="AE23" i="36"/>
  <c r="AD23" i="36"/>
  <c r="Y23" i="36"/>
  <c r="W23" i="36"/>
  <c r="V23" i="36"/>
  <c r="U23" i="36"/>
  <c r="T23" i="36"/>
  <c r="AM22" i="36"/>
  <c r="AK22" i="36"/>
  <c r="AH22" i="36"/>
  <c r="AI22" i="36" s="1"/>
  <c r="AG22" i="36"/>
  <c r="AJ22" i="36" s="1"/>
  <c r="AF22" i="36"/>
  <c r="AE22" i="36"/>
  <c r="AD22" i="36"/>
  <c r="AN22" i="36" s="1"/>
  <c r="Y22" i="36"/>
  <c r="W22" i="36"/>
  <c r="V22" i="36"/>
  <c r="U22" i="36"/>
  <c r="T22" i="36"/>
  <c r="AM21" i="36"/>
  <c r="AK21" i="36"/>
  <c r="AI21" i="36"/>
  <c r="AH21" i="36"/>
  <c r="AF21" i="36"/>
  <c r="AG21" i="36" s="1"/>
  <c r="AE21" i="36"/>
  <c r="AD21" i="36"/>
  <c r="Y21" i="36"/>
  <c r="W21" i="36"/>
  <c r="V21" i="36"/>
  <c r="U21" i="36"/>
  <c r="T21" i="36"/>
  <c r="AM20" i="36"/>
  <c r="AK20" i="36"/>
  <c r="AH20" i="36"/>
  <c r="AI20" i="36" s="1"/>
  <c r="AF20" i="36"/>
  <c r="AG20" i="36" s="1"/>
  <c r="AE20" i="36"/>
  <c r="AD20" i="36"/>
  <c r="Y20" i="36"/>
  <c r="W20" i="36"/>
  <c r="V20" i="36"/>
  <c r="U20" i="36"/>
  <c r="T20" i="36"/>
  <c r="AM19" i="36"/>
  <c r="AK19" i="36"/>
  <c r="AH19" i="36"/>
  <c r="AI19" i="36" s="1"/>
  <c r="AG19" i="36"/>
  <c r="AF19" i="36"/>
  <c r="AE19" i="36"/>
  <c r="AD19" i="36"/>
  <c r="Y19" i="36"/>
  <c r="W19" i="36"/>
  <c r="V19" i="36"/>
  <c r="U19" i="36"/>
  <c r="T19" i="36"/>
  <c r="AM18" i="36"/>
  <c r="AK18" i="36"/>
  <c r="AI18" i="36"/>
  <c r="AH18" i="36"/>
  <c r="AF18" i="36"/>
  <c r="AG18" i="36" s="1"/>
  <c r="AE18" i="36"/>
  <c r="AD18" i="36"/>
  <c r="Y18" i="36"/>
  <c r="W18" i="36"/>
  <c r="V18" i="36"/>
  <c r="U18" i="36"/>
  <c r="T18" i="36"/>
  <c r="AM17" i="36"/>
  <c r="AK17" i="36"/>
  <c r="AH17" i="36"/>
  <c r="AI17" i="36" s="1"/>
  <c r="AF17" i="36"/>
  <c r="AG17" i="36" s="1"/>
  <c r="AE17" i="36"/>
  <c r="AD17" i="36"/>
  <c r="Y17" i="36"/>
  <c r="W17" i="36"/>
  <c r="V17" i="36"/>
  <c r="U17" i="36"/>
  <c r="T17" i="36"/>
  <c r="AM16" i="36"/>
  <c r="AK16" i="36"/>
  <c r="AH16" i="36"/>
  <c r="AI16" i="36" s="1"/>
  <c r="AG16" i="36"/>
  <c r="AF16" i="36"/>
  <c r="AE16" i="36"/>
  <c r="AD16" i="36"/>
  <c r="AN16" i="36" s="1"/>
  <c r="Y16" i="36"/>
  <c r="W16" i="36"/>
  <c r="V16" i="36"/>
  <c r="U16" i="36"/>
  <c r="T16" i="36"/>
  <c r="A16" i="36"/>
  <c r="AM15" i="36"/>
  <c r="AK15" i="36"/>
  <c r="AH15" i="36"/>
  <c r="AI15" i="36" s="1"/>
  <c r="AL15" i="36" s="1"/>
  <c r="AG15" i="36"/>
  <c r="AJ15" i="36" s="1"/>
  <c r="AF15" i="36"/>
  <c r="AE15" i="36"/>
  <c r="AD15" i="36"/>
  <c r="Y15" i="36"/>
  <c r="W15" i="36"/>
  <c r="V15" i="36"/>
  <c r="U15" i="36"/>
  <c r="T15" i="36"/>
  <c r="AM14" i="36"/>
  <c r="AK14" i="36"/>
  <c r="AI14" i="36"/>
  <c r="AH14" i="36"/>
  <c r="AG14" i="36"/>
  <c r="AL14" i="36" s="1"/>
  <c r="AF14" i="36"/>
  <c r="AE14" i="36"/>
  <c r="AD14" i="36"/>
  <c r="Y14" i="36"/>
  <c r="W14" i="36"/>
  <c r="V14" i="36"/>
  <c r="U14" i="36"/>
  <c r="T14" i="36"/>
  <c r="A14" i="36"/>
  <c r="AM13" i="36"/>
  <c r="AK13" i="36"/>
  <c r="AI13" i="36"/>
  <c r="AH13" i="36"/>
  <c r="AG13" i="36"/>
  <c r="AF13" i="36"/>
  <c r="AE13" i="36"/>
  <c r="AD13" i="36"/>
  <c r="AN13" i="36" s="1"/>
  <c r="Y13" i="36"/>
  <c r="W13" i="36"/>
  <c r="V13" i="36"/>
  <c r="U13" i="36"/>
  <c r="T13" i="36"/>
  <c r="AM12" i="36"/>
  <c r="AK12" i="36"/>
  <c r="AH12" i="36"/>
  <c r="AI12" i="36" s="1"/>
  <c r="AF12" i="36"/>
  <c r="AG12" i="36" s="1"/>
  <c r="AE12" i="36"/>
  <c r="AD12" i="36"/>
  <c r="Y12" i="36"/>
  <c r="W12" i="36"/>
  <c r="V12" i="36"/>
  <c r="U12" i="36"/>
  <c r="T12" i="36"/>
  <c r="A12" i="36"/>
  <c r="AM11" i="36"/>
  <c r="AK11" i="36"/>
  <c r="AI11" i="36"/>
  <c r="AH11" i="36"/>
  <c r="AF11" i="36"/>
  <c r="AG11" i="36" s="1"/>
  <c r="AE11" i="36"/>
  <c r="AD11" i="36"/>
  <c r="Y11" i="36"/>
  <c r="W11" i="36"/>
  <c r="V11" i="36"/>
  <c r="U11" i="36"/>
  <c r="T11" i="36"/>
  <c r="AM10" i="36"/>
  <c r="AK10" i="36"/>
  <c r="AH10" i="36"/>
  <c r="AI10" i="36" s="1"/>
  <c r="AF10" i="36"/>
  <c r="AG10" i="36" s="1"/>
  <c r="AL10" i="36" s="1"/>
  <c r="AE10" i="36"/>
  <c r="AD10" i="36"/>
  <c r="Y10" i="36"/>
  <c r="W10" i="36"/>
  <c r="V10" i="36"/>
  <c r="U10" i="36"/>
  <c r="T10" i="36"/>
  <c r="A10" i="36"/>
  <c r="AM9" i="36"/>
  <c r="AK9" i="36"/>
  <c r="AH9" i="36"/>
  <c r="AI9" i="36" s="1"/>
  <c r="AF9" i="36"/>
  <c r="AG9" i="36" s="1"/>
  <c r="AE9" i="36"/>
  <c r="AD9" i="36"/>
  <c r="Y9" i="36"/>
  <c r="W9" i="36"/>
  <c r="V9" i="36"/>
  <c r="U9" i="36"/>
  <c r="T9" i="36"/>
  <c r="AM8" i="36"/>
  <c r="AK8" i="36"/>
  <c r="AI8" i="36"/>
  <c r="AH8" i="36"/>
  <c r="AG8" i="36"/>
  <c r="AJ8" i="36" s="1"/>
  <c r="AF8" i="36"/>
  <c r="AD8" i="36"/>
  <c r="AN8" i="36" s="1"/>
  <c r="Y8" i="36"/>
  <c r="W8" i="36"/>
  <c r="V8" i="36"/>
  <c r="U8" i="36"/>
  <c r="T8" i="36"/>
  <c r="AM7" i="36"/>
  <c r="AK7" i="36"/>
  <c r="AJ7" i="36"/>
  <c r="AI7" i="36"/>
  <c r="AH7" i="36"/>
  <c r="AF7" i="36"/>
  <c r="AG7" i="36" s="1"/>
  <c r="AL7" i="36" s="1"/>
  <c r="AD7" i="36"/>
  <c r="Y7" i="36"/>
  <c r="W7" i="36"/>
  <c r="V7" i="36"/>
  <c r="U7" i="36"/>
  <c r="T7" i="36"/>
  <c r="AM6" i="36"/>
  <c r="AK6" i="36"/>
  <c r="AH6" i="36"/>
  <c r="AI6" i="36" s="1"/>
  <c r="AF6" i="36"/>
  <c r="AG6" i="36" s="1"/>
  <c r="AD6" i="36"/>
  <c r="Y6" i="36"/>
  <c r="W6" i="36"/>
  <c r="V6" i="36"/>
  <c r="U6" i="36"/>
  <c r="T6" i="36"/>
  <c r="A6" i="36"/>
  <c r="AM5" i="36"/>
  <c r="AK5" i="36"/>
  <c r="AH5" i="36"/>
  <c r="AI5" i="36" s="1"/>
  <c r="AJ5" i="36" s="1"/>
  <c r="AF5" i="36"/>
  <c r="AG5" i="36" s="1"/>
  <c r="AD5" i="36"/>
  <c r="Y5" i="36"/>
  <c r="W5" i="36"/>
  <c r="V5" i="36"/>
  <c r="U5" i="36"/>
  <c r="T5" i="36"/>
  <c r="F1" i="36"/>
  <c r="AM24" i="35"/>
  <c r="AK24" i="35"/>
  <c r="AI24" i="35"/>
  <c r="AH24" i="35"/>
  <c r="AG24" i="35"/>
  <c r="AL24" i="35" s="1"/>
  <c r="AF24" i="35"/>
  <c r="AE24" i="35"/>
  <c r="AD24" i="35"/>
  <c r="Y24" i="35"/>
  <c r="V24" i="35"/>
  <c r="T24" i="35"/>
  <c r="AM23" i="35"/>
  <c r="AK23" i="35"/>
  <c r="AI23" i="35"/>
  <c r="AH23" i="35"/>
  <c r="AF23" i="35"/>
  <c r="AG23" i="35" s="1"/>
  <c r="AE23" i="35"/>
  <c r="AD23" i="35"/>
  <c r="AN23" i="35" s="1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H21" i="35"/>
  <c r="AI21" i="35" s="1"/>
  <c r="AF21" i="35"/>
  <c r="AG21" i="35" s="1"/>
  <c r="AE21" i="35"/>
  <c r="AN21" i="35" s="1"/>
  <c r="AD21" i="35"/>
  <c r="Y21" i="35"/>
  <c r="V21" i="35"/>
  <c r="T21" i="35"/>
  <c r="AM20" i="35"/>
  <c r="AK20" i="35"/>
  <c r="AH20" i="35"/>
  <c r="AI20" i="35" s="1"/>
  <c r="AF20" i="35"/>
  <c r="AG20" i="35" s="1"/>
  <c r="AL20" i="35" s="1"/>
  <c r="AE20" i="35"/>
  <c r="AD20" i="35"/>
  <c r="Y20" i="35"/>
  <c r="V20" i="35"/>
  <c r="T20" i="35"/>
  <c r="AM19" i="35"/>
  <c r="AK19" i="35"/>
  <c r="AH19" i="35"/>
  <c r="AI19" i="35" s="1"/>
  <c r="AG19" i="35"/>
  <c r="AJ19" i="35" s="1"/>
  <c r="AF19" i="35"/>
  <c r="AE19" i="35"/>
  <c r="AD19" i="35"/>
  <c r="Y19" i="35"/>
  <c r="V19" i="35"/>
  <c r="T19" i="35"/>
  <c r="AM18" i="35"/>
  <c r="AK18" i="35"/>
  <c r="AI18" i="35"/>
  <c r="AH18" i="35"/>
  <c r="AG18" i="35"/>
  <c r="AL18" i="35" s="1"/>
  <c r="AF18" i="35"/>
  <c r="AE18" i="35"/>
  <c r="AD18" i="35"/>
  <c r="Y18" i="35"/>
  <c r="V18" i="35"/>
  <c r="T18" i="35"/>
  <c r="AM17" i="35"/>
  <c r="AK17" i="35"/>
  <c r="AI17" i="35"/>
  <c r="AH17" i="35"/>
  <c r="AF17" i="35"/>
  <c r="AG17" i="35" s="1"/>
  <c r="AE17" i="35"/>
  <c r="AD17" i="35"/>
  <c r="Y17" i="35"/>
  <c r="V17" i="35"/>
  <c r="T17" i="35"/>
  <c r="AM16" i="35"/>
  <c r="AK16" i="35"/>
  <c r="AH16" i="35"/>
  <c r="AI16" i="35" s="1"/>
  <c r="AF16" i="35"/>
  <c r="AG16" i="35" s="1"/>
  <c r="AE16" i="35"/>
  <c r="AD16" i="35"/>
  <c r="Y16" i="35"/>
  <c r="V16" i="35"/>
  <c r="T16" i="35"/>
  <c r="AM15" i="35"/>
  <c r="AK15" i="35"/>
  <c r="AH15" i="35"/>
  <c r="AI15" i="35" s="1"/>
  <c r="AF15" i="35"/>
  <c r="AG15" i="35" s="1"/>
  <c r="AE15" i="35"/>
  <c r="AD15" i="35"/>
  <c r="AN15" i="35" s="1"/>
  <c r="Y15" i="35"/>
  <c r="V15" i="35"/>
  <c r="T15" i="35"/>
  <c r="AM14" i="35"/>
  <c r="AK14" i="35"/>
  <c r="AJ14" i="35"/>
  <c r="AH14" i="35"/>
  <c r="AI14" i="35" s="1"/>
  <c r="AF14" i="35"/>
  <c r="AG14" i="35" s="1"/>
  <c r="AL14" i="35" s="1"/>
  <c r="AE14" i="35"/>
  <c r="AD14" i="35"/>
  <c r="Y14" i="35"/>
  <c r="V14" i="35"/>
  <c r="T14" i="35"/>
  <c r="AM13" i="35"/>
  <c r="AK13" i="35"/>
  <c r="AH13" i="35"/>
  <c r="AI13" i="35" s="1"/>
  <c r="AL13" i="35" s="1"/>
  <c r="AG13" i="35"/>
  <c r="AF13" i="35"/>
  <c r="AE13" i="35"/>
  <c r="AD13" i="35"/>
  <c r="Y13" i="35"/>
  <c r="V13" i="35"/>
  <c r="T13" i="35"/>
  <c r="AM12" i="35"/>
  <c r="AK12" i="35"/>
  <c r="AI12" i="35"/>
  <c r="AH12" i="35"/>
  <c r="AG12" i="35"/>
  <c r="AF12" i="35"/>
  <c r="AE12" i="35"/>
  <c r="AD12" i="35"/>
  <c r="AN12" i="35" s="1"/>
  <c r="Y12" i="35"/>
  <c r="V12" i="35"/>
  <c r="T12" i="35"/>
  <c r="A12" i="35"/>
  <c r="AM11" i="35"/>
  <c r="AK11" i="35"/>
  <c r="AH11" i="35"/>
  <c r="AI11" i="35" s="1"/>
  <c r="AL11" i="35" s="1"/>
  <c r="AG11" i="35"/>
  <c r="AF11" i="35"/>
  <c r="AE11" i="35"/>
  <c r="AD11" i="35"/>
  <c r="Y11" i="35"/>
  <c r="V11" i="35"/>
  <c r="T11" i="35"/>
  <c r="AM10" i="35"/>
  <c r="AK10" i="35"/>
  <c r="AI10" i="35"/>
  <c r="AH10" i="35"/>
  <c r="AG10" i="35"/>
  <c r="AF10" i="35"/>
  <c r="AE10" i="35"/>
  <c r="AD10" i="35"/>
  <c r="AN10" i="35" s="1"/>
  <c r="Y10" i="35"/>
  <c r="V10" i="35"/>
  <c r="T10" i="35"/>
  <c r="A10" i="35"/>
  <c r="W23" i="35" s="1"/>
  <c r="AM9" i="35"/>
  <c r="AK9" i="35"/>
  <c r="AJ9" i="35"/>
  <c r="AH9" i="35"/>
  <c r="AI9" i="35" s="1"/>
  <c r="AF9" i="35"/>
  <c r="AG9" i="35" s="1"/>
  <c r="AL9" i="35" s="1"/>
  <c r="AE9" i="35"/>
  <c r="AD9" i="35"/>
  <c r="AN9" i="35" s="1"/>
  <c r="Y9" i="35"/>
  <c r="V9" i="35"/>
  <c r="T9" i="35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AD7" i="35"/>
  <c r="Y7" i="35"/>
  <c r="V7" i="35"/>
  <c r="T7" i="35"/>
  <c r="AH7" i="35" s="1"/>
  <c r="AI7" i="35" s="1"/>
  <c r="AM6" i="35"/>
  <c r="AK6" i="35"/>
  <c r="AI6" i="35"/>
  <c r="AH6" i="35"/>
  <c r="AF6" i="35"/>
  <c r="AG6" i="35" s="1"/>
  <c r="Y6" i="35"/>
  <c r="V6" i="35"/>
  <c r="T6" i="35"/>
  <c r="AD6" i="35" s="1"/>
  <c r="AM5" i="35"/>
  <c r="AK5" i="35"/>
  <c r="AF5" i="35"/>
  <c r="AG5" i="35" s="1"/>
  <c r="AD5" i="35"/>
  <c r="Y5" i="35"/>
  <c r="A14" i="35" s="1"/>
  <c r="K46" i="68" s="1"/>
  <c r="V5" i="35"/>
  <c r="T5" i="35"/>
  <c r="AH5" i="35" s="1"/>
  <c r="AI5" i="35" s="1"/>
  <c r="F1" i="35"/>
  <c r="AM23" i="34"/>
  <c r="AK23" i="34"/>
  <c r="AI23" i="34"/>
  <c r="AH23" i="34"/>
  <c r="AG23" i="34"/>
  <c r="AF23" i="34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W22" i="34"/>
  <c r="V22" i="34"/>
  <c r="T22" i="34"/>
  <c r="AM21" i="34"/>
  <c r="AK21" i="34"/>
  <c r="AJ21" i="34"/>
  <c r="AH21" i="34"/>
  <c r="AI21" i="34" s="1"/>
  <c r="AF21" i="34"/>
  <c r="AG21" i="34" s="1"/>
  <c r="AE21" i="34"/>
  <c r="AD21" i="34"/>
  <c r="AN21" i="34" s="1"/>
  <c r="Y21" i="34"/>
  <c r="W21" i="34"/>
  <c r="V21" i="34"/>
  <c r="T21" i="34"/>
  <c r="AM20" i="34"/>
  <c r="AK20" i="34"/>
  <c r="AI20" i="34"/>
  <c r="AH20" i="34"/>
  <c r="AG20" i="34"/>
  <c r="AF20" i="34"/>
  <c r="AE20" i="34"/>
  <c r="AD20" i="34"/>
  <c r="Y20" i="34"/>
  <c r="V20" i="34"/>
  <c r="T20" i="34"/>
  <c r="AM19" i="34"/>
  <c r="AK19" i="34"/>
  <c r="AH19" i="34"/>
  <c r="AI19" i="34" s="1"/>
  <c r="AF19" i="34"/>
  <c r="AG19" i="34" s="1"/>
  <c r="AE19" i="34"/>
  <c r="AD19" i="34"/>
  <c r="Y19" i="34"/>
  <c r="W19" i="34"/>
  <c r="V19" i="34"/>
  <c r="T19" i="34"/>
  <c r="AM18" i="34"/>
  <c r="AK18" i="34"/>
  <c r="AH18" i="34"/>
  <c r="AI18" i="34" s="1"/>
  <c r="AJ18" i="34" s="1"/>
  <c r="AF18" i="34"/>
  <c r="AG18" i="34" s="1"/>
  <c r="AE18" i="34"/>
  <c r="AD18" i="34"/>
  <c r="Y18" i="34"/>
  <c r="V18" i="34"/>
  <c r="T18" i="34"/>
  <c r="AM17" i="34"/>
  <c r="AK17" i="34"/>
  <c r="AI17" i="34"/>
  <c r="AH17" i="34"/>
  <c r="AG17" i="34"/>
  <c r="AF17" i="34"/>
  <c r="AE17" i="34"/>
  <c r="AD17" i="34"/>
  <c r="Y17" i="34"/>
  <c r="W17" i="34"/>
  <c r="V17" i="34"/>
  <c r="T17" i="34"/>
  <c r="AM16" i="34"/>
  <c r="AK16" i="34"/>
  <c r="AH16" i="34"/>
  <c r="AI16" i="34" s="1"/>
  <c r="AF16" i="34"/>
  <c r="AG16" i="34" s="1"/>
  <c r="AE16" i="34"/>
  <c r="AD16" i="34"/>
  <c r="Y16" i="34"/>
  <c r="V16" i="34"/>
  <c r="T16" i="34"/>
  <c r="AM15" i="34"/>
  <c r="AK15" i="34"/>
  <c r="AI15" i="34"/>
  <c r="AH15" i="34"/>
  <c r="AF15" i="34"/>
  <c r="AG15" i="34" s="1"/>
  <c r="AE15" i="34"/>
  <c r="AD15" i="34"/>
  <c r="Y15" i="34"/>
  <c r="W15" i="34"/>
  <c r="V15" i="34"/>
  <c r="T15" i="34"/>
  <c r="AM14" i="34"/>
  <c r="AK14" i="34"/>
  <c r="AJ14" i="34"/>
  <c r="AI14" i="34"/>
  <c r="AH14" i="34"/>
  <c r="AG14" i="34"/>
  <c r="AL14" i="34" s="1"/>
  <c r="AF14" i="34"/>
  <c r="AE14" i="34"/>
  <c r="AD14" i="34"/>
  <c r="Y14" i="34"/>
  <c r="W14" i="34"/>
  <c r="V14" i="34"/>
  <c r="T14" i="34"/>
  <c r="AM13" i="34"/>
  <c r="AK13" i="34"/>
  <c r="AH13" i="34"/>
  <c r="AI13" i="34" s="1"/>
  <c r="AF13" i="34"/>
  <c r="AG13" i="34" s="1"/>
  <c r="AE13" i="34"/>
  <c r="AD13" i="34"/>
  <c r="Y13" i="34"/>
  <c r="W13" i="34"/>
  <c r="V13" i="34"/>
  <c r="T13" i="34"/>
  <c r="AM12" i="34"/>
  <c r="AK12" i="34"/>
  <c r="AH12" i="34"/>
  <c r="AI12" i="34" s="1"/>
  <c r="AG12" i="34"/>
  <c r="AJ12" i="34" s="1"/>
  <c r="AF12" i="34"/>
  <c r="AE12" i="34"/>
  <c r="AD12" i="34"/>
  <c r="Y12" i="34"/>
  <c r="W12" i="34"/>
  <c r="V12" i="34"/>
  <c r="T12" i="34"/>
  <c r="A12" i="34"/>
  <c r="AM11" i="34"/>
  <c r="AK11" i="34"/>
  <c r="AH11" i="34"/>
  <c r="AI11" i="34" s="1"/>
  <c r="AL11" i="34" s="1"/>
  <c r="AG11" i="34"/>
  <c r="AJ11" i="34" s="1"/>
  <c r="AF11" i="34"/>
  <c r="AE11" i="34"/>
  <c r="AD11" i="34"/>
  <c r="Y11" i="34"/>
  <c r="V11" i="34"/>
  <c r="T11" i="34"/>
  <c r="AM10" i="34"/>
  <c r="AK10" i="34"/>
  <c r="AI10" i="34"/>
  <c r="AH10" i="34"/>
  <c r="AG10" i="34"/>
  <c r="AF10" i="34"/>
  <c r="AE10" i="34"/>
  <c r="AD10" i="34"/>
  <c r="AN10" i="34" s="1"/>
  <c r="Y10" i="34"/>
  <c r="V10" i="34"/>
  <c r="U10" i="34"/>
  <c r="T10" i="34"/>
  <c r="A10" i="34"/>
  <c r="U8" i="34" s="1"/>
  <c r="AM9" i="34"/>
  <c r="AK9" i="34"/>
  <c r="AI9" i="34"/>
  <c r="AH9" i="34"/>
  <c r="AG9" i="34"/>
  <c r="AF9" i="34"/>
  <c r="AE9" i="34"/>
  <c r="AD9" i="34"/>
  <c r="Y9" i="34"/>
  <c r="W9" i="34"/>
  <c r="V9" i="34"/>
  <c r="U9" i="34"/>
  <c r="T9" i="34"/>
  <c r="AM8" i="34"/>
  <c r="AK8" i="34"/>
  <c r="AH8" i="34"/>
  <c r="AI8" i="34" s="1"/>
  <c r="AF8" i="34"/>
  <c r="AG8" i="34" s="1"/>
  <c r="AE8" i="34"/>
  <c r="AD8" i="34"/>
  <c r="Y8" i="34"/>
  <c r="W8" i="34"/>
  <c r="V8" i="34"/>
  <c r="T8" i="34"/>
  <c r="AK7" i="34"/>
  <c r="AF7" i="34"/>
  <c r="AG7" i="34" s="1"/>
  <c r="Y7" i="34"/>
  <c r="A14" i="34" s="1"/>
  <c r="K45" i="68" s="1"/>
  <c r="W7" i="34"/>
  <c r="V7" i="34"/>
  <c r="T7" i="34"/>
  <c r="AM7" i="34" s="1"/>
  <c r="S45" i="68" s="1"/>
  <c r="AM6" i="34"/>
  <c r="AK6" i="34"/>
  <c r="AH6" i="34"/>
  <c r="AI6" i="34" s="1"/>
  <c r="AG6" i="34"/>
  <c r="AF6" i="34"/>
  <c r="AD6" i="34"/>
  <c r="Y6" i="34"/>
  <c r="W6" i="34"/>
  <c r="V6" i="34"/>
  <c r="U6" i="34"/>
  <c r="T6" i="34"/>
  <c r="AM5" i="34"/>
  <c r="AL5" i="34"/>
  <c r="AK5" i="34"/>
  <c r="AH5" i="34"/>
  <c r="AI5" i="34" s="1"/>
  <c r="AG5" i="34"/>
  <c r="AJ5" i="34" s="1"/>
  <c r="AF5" i="34"/>
  <c r="AD5" i="34"/>
  <c r="Y5" i="34"/>
  <c r="W5" i="34"/>
  <c r="V5" i="34"/>
  <c r="U5" i="34"/>
  <c r="T5" i="34"/>
  <c r="F1" i="34"/>
  <c r="AM24" i="33"/>
  <c r="AK24" i="33"/>
  <c r="AI24" i="33"/>
  <c r="AH24" i="33"/>
  <c r="AG24" i="33"/>
  <c r="AF24" i="33"/>
  <c r="AE24" i="33"/>
  <c r="AD24" i="33"/>
  <c r="AN24" i="33" s="1"/>
  <c r="Y24" i="33"/>
  <c r="V24" i="33"/>
  <c r="T24" i="33"/>
  <c r="AM23" i="33"/>
  <c r="AK23" i="33"/>
  <c r="AI23" i="33"/>
  <c r="AH23" i="33"/>
  <c r="AF23" i="33"/>
  <c r="AG23" i="33" s="1"/>
  <c r="AE23" i="33"/>
  <c r="AD23" i="33"/>
  <c r="Y23" i="33"/>
  <c r="V23" i="33"/>
  <c r="T23" i="33"/>
  <c r="AM22" i="33"/>
  <c r="AK22" i="33"/>
  <c r="AH22" i="33"/>
  <c r="AI22" i="33" s="1"/>
  <c r="AG22" i="33"/>
  <c r="AF22" i="33"/>
  <c r="AE22" i="33"/>
  <c r="AD22" i="33"/>
  <c r="Y22" i="33"/>
  <c r="V22" i="33"/>
  <c r="T22" i="33"/>
  <c r="AM21" i="33"/>
  <c r="AK21" i="33"/>
  <c r="AI21" i="33"/>
  <c r="AH21" i="33"/>
  <c r="AF21" i="33"/>
  <c r="AG21" i="33" s="1"/>
  <c r="AE21" i="33"/>
  <c r="AD21" i="33"/>
  <c r="Y21" i="33"/>
  <c r="V21" i="33"/>
  <c r="T21" i="33"/>
  <c r="AM20" i="33"/>
  <c r="AK20" i="33"/>
  <c r="AH20" i="33"/>
  <c r="AI20" i="33" s="1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I18" i="33"/>
  <c r="AH18" i="33"/>
  <c r="AF18" i="33"/>
  <c r="AG18" i="33" s="1"/>
  <c r="AE18" i="33"/>
  <c r="AD18" i="33"/>
  <c r="Y18" i="33"/>
  <c r="V18" i="33"/>
  <c r="T18" i="33"/>
  <c r="AM17" i="33"/>
  <c r="AK17" i="33"/>
  <c r="AH17" i="33"/>
  <c r="AI17" i="33" s="1"/>
  <c r="AG17" i="33"/>
  <c r="AF17" i="33"/>
  <c r="AE17" i="33"/>
  <c r="AD17" i="33"/>
  <c r="Y17" i="33"/>
  <c r="V17" i="33"/>
  <c r="T17" i="33"/>
  <c r="AM16" i="33"/>
  <c r="AK16" i="33"/>
  <c r="AJ16" i="33"/>
  <c r="AI16" i="33"/>
  <c r="AH16" i="33"/>
  <c r="AF16" i="33"/>
  <c r="AG16" i="33" s="1"/>
  <c r="AL16" i="33" s="1"/>
  <c r="AE16" i="33"/>
  <c r="AD16" i="33"/>
  <c r="Y16" i="33"/>
  <c r="V16" i="33"/>
  <c r="T16" i="33"/>
  <c r="AM15" i="33"/>
  <c r="AK15" i="33"/>
  <c r="AH15" i="33"/>
  <c r="AI15" i="33" s="1"/>
  <c r="AF15" i="33"/>
  <c r="AG15" i="33" s="1"/>
  <c r="AE15" i="33"/>
  <c r="AD15" i="33"/>
  <c r="Y15" i="33"/>
  <c r="V15" i="33"/>
  <c r="T15" i="33"/>
  <c r="AM14" i="33"/>
  <c r="AK14" i="33"/>
  <c r="AH14" i="33"/>
  <c r="AI14" i="33" s="1"/>
  <c r="AF14" i="33"/>
  <c r="AG14" i="33" s="1"/>
  <c r="AE14" i="33"/>
  <c r="AD14" i="33"/>
  <c r="Y14" i="33"/>
  <c r="V14" i="33"/>
  <c r="T14" i="33"/>
  <c r="AM13" i="33"/>
  <c r="AK13" i="33"/>
  <c r="AH13" i="33"/>
  <c r="AI13" i="33" s="1"/>
  <c r="AF13" i="33"/>
  <c r="AG13" i="33" s="1"/>
  <c r="AJ13" i="33" s="1"/>
  <c r="AE13" i="33"/>
  <c r="AD13" i="33"/>
  <c r="Y13" i="33"/>
  <c r="V13" i="33"/>
  <c r="T13" i="33"/>
  <c r="AM12" i="33"/>
  <c r="AK12" i="33"/>
  <c r="AH12" i="33"/>
  <c r="AI12" i="33" s="1"/>
  <c r="AG12" i="33"/>
  <c r="AF12" i="33"/>
  <c r="AE12" i="33"/>
  <c r="AD12" i="33"/>
  <c r="Y12" i="33"/>
  <c r="V12" i="33"/>
  <c r="T12" i="33"/>
  <c r="A12" i="33"/>
  <c r="AM11" i="33"/>
  <c r="AK11" i="33"/>
  <c r="AI11" i="33"/>
  <c r="AH11" i="33"/>
  <c r="AF11" i="33"/>
  <c r="AG11" i="33" s="1"/>
  <c r="AE11" i="33"/>
  <c r="AD11" i="33"/>
  <c r="AN11" i="33" s="1"/>
  <c r="Y11" i="33"/>
  <c r="V11" i="33"/>
  <c r="T11" i="33"/>
  <c r="AM10" i="33"/>
  <c r="AK10" i="33"/>
  <c r="AH10" i="33"/>
  <c r="AI10" i="33" s="1"/>
  <c r="AF10" i="33"/>
  <c r="AG10" i="33" s="1"/>
  <c r="AE10" i="33"/>
  <c r="AD10" i="33"/>
  <c r="Y10" i="33"/>
  <c r="V10" i="33"/>
  <c r="T10" i="33"/>
  <c r="A10" i="33"/>
  <c r="W10" i="33" s="1"/>
  <c r="AM9" i="33"/>
  <c r="AK9" i="33"/>
  <c r="AI9" i="33"/>
  <c r="AH9" i="33"/>
  <c r="AG9" i="33"/>
  <c r="AL9" i="33" s="1"/>
  <c r="AF9" i="33"/>
  <c r="AE9" i="33"/>
  <c r="AD9" i="33"/>
  <c r="Y9" i="33"/>
  <c r="V9" i="33"/>
  <c r="U9" i="33"/>
  <c r="T9" i="33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W7" i="33"/>
  <c r="V7" i="33"/>
  <c r="T7" i="33"/>
  <c r="AH7" i="33" s="1"/>
  <c r="AI7" i="33" s="1"/>
  <c r="AM6" i="33"/>
  <c r="AK6" i="33"/>
  <c r="AF6" i="33"/>
  <c r="AG6" i="33" s="1"/>
  <c r="Y6" i="33"/>
  <c r="V6" i="33"/>
  <c r="U6" i="33"/>
  <c r="T6" i="33"/>
  <c r="AD6" i="33" s="1"/>
  <c r="A6" i="33"/>
  <c r="AK5" i="33"/>
  <c r="AF5" i="33"/>
  <c r="AG5" i="33" s="1"/>
  <c r="AD5" i="33"/>
  <c r="Y5" i="33"/>
  <c r="A14" i="33" s="1"/>
  <c r="K43" i="68" s="1"/>
  <c r="W5" i="33"/>
  <c r="V5" i="33"/>
  <c r="T5" i="33"/>
  <c r="U5" i="33" s="1"/>
  <c r="F1" i="33"/>
  <c r="AM172" i="32"/>
  <c r="AK172" i="32"/>
  <c r="AI172" i="32"/>
  <c r="AH172" i="32"/>
  <c r="AF172" i="32"/>
  <c r="AG172" i="32" s="1"/>
  <c r="AE172" i="32"/>
  <c r="AD172" i="32"/>
  <c r="Y172" i="32"/>
  <c r="V172" i="32"/>
  <c r="T172" i="32"/>
  <c r="AM171" i="32"/>
  <c r="AK171" i="32"/>
  <c r="AI171" i="32"/>
  <c r="AH171" i="32"/>
  <c r="AG171" i="32"/>
  <c r="AF171" i="32"/>
  <c r="AE171" i="32"/>
  <c r="AD171" i="32"/>
  <c r="AN171" i="32" s="1"/>
  <c r="Y171" i="32"/>
  <c r="V171" i="32"/>
  <c r="T171" i="32"/>
  <c r="AM170" i="32"/>
  <c r="AK170" i="32"/>
  <c r="AI170" i="32"/>
  <c r="AH170" i="32"/>
  <c r="AF170" i="32"/>
  <c r="AG170" i="32" s="1"/>
  <c r="AE170" i="32"/>
  <c r="AD170" i="32"/>
  <c r="Y170" i="32"/>
  <c r="V170" i="32"/>
  <c r="T170" i="32"/>
  <c r="AM169" i="32"/>
  <c r="AK169" i="32"/>
  <c r="AH169" i="32"/>
  <c r="AI169" i="32" s="1"/>
  <c r="AF169" i="32"/>
  <c r="AG169" i="32" s="1"/>
  <c r="AE169" i="32"/>
  <c r="AD169" i="32"/>
  <c r="Y169" i="32"/>
  <c r="V169" i="32"/>
  <c r="T169" i="32"/>
  <c r="AM168" i="32"/>
  <c r="AK168" i="32"/>
  <c r="AH168" i="32"/>
  <c r="AI168" i="32" s="1"/>
  <c r="AF168" i="32"/>
  <c r="AG168" i="32" s="1"/>
  <c r="AE168" i="32"/>
  <c r="AD168" i="32"/>
  <c r="Y168" i="32"/>
  <c r="V168" i="32"/>
  <c r="T168" i="32"/>
  <c r="AM167" i="32"/>
  <c r="AK167" i="32"/>
  <c r="AH167" i="32"/>
  <c r="AI167" i="32" s="1"/>
  <c r="AL167" i="32" s="1"/>
  <c r="AG167" i="32"/>
  <c r="AF167" i="32"/>
  <c r="AE167" i="32"/>
  <c r="AD167" i="32"/>
  <c r="Y167" i="32"/>
  <c r="V167" i="32"/>
  <c r="T167" i="32"/>
  <c r="AM166" i="32"/>
  <c r="AK166" i="32"/>
  <c r="AH166" i="32"/>
  <c r="AI166" i="32" s="1"/>
  <c r="AL166" i="32" s="1"/>
  <c r="AG166" i="32"/>
  <c r="AF166" i="32"/>
  <c r="AE166" i="32"/>
  <c r="AD166" i="32"/>
  <c r="AN166" i="32" s="1"/>
  <c r="Y166" i="32"/>
  <c r="V166" i="32"/>
  <c r="T166" i="32"/>
  <c r="AM165" i="32"/>
  <c r="AK165" i="32"/>
  <c r="AI165" i="32"/>
  <c r="AH165" i="32"/>
  <c r="AG165" i="32"/>
  <c r="AF165" i="32"/>
  <c r="AE165" i="32"/>
  <c r="AD165" i="32"/>
  <c r="Y165" i="32"/>
  <c r="V165" i="32"/>
  <c r="T165" i="32"/>
  <c r="AM164" i="32"/>
  <c r="AK164" i="32"/>
  <c r="AI164" i="32"/>
  <c r="AH164" i="32"/>
  <c r="AF164" i="32"/>
  <c r="AG164" i="32" s="1"/>
  <c r="AE164" i="32"/>
  <c r="AD164" i="32"/>
  <c r="AN164" i="32" s="1"/>
  <c r="Y164" i="32"/>
  <c r="V164" i="32"/>
  <c r="T164" i="32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F162" i="32"/>
  <c r="AG162" i="32" s="1"/>
  <c r="AE162" i="32"/>
  <c r="AD162" i="32"/>
  <c r="AN162" i="32" s="1"/>
  <c r="Y162" i="32"/>
  <c r="V162" i="32"/>
  <c r="T162" i="32"/>
  <c r="AM161" i="32"/>
  <c r="AK161" i="32"/>
  <c r="AJ161" i="32"/>
  <c r="AH161" i="32"/>
  <c r="AI161" i="32" s="1"/>
  <c r="AL161" i="32" s="1"/>
  <c r="AG161" i="32"/>
  <c r="AF161" i="32"/>
  <c r="AE161" i="32"/>
  <c r="AD161" i="32"/>
  <c r="Y161" i="32"/>
  <c r="V161" i="32"/>
  <c r="T161" i="32"/>
  <c r="AM160" i="32"/>
  <c r="AK160" i="32"/>
  <c r="AH160" i="32"/>
  <c r="AI160" i="32" s="1"/>
  <c r="AG160" i="32"/>
  <c r="AJ160" i="32" s="1"/>
  <c r="AF160" i="32"/>
  <c r="AE160" i="32"/>
  <c r="AD160" i="32"/>
  <c r="Y160" i="32"/>
  <c r="V160" i="32"/>
  <c r="T160" i="32"/>
  <c r="AM159" i="32"/>
  <c r="AK159" i="32"/>
  <c r="AI159" i="32"/>
  <c r="AH159" i="32"/>
  <c r="AG159" i="32"/>
  <c r="AL159" i="32" s="1"/>
  <c r="AF159" i="32"/>
  <c r="AE159" i="32"/>
  <c r="AD159" i="32"/>
  <c r="Y159" i="32"/>
  <c r="V159" i="32"/>
  <c r="T159" i="32"/>
  <c r="AM158" i="32"/>
  <c r="AK158" i="32"/>
  <c r="AI158" i="32"/>
  <c r="AH158" i="32"/>
  <c r="AF158" i="32"/>
  <c r="AG158" i="32" s="1"/>
  <c r="AE158" i="32"/>
  <c r="AD158" i="32"/>
  <c r="AN158" i="32" s="1"/>
  <c r="Y158" i="32"/>
  <c r="V158" i="32"/>
  <c r="T158" i="32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I156" i="32"/>
  <c r="AH156" i="32"/>
  <c r="AG156" i="32"/>
  <c r="AL156" i="32" s="1"/>
  <c r="AF156" i="32"/>
  <c r="AE156" i="32"/>
  <c r="AD156" i="32"/>
  <c r="AN156" i="32" s="1"/>
  <c r="Y156" i="32"/>
  <c r="V156" i="32"/>
  <c r="T156" i="32"/>
  <c r="AM155" i="32"/>
  <c r="AK155" i="32"/>
  <c r="AI155" i="32"/>
  <c r="AH155" i="32"/>
  <c r="AF155" i="32"/>
  <c r="AG155" i="32" s="1"/>
  <c r="AE155" i="32"/>
  <c r="AD155" i="32"/>
  <c r="Y155" i="32"/>
  <c r="V155" i="32"/>
  <c r="T155" i="32"/>
  <c r="AM154" i="32"/>
  <c r="AK154" i="32"/>
  <c r="AH154" i="32"/>
  <c r="AI154" i="32" s="1"/>
  <c r="AG154" i="32"/>
  <c r="AF154" i="32"/>
  <c r="AE154" i="32"/>
  <c r="AD154" i="32"/>
  <c r="Y154" i="32"/>
  <c r="V154" i="32"/>
  <c r="T154" i="32"/>
  <c r="AM153" i="32"/>
  <c r="AK153" i="32"/>
  <c r="AJ153" i="32"/>
  <c r="AI153" i="32"/>
  <c r="AH153" i="32"/>
  <c r="AF153" i="32"/>
  <c r="AG153" i="32" s="1"/>
  <c r="AL153" i="32" s="1"/>
  <c r="AE153" i="32"/>
  <c r="AD153" i="32"/>
  <c r="Y153" i="32"/>
  <c r="V153" i="32"/>
  <c r="T153" i="32"/>
  <c r="AM152" i="32"/>
  <c r="AL152" i="32"/>
  <c r="AK152" i="32"/>
  <c r="AH152" i="32"/>
  <c r="AI152" i="32" s="1"/>
  <c r="AG152" i="32"/>
  <c r="AJ152" i="32" s="1"/>
  <c r="AF152" i="32"/>
  <c r="AE152" i="32"/>
  <c r="AD152" i="32"/>
  <c r="Y152" i="32"/>
  <c r="V152" i="32"/>
  <c r="T152" i="32"/>
  <c r="AM151" i="32"/>
  <c r="AK151" i="32"/>
  <c r="AI151" i="32"/>
  <c r="AH151" i="32"/>
  <c r="AG151" i="32"/>
  <c r="AF151" i="32"/>
  <c r="AE151" i="32"/>
  <c r="AD151" i="32"/>
  <c r="Y151" i="32"/>
  <c r="V151" i="32"/>
  <c r="T151" i="32"/>
  <c r="AM150" i="32"/>
  <c r="AK150" i="32"/>
  <c r="AI150" i="32"/>
  <c r="AH150" i="32"/>
  <c r="AG150" i="32"/>
  <c r="AF150" i="32"/>
  <c r="AE150" i="32"/>
  <c r="AD150" i="32"/>
  <c r="AN150" i="32" s="1"/>
  <c r="Y150" i="32"/>
  <c r="V150" i="32"/>
  <c r="T150" i="32"/>
  <c r="AM149" i="32"/>
  <c r="AK149" i="32"/>
  <c r="AI149" i="32"/>
  <c r="AH149" i="32"/>
  <c r="AF149" i="32"/>
  <c r="AG149" i="32" s="1"/>
  <c r="AE149" i="32"/>
  <c r="AD149" i="32"/>
  <c r="Y149" i="32"/>
  <c r="V149" i="32"/>
  <c r="T149" i="32"/>
  <c r="AM148" i="32"/>
  <c r="AK148" i="32"/>
  <c r="AH148" i="32"/>
  <c r="AI148" i="32" s="1"/>
  <c r="AG148" i="32"/>
  <c r="AF148" i="32"/>
  <c r="AE148" i="32"/>
  <c r="AD148" i="32"/>
  <c r="Y148" i="32"/>
  <c r="V148" i="32"/>
  <c r="T148" i="32"/>
  <c r="AM147" i="32"/>
  <c r="AK147" i="32"/>
  <c r="AI147" i="32"/>
  <c r="AH147" i="32"/>
  <c r="AF147" i="32"/>
  <c r="AG147" i="32" s="1"/>
  <c r="AL147" i="32" s="1"/>
  <c r="AE147" i="32"/>
  <c r="AD147" i="32"/>
  <c r="Y147" i="32"/>
  <c r="V147" i="32"/>
  <c r="T147" i="32"/>
  <c r="AM146" i="32"/>
  <c r="AK146" i="32"/>
  <c r="AH146" i="32"/>
  <c r="AI146" i="32" s="1"/>
  <c r="AL146" i="32" s="1"/>
  <c r="AG146" i="32"/>
  <c r="AJ146" i="32" s="1"/>
  <c r="AF146" i="32"/>
  <c r="AE146" i="32"/>
  <c r="AD146" i="32"/>
  <c r="Y146" i="32"/>
  <c r="V146" i="32"/>
  <c r="T146" i="32"/>
  <c r="AM145" i="32"/>
  <c r="AK145" i="32"/>
  <c r="AI145" i="32"/>
  <c r="AH145" i="32"/>
  <c r="AG145" i="32"/>
  <c r="AF145" i="32"/>
  <c r="AE145" i="32"/>
  <c r="AD145" i="32"/>
  <c r="Y145" i="32"/>
  <c r="V145" i="32"/>
  <c r="T145" i="32"/>
  <c r="AM144" i="32"/>
  <c r="AK144" i="32"/>
  <c r="AI144" i="32"/>
  <c r="AH144" i="32"/>
  <c r="AG144" i="32"/>
  <c r="AL144" i="32" s="1"/>
  <c r="AF144" i="32"/>
  <c r="AE144" i="32"/>
  <c r="AD144" i="32"/>
  <c r="Y144" i="32"/>
  <c r="V144" i="32"/>
  <c r="T144" i="32"/>
  <c r="AM143" i="32"/>
  <c r="AK143" i="32"/>
  <c r="AI143" i="32"/>
  <c r="AH143" i="32"/>
  <c r="AF143" i="32"/>
  <c r="AG143" i="32" s="1"/>
  <c r="AE143" i="32"/>
  <c r="AD143" i="32"/>
  <c r="Y143" i="32"/>
  <c r="V143" i="32"/>
  <c r="T143" i="32"/>
  <c r="AM142" i="32"/>
  <c r="AK142" i="32"/>
  <c r="AH142" i="32"/>
  <c r="AI142" i="32" s="1"/>
  <c r="AG142" i="32"/>
  <c r="AF142" i="32"/>
  <c r="AE142" i="32"/>
  <c r="AD142" i="32"/>
  <c r="Y142" i="32"/>
  <c r="V142" i="32"/>
  <c r="T142" i="32"/>
  <c r="AM141" i="32"/>
  <c r="AN141" i="32" s="1"/>
  <c r="AK141" i="32"/>
  <c r="AI141" i="32"/>
  <c r="AH141" i="32"/>
  <c r="AF141" i="32"/>
  <c r="AG141" i="32" s="1"/>
  <c r="AL141" i="32" s="1"/>
  <c r="AE141" i="32"/>
  <c r="AD141" i="32"/>
  <c r="Y141" i="32"/>
  <c r="V141" i="32"/>
  <c r="T141" i="32"/>
  <c r="AM140" i="32"/>
  <c r="AL140" i="32"/>
  <c r="AK140" i="32"/>
  <c r="AH140" i="32"/>
  <c r="AI140" i="32" s="1"/>
  <c r="AG140" i="32"/>
  <c r="AJ140" i="32" s="1"/>
  <c r="AF140" i="32"/>
  <c r="AE140" i="32"/>
  <c r="AD140" i="32"/>
  <c r="AN140" i="32" s="1"/>
  <c r="Y140" i="32"/>
  <c r="V140" i="32"/>
  <c r="T140" i="32"/>
  <c r="AM139" i="32"/>
  <c r="AK139" i="32"/>
  <c r="AI139" i="32"/>
  <c r="AH139" i="32"/>
  <c r="AG139" i="32"/>
  <c r="AF139" i="32"/>
  <c r="AE139" i="32"/>
  <c r="AD139" i="32"/>
  <c r="AN139" i="32" s="1"/>
  <c r="Y139" i="32"/>
  <c r="V139" i="32"/>
  <c r="T139" i="32"/>
  <c r="AM138" i="32"/>
  <c r="AK138" i="32"/>
  <c r="AI138" i="32"/>
  <c r="AH138" i="32"/>
  <c r="AG138" i="32"/>
  <c r="AL138" i="32" s="1"/>
  <c r="AF138" i="32"/>
  <c r="AE138" i="32"/>
  <c r="AD138" i="32"/>
  <c r="Y138" i="32"/>
  <c r="V138" i="32"/>
  <c r="T138" i="32"/>
  <c r="AM137" i="32"/>
  <c r="AK137" i="32"/>
  <c r="AI137" i="32"/>
  <c r="AH137" i="32"/>
  <c r="AF137" i="32"/>
  <c r="AG137" i="32" s="1"/>
  <c r="AE137" i="32"/>
  <c r="AD137" i="32"/>
  <c r="Y137" i="32"/>
  <c r="V137" i="32"/>
  <c r="T137" i="32"/>
  <c r="AM136" i="32"/>
  <c r="AK136" i="32"/>
  <c r="AH136" i="32"/>
  <c r="AI136" i="32" s="1"/>
  <c r="AG136" i="32"/>
  <c r="AF136" i="32"/>
  <c r="AE136" i="32"/>
  <c r="AD136" i="32"/>
  <c r="Y136" i="32"/>
  <c r="V136" i="32"/>
  <c r="T136" i="32"/>
  <c r="AM135" i="32"/>
  <c r="AK135" i="32"/>
  <c r="AJ135" i="32"/>
  <c r="AI135" i="32"/>
  <c r="AH135" i="32"/>
  <c r="AF135" i="32"/>
  <c r="AG135" i="32" s="1"/>
  <c r="AE135" i="32"/>
  <c r="AD135" i="32"/>
  <c r="AN135" i="32" s="1"/>
  <c r="Y135" i="32"/>
  <c r="V135" i="32"/>
  <c r="T135" i="32"/>
  <c r="AM134" i="32"/>
  <c r="AK134" i="32"/>
  <c r="AH134" i="32"/>
  <c r="AI134" i="32" s="1"/>
  <c r="AF134" i="32"/>
  <c r="AG134" i="32" s="1"/>
  <c r="AL134" i="32" s="1"/>
  <c r="AE134" i="32"/>
  <c r="AD134" i="32"/>
  <c r="Y134" i="32"/>
  <c r="V134" i="32"/>
  <c r="T134" i="32"/>
  <c r="AM133" i="32"/>
  <c r="AK133" i="32"/>
  <c r="AH133" i="32"/>
  <c r="AI133" i="32" s="1"/>
  <c r="AF133" i="32"/>
  <c r="AG133" i="32" s="1"/>
  <c r="AL133" i="32" s="1"/>
  <c r="AE133" i="32"/>
  <c r="AD133" i="32"/>
  <c r="Y133" i="32"/>
  <c r="V133" i="32"/>
  <c r="T133" i="32"/>
  <c r="AM132" i="32"/>
  <c r="AK132" i="32"/>
  <c r="AH132" i="32"/>
  <c r="AI132" i="32" s="1"/>
  <c r="AL132" i="32" s="1"/>
  <c r="AG132" i="32"/>
  <c r="AF132" i="32"/>
  <c r="AE132" i="32"/>
  <c r="AD132" i="32"/>
  <c r="Y132" i="32"/>
  <c r="V132" i="32"/>
  <c r="T132" i="32"/>
  <c r="AM131" i="32"/>
  <c r="AK131" i="32"/>
  <c r="AI131" i="32"/>
  <c r="AH131" i="32"/>
  <c r="AG131" i="32"/>
  <c r="AJ131" i="32" s="1"/>
  <c r="AF131" i="32"/>
  <c r="AE131" i="32"/>
  <c r="AD131" i="32"/>
  <c r="Y131" i="32"/>
  <c r="V131" i="32"/>
  <c r="T131" i="32"/>
  <c r="AM130" i="32"/>
  <c r="AK130" i="32"/>
  <c r="AH130" i="32"/>
  <c r="AI130" i="32" s="1"/>
  <c r="AG130" i="32"/>
  <c r="AF130" i="32"/>
  <c r="AE130" i="32"/>
  <c r="AD130" i="32"/>
  <c r="Y130" i="32"/>
  <c r="V130" i="32"/>
  <c r="T130" i="32"/>
  <c r="AM129" i="32"/>
  <c r="AK129" i="32"/>
  <c r="AI129" i="32"/>
  <c r="AH129" i="32"/>
  <c r="AF129" i="32"/>
  <c r="AG129" i="32" s="1"/>
  <c r="AL129" i="32" s="1"/>
  <c r="AE129" i="32"/>
  <c r="AD129" i="32"/>
  <c r="AN129" i="32" s="1"/>
  <c r="Y129" i="32"/>
  <c r="V129" i="32"/>
  <c r="T129" i="32"/>
  <c r="AM128" i="32"/>
  <c r="AN128" i="32" s="1"/>
  <c r="AK128" i="32"/>
  <c r="AH128" i="32"/>
  <c r="AI128" i="32" s="1"/>
  <c r="AF128" i="32"/>
  <c r="AG128" i="32" s="1"/>
  <c r="AJ128" i="32" s="1"/>
  <c r="AE128" i="32"/>
  <c r="AD128" i="32"/>
  <c r="Y128" i="32"/>
  <c r="V128" i="32"/>
  <c r="T128" i="32"/>
  <c r="AM127" i="32"/>
  <c r="AK127" i="32"/>
  <c r="AH127" i="32"/>
  <c r="AI127" i="32" s="1"/>
  <c r="AF127" i="32"/>
  <c r="AG127" i="32" s="1"/>
  <c r="AL127" i="32" s="1"/>
  <c r="AE127" i="32"/>
  <c r="AD127" i="32"/>
  <c r="Y127" i="32"/>
  <c r="V127" i="32"/>
  <c r="T127" i="32"/>
  <c r="AM126" i="32"/>
  <c r="AL126" i="32"/>
  <c r="AK126" i="32"/>
  <c r="AH126" i="32"/>
  <c r="AI126" i="32" s="1"/>
  <c r="AJ126" i="32" s="1"/>
  <c r="AG126" i="32"/>
  <c r="AF126" i="32"/>
  <c r="AE126" i="32"/>
  <c r="AD126" i="32"/>
  <c r="Y126" i="32"/>
  <c r="V126" i="32"/>
  <c r="T126" i="32"/>
  <c r="AM125" i="32"/>
  <c r="AK125" i="32"/>
  <c r="AI125" i="32"/>
  <c r="AH125" i="32"/>
  <c r="AF125" i="32"/>
  <c r="AG125" i="32" s="1"/>
  <c r="AE125" i="32"/>
  <c r="AD125" i="32"/>
  <c r="Y125" i="32"/>
  <c r="V125" i="32"/>
  <c r="T125" i="32"/>
  <c r="AM124" i="32"/>
  <c r="AK124" i="32"/>
  <c r="AH124" i="32"/>
  <c r="AI124" i="32" s="1"/>
  <c r="AG124" i="32"/>
  <c r="AF124" i="32"/>
  <c r="AE124" i="32"/>
  <c r="AD124" i="32"/>
  <c r="AN124" i="32" s="1"/>
  <c r="Y124" i="32"/>
  <c r="V124" i="32"/>
  <c r="T124" i="32"/>
  <c r="AM123" i="32"/>
  <c r="AK123" i="32"/>
  <c r="AI123" i="32"/>
  <c r="AH123" i="32"/>
  <c r="AF123" i="32"/>
  <c r="AG123" i="32" s="1"/>
  <c r="AL123" i="32" s="1"/>
  <c r="AE123" i="32"/>
  <c r="AD123" i="32"/>
  <c r="Y123" i="32"/>
  <c r="V123" i="32"/>
  <c r="T123" i="32"/>
  <c r="AM122" i="32"/>
  <c r="AK122" i="32"/>
  <c r="AH122" i="32"/>
  <c r="AI122" i="32" s="1"/>
  <c r="AF122" i="32"/>
  <c r="AG122" i="32" s="1"/>
  <c r="AJ122" i="32" s="1"/>
  <c r="AE122" i="32"/>
  <c r="AD122" i="32"/>
  <c r="Y122" i="32"/>
  <c r="V122" i="32"/>
  <c r="T122" i="32"/>
  <c r="AM121" i="32"/>
  <c r="AK121" i="32"/>
  <c r="AJ121" i="32"/>
  <c r="AH121" i="32"/>
  <c r="AI121" i="32" s="1"/>
  <c r="AF121" i="32"/>
  <c r="AG121" i="32" s="1"/>
  <c r="AL121" i="32" s="1"/>
  <c r="AE121" i="32"/>
  <c r="AD121" i="32"/>
  <c r="Y121" i="32"/>
  <c r="V121" i="32"/>
  <c r="T121" i="32"/>
  <c r="AM120" i="32"/>
  <c r="AK120" i="32"/>
  <c r="AI120" i="32"/>
  <c r="AH120" i="32"/>
  <c r="AF120" i="32"/>
  <c r="AG120" i="32" s="1"/>
  <c r="AE120" i="32"/>
  <c r="AD120" i="32"/>
  <c r="Y120" i="32"/>
  <c r="V120" i="32"/>
  <c r="T120" i="32"/>
  <c r="AM119" i="32"/>
  <c r="AK119" i="32"/>
  <c r="AH119" i="32"/>
  <c r="AI119" i="32" s="1"/>
  <c r="AF119" i="32"/>
  <c r="AG119" i="32" s="1"/>
  <c r="AE119" i="32"/>
  <c r="AD119" i="32"/>
  <c r="Y119" i="32"/>
  <c r="V119" i="32"/>
  <c r="T119" i="32"/>
  <c r="AM118" i="32"/>
  <c r="AK118" i="32"/>
  <c r="AH118" i="32"/>
  <c r="AI118" i="32" s="1"/>
  <c r="AJ118" i="32" s="1"/>
  <c r="AF118" i="32"/>
  <c r="AG118" i="32" s="1"/>
  <c r="AE118" i="32"/>
  <c r="AD118" i="32"/>
  <c r="Y118" i="32"/>
  <c r="V118" i="32"/>
  <c r="T118" i="32"/>
  <c r="AM117" i="32"/>
  <c r="AL117" i="32"/>
  <c r="AK117" i="32"/>
  <c r="AH117" i="32"/>
  <c r="AI117" i="32" s="1"/>
  <c r="AG117" i="32"/>
  <c r="AJ117" i="32" s="1"/>
  <c r="AF117" i="32"/>
  <c r="AE117" i="32"/>
  <c r="AD117" i="32"/>
  <c r="AN117" i="32" s="1"/>
  <c r="Y117" i="32"/>
  <c r="V117" i="32"/>
  <c r="T117" i="32"/>
  <c r="AM116" i="32"/>
  <c r="AL116" i="32"/>
  <c r="AK116" i="32"/>
  <c r="AI116" i="32"/>
  <c r="AH116" i="32"/>
  <c r="AG116" i="32"/>
  <c r="AJ116" i="32" s="1"/>
  <c r="AF116" i="32"/>
  <c r="AE116" i="32"/>
  <c r="AD116" i="32"/>
  <c r="Y116" i="32"/>
  <c r="V116" i="32"/>
  <c r="T116" i="32"/>
  <c r="AM115" i="32"/>
  <c r="AK115" i="32"/>
  <c r="AI115" i="32"/>
  <c r="AH115" i="32"/>
  <c r="AG115" i="32"/>
  <c r="AJ115" i="32" s="1"/>
  <c r="AF115" i="32"/>
  <c r="AE115" i="32"/>
  <c r="AD115" i="32"/>
  <c r="AN115" i="32" s="1"/>
  <c r="Y115" i="32"/>
  <c r="V115" i="32"/>
  <c r="T115" i="32"/>
  <c r="AM114" i="32"/>
  <c r="AK114" i="32"/>
  <c r="AI114" i="32"/>
  <c r="AJ114" i="32" s="1"/>
  <c r="AH114" i="32"/>
  <c r="AF114" i="32"/>
  <c r="AG114" i="32" s="1"/>
  <c r="AE114" i="32"/>
  <c r="AD114" i="32"/>
  <c r="Y114" i="32"/>
  <c r="V114" i="32"/>
  <c r="T114" i="32"/>
  <c r="AM113" i="32"/>
  <c r="AK113" i="32"/>
  <c r="AH113" i="32"/>
  <c r="AI113" i="32" s="1"/>
  <c r="AG113" i="32"/>
  <c r="AL113" i="32" s="1"/>
  <c r="AF113" i="32"/>
  <c r="AE113" i="32"/>
  <c r="AD113" i="32"/>
  <c r="Y113" i="32"/>
  <c r="V113" i="32"/>
  <c r="T113" i="32"/>
  <c r="AM112" i="32"/>
  <c r="AK112" i="32"/>
  <c r="AI112" i="32"/>
  <c r="AH112" i="32"/>
  <c r="AF112" i="32"/>
  <c r="AG112" i="32" s="1"/>
  <c r="AE112" i="32"/>
  <c r="AD112" i="32"/>
  <c r="Y112" i="32"/>
  <c r="V112" i="32"/>
  <c r="T112" i="32"/>
  <c r="AM111" i="32"/>
  <c r="AK111" i="32"/>
  <c r="AH111" i="32"/>
  <c r="AI111" i="32" s="1"/>
  <c r="AF111" i="32"/>
  <c r="AG111" i="32" s="1"/>
  <c r="AE111" i="32"/>
  <c r="AD111" i="32"/>
  <c r="Y111" i="32"/>
  <c r="V111" i="32"/>
  <c r="T111" i="32"/>
  <c r="AM110" i="32"/>
  <c r="AK110" i="32"/>
  <c r="AH110" i="32"/>
  <c r="AI110" i="32" s="1"/>
  <c r="AG110" i="32"/>
  <c r="AL110" i="32" s="1"/>
  <c r="AF110" i="32"/>
  <c r="AE110" i="32"/>
  <c r="AD110" i="32"/>
  <c r="Y110" i="32"/>
  <c r="V110" i="32"/>
  <c r="T110" i="32"/>
  <c r="AM109" i="32"/>
  <c r="AK109" i="32"/>
  <c r="AI109" i="32"/>
  <c r="AH109" i="32"/>
  <c r="AF109" i="32"/>
  <c r="AG109" i="32" s="1"/>
  <c r="AE109" i="32"/>
  <c r="AD109" i="32"/>
  <c r="Y109" i="32"/>
  <c r="V109" i="32"/>
  <c r="T109" i="32"/>
  <c r="AM108" i="32"/>
  <c r="AK108" i="32"/>
  <c r="AH108" i="32"/>
  <c r="AI108" i="32" s="1"/>
  <c r="AF108" i="32"/>
  <c r="AG108" i="32" s="1"/>
  <c r="AE108" i="32"/>
  <c r="AD108" i="32"/>
  <c r="Y108" i="32"/>
  <c r="V108" i="32"/>
  <c r="T108" i="32"/>
  <c r="AM107" i="32"/>
  <c r="AK107" i="32"/>
  <c r="AH107" i="32"/>
  <c r="AI107" i="32" s="1"/>
  <c r="AG107" i="32"/>
  <c r="AF107" i="32"/>
  <c r="AE107" i="32"/>
  <c r="AD107" i="32"/>
  <c r="Y107" i="32"/>
  <c r="V107" i="32"/>
  <c r="T107" i="32"/>
  <c r="AM106" i="32"/>
  <c r="AK106" i="32"/>
  <c r="AI106" i="32"/>
  <c r="AH106" i="32"/>
  <c r="AF106" i="32"/>
  <c r="AG106" i="32" s="1"/>
  <c r="AE106" i="32"/>
  <c r="AD106" i="32"/>
  <c r="Y106" i="32"/>
  <c r="V106" i="32"/>
  <c r="T106" i="32"/>
  <c r="AM105" i="32"/>
  <c r="AK105" i="32"/>
  <c r="AH105" i="32"/>
  <c r="AI105" i="32" s="1"/>
  <c r="AF105" i="32"/>
  <c r="AG105" i="32" s="1"/>
  <c r="AE105" i="32"/>
  <c r="AD105" i="32"/>
  <c r="Y105" i="32"/>
  <c r="V105" i="32"/>
  <c r="T105" i="32"/>
  <c r="AM104" i="32"/>
  <c r="AK104" i="32"/>
  <c r="AH104" i="32"/>
  <c r="AI104" i="32" s="1"/>
  <c r="AG104" i="32"/>
  <c r="AF104" i="32"/>
  <c r="AE104" i="32"/>
  <c r="AD104" i="32"/>
  <c r="AN104" i="32" s="1"/>
  <c r="Y104" i="32"/>
  <c r="V104" i="32"/>
  <c r="T104" i="32"/>
  <c r="AM103" i="32"/>
  <c r="AK103" i="32"/>
  <c r="AI103" i="32"/>
  <c r="AH103" i="32"/>
  <c r="AF103" i="32"/>
  <c r="AG103" i="32" s="1"/>
  <c r="AE103" i="32"/>
  <c r="AD103" i="32"/>
  <c r="Y103" i="32"/>
  <c r="V103" i="32"/>
  <c r="T103" i="32"/>
  <c r="AM102" i="32"/>
  <c r="AK102" i="32"/>
  <c r="AH102" i="32"/>
  <c r="AI102" i="32" s="1"/>
  <c r="AF102" i="32"/>
  <c r="AG102" i="32" s="1"/>
  <c r="AE102" i="32"/>
  <c r="AD102" i="32"/>
  <c r="Y102" i="32"/>
  <c r="V102" i="32"/>
  <c r="T102" i="32"/>
  <c r="AM101" i="32"/>
  <c r="AK101" i="32"/>
  <c r="AH101" i="32"/>
  <c r="AI101" i="32" s="1"/>
  <c r="AG101" i="32"/>
  <c r="AF101" i="32"/>
  <c r="AE101" i="32"/>
  <c r="AD101" i="32"/>
  <c r="Y101" i="32"/>
  <c r="V101" i="32"/>
  <c r="T101" i="32"/>
  <c r="AM100" i="32"/>
  <c r="AK100" i="32"/>
  <c r="AI100" i="32"/>
  <c r="AH100" i="32"/>
  <c r="AF100" i="32"/>
  <c r="AG100" i="32" s="1"/>
  <c r="AE100" i="32"/>
  <c r="AD100" i="32"/>
  <c r="Y100" i="32"/>
  <c r="V100" i="32"/>
  <c r="T100" i="32"/>
  <c r="AM99" i="32"/>
  <c r="AK99" i="32"/>
  <c r="AI99" i="32"/>
  <c r="AH99" i="32"/>
  <c r="AF99" i="32"/>
  <c r="AG99" i="32" s="1"/>
  <c r="AE99" i="32"/>
  <c r="AD99" i="32"/>
  <c r="Y99" i="32"/>
  <c r="V99" i="32"/>
  <c r="T99" i="32"/>
  <c r="AM98" i="32"/>
  <c r="AK98" i="32"/>
  <c r="AH98" i="32"/>
  <c r="AI98" i="32" s="1"/>
  <c r="AG98" i="32"/>
  <c r="AF98" i="32"/>
  <c r="AE98" i="32"/>
  <c r="AD98" i="32"/>
  <c r="Y98" i="32"/>
  <c r="V98" i="32"/>
  <c r="T98" i="32"/>
  <c r="AM97" i="32"/>
  <c r="AK97" i="32"/>
  <c r="AJ97" i="32"/>
  <c r="AI97" i="32"/>
  <c r="AH97" i="32"/>
  <c r="AG97" i="32"/>
  <c r="AL97" i="32" s="1"/>
  <c r="AF97" i="32"/>
  <c r="AE97" i="32"/>
  <c r="AD97" i="32"/>
  <c r="Y97" i="32"/>
  <c r="V97" i="32"/>
  <c r="T97" i="32"/>
  <c r="AM96" i="32"/>
  <c r="AL96" i="32"/>
  <c r="AK96" i="32"/>
  <c r="AI96" i="32"/>
  <c r="AH96" i="32"/>
  <c r="AG96" i="32"/>
  <c r="AJ96" i="32" s="1"/>
  <c r="AF96" i="32"/>
  <c r="AE96" i="32"/>
  <c r="AD96" i="32"/>
  <c r="Y96" i="32"/>
  <c r="V96" i="32"/>
  <c r="T96" i="32"/>
  <c r="AM95" i="32"/>
  <c r="AK95" i="32"/>
  <c r="AF95" i="32"/>
  <c r="AG95" i="32" s="1"/>
  <c r="AL95" i="32" s="1"/>
  <c r="Y95" i="32"/>
  <c r="V95" i="32"/>
  <c r="T95" i="32"/>
  <c r="AH95" i="32" s="1"/>
  <c r="AI95" i="32" s="1"/>
  <c r="AM94" i="32"/>
  <c r="AK94" i="32"/>
  <c r="AF94" i="32"/>
  <c r="AG94" i="32" s="1"/>
  <c r="AE94" i="32"/>
  <c r="Y94" i="32"/>
  <c r="V94" i="32"/>
  <c r="T94" i="32"/>
  <c r="AH94" i="32" s="1"/>
  <c r="AI94" i="32" s="1"/>
  <c r="AM93" i="32"/>
  <c r="AK93" i="32"/>
  <c r="AH93" i="32"/>
  <c r="AI93" i="32" s="1"/>
  <c r="AF93" i="32"/>
  <c r="AG93" i="32" s="1"/>
  <c r="AD93" i="32"/>
  <c r="Y93" i="32"/>
  <c r="V93" i="32"/>
  <c r="T93" i="32"/>
  <c r="AE93" i="32" s="1"/>
  <c r="AK92" i="32"/>
  <c r="AH92" i="32"/>
  <c r="AI92" i="32" s="1"/>
  <c r="AF92" i="32"/>
  <c r="AG92" i="32" s="1"/>
  <c r="AL92" i="32" s="1"/>
  <c r="Y92" i="32"/>
  <c r="V92" i="32"/>
  <c r="T92" i="32"/>
  <c r="AE92" i="32" s="1"/>
  <c r="AK91" i="32"/>
  <c r="AH91" i="32"/>
  <c r="AI91" i="32" s="1"/>
  <c r="AF91" i="32"/>
  <c r="AG91" i="32" s="1"/>
  <c r="Y91" i="32"/>
  <c r="V91" i="32"/>
  <c r="T91" i="32"/>
  <c r="AE91" i="32" s="1"/>
  <c r="AK90" i="32"/>
  <c r="AH90" i="32"/>
  <c r="AI90" i="32" s="1"/>
  <c r="AF90" i="32"/>
  <c r="AG90" i="32" s="1"/>
  <c r="Y90" i="32"/>
  <c r="V90" i="32"/>
  <c r="T90" i="32"/>
  <c r="AE90" i="32" s="1"/>
  <c r="AK89" i="32"/>
  <c r="AH89" i="32"/>
  <c r="AI89" i="32" s="1"/>
  <c r="AF89" i="32"/>
  <c r="AG89" i="32" s="1"/>
  <c r="AL89" i="32" s="1"/>
  <c r="Y89" i="32"/>
  <c r="V89" i="32"/>
  <c r="T89" i="32"/>
  <c r="AE89" i="32" s="1"/>
  <c r="AK88" i="32"/>
  <c r="AG88" i="32"/>
  <c r="AF88" i="32"/>
  <c r="AE88" i="32"/>
  <c r="Y88" i="32"/>
  <c r="V88" i="32"/>
  <c r="T88" i="32"/>
  <c r="AD88" i="32" s="1"/>
  <c r="AM87" i="32"/>
  <c r="AK87" i="32"/>
  <c r="AF87" i="32"/>
  <c r="AG87" i="32" s="1"/>
  <c r="AE87" i="32"/>
  <c r="AD87" i="32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M85" i="32"/>
  <c r="AK85" i="32"/>
  <c r="AF85" i="32"/>
  <c r="AG85" i="32" s="1"/>
  <c r="Y85" i="32"/>
  <c r="V85" i="32"/>
  <c r="T85" i="32"/>
  <c r="AH85" i="32" s="1"/>
  <c r="AI85" i="32" s="1"/>
  <c r="AK84" i="32"/>
  <c r="AG84" i="32"/>
  <c r="AF84" i="32"/>
  <c r="Y84" i="32"/>
  <c r="V84" i="32"/>
  <c r="T84" i="32"/>
  <c r="AM84" i="32" s="1"/>
  <c r="AM83" i="32"/>
  <c r="AK83" i="32"/>
  <c r="AF83" i="32"/>
  <c r="AG83" i="32" s="1"/>
  <c r="Y83" i="32"/>
  <c r="V83" i="32"/>
  <c r="T83" i="32"/>
  <c r="AM82" i="32"/>
  <c r="AK82" i="32"/>
  <c r="AF82" i="32"/>
  <c r="AG82" i="32" s="1"/>
  <c r="Y82" i="32"/>
  <c r="V82" i="32"/>
  <c r="T82" i="32"/>
  <c r="AH82" i="32" s="1"/>
  <c r="AI82" i="32" s="1"/>
  <c r="AM81" i="32"/>
  <c r="AK81" i="32"/>
  <c r="AF81" i="32"/>
  <c r="AG81" i="32" s="1"/>
  <c r="Y81" i="32"/>
  <c r="V81" i="32"/>
  <c r="T81" i="32"/>
  <c r="AM80" i="32"/>
  <c r="AK80" i="32"/>
  <c r="AF80" i="32"/>
  <c r="AG80" i="32" s="1"/>
  <c r="Y80" i="32"/>
  <c r="V80" i="32"/>
  <c r="T80" i="32"/>
  <c r="AM79" i="32"/>
  <c r="AK79" i="32"/>
  <c r="AG79" i="32"/>
  <c r="AF79" i="32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G76" i="32"/>
  <c r="AF76" i="32"/>
  <c r="Y76" i="32"/>
  <c r="V76" i="32"/>
  <c r="T76" i="32"/>
  <c r="AM75" i="32"/>
  <c r="AK75" i="32"/>
  <c r="AG75" i="32"/>
  <c r="AF75" i="32"/>
  <c r="Y75" i="32"/>
  <c r="V75" i="32"/>
  <c r="T75" i="32"/>
  <c r="AK74" i="32"/>
  <c r="AF74" i="32"/>
  <c r="AG74" i="32" s="1"/>
  <c r="Y74" i="32"/>
  <c r="V74" i="32"/>
  <c r="T74" i="32"/>
  <c r="AM74" i="32" s="1"/>
  <c r="AM73" i="32"/>
  <c r="AK73" i="32"/>
  <c r="AF73" i="32"/>
  <c r="AG73" i="32" s="1"/>
  <c r="Y73" i="32"/>
  <c r="V73" i="32"/>
  <c r="T73" i="32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G67" i="32"/>
  <c r="AF67" i="32"/>
  <c r="Y67" i="32"/>
  <c r="V67" i="32"/>
  <c r="T67" i="32"/>
  <c r="AM67" i="32" s="1"/>
  <c r="AM66" i="32"/>
  <c r="AK66" i="32"/>
  <c r="AF66" i="32"/>
  <c r="AG66" i="32" s="1"/>
  <c r="Y66" i="32"/>
  <c r="V66" i="32"/>
  <c r="T66" i="32"/>
  <c r="AM65" i="32"/>
  <c r="AK65" i="32"/>
  <c r="AF65" i="32"/>
  <c r="AG65" i="32" s="1"/>
  <c r="Y65" i="32"/>
  <c r="V65" i="32"/>
  <c r="T65" i="32"/>
  <c r="AM64" i="32"/>
  <c r="AK64" i="32"/>
  <c r="AG64" i="32"/>
  <c r="AF64" i="32"/>
  <c r="Y64" i="32"/>
  <c r="V64" i="32"/>
  <c r="T64" i="32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M59" i="32"/>
  <c r="AK59" i="32"/>
  <c r="AF59" i="32"/>
  <c r="AG59" i="32" s="1"/>
  <c r="Y59" i="32"/>
  <c r="V59" i="32"/>
  <c r="T59" i="32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G56" i="32"/>
  <c r="AF56" i="32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M50" i="32"/>
  <c r="AK50" i="32"/>
  <c r="AF50" i="32"/>
  <c r="AG50" i="32" s="1"/>
  <c r="Y50" i="32"/>
  <c r="V50" i="32"/>
  <c r="T50" i="32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W48" i="32"/>
  <c r="V48" i="32"/>
  <c r="T48" i="32"/>
  <c r="AE48" i="32" s="1"/>
  <c r="AM47" i="32"/>
  <c r="AK47" i="32"/>
  <c r="AF47" i="32"/>
  <c r="AG47" i="32" s="1"/>
  <c r="AE47" i="32"/>
  <c r="Y47" i="32"/>
  <c r="V47" i="32"/>
  <c r="T47" i="32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AD42" i="32"/>
  <c r="Y42" i="32"/>
  <c r="V42" i="32"/>
  <c r="T42" i="32"/>
  <c r="AH42" i="32" s="1"/>
  <c r="AI42" i="32" s="1"/>
  <c r="AM41" i="32"/>
  <c r="AK41" i="32"/>
  <c r="AH41" i="32"/>
  <c r="AI41" i="32" s="1"/>
  <c r="AF41" i="32"/>
  <c r="AG41" i="32" s="1"/>
  <c r="AE41" i="32"/>
  <c r="Y41" i="32"/>
  <c r="V41" i="32"/>
  <c r="T41" i="32"/>
  <c r="AD41" i="32" s="1"/>
  <c r="AM40" i="32"/>
  <c r="AK40" i="32"/>
  <c r="AH40" i="32"/>
  <c r="AI40" i="32" s="1"/>
  <c r="AF40" i="32"/>
  <c r="AG40" i="32" s="1"/>
  <c r="AE40" i="32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M38" i="32"/>
  <c r="AK38" i="32"/>
  <c r="AF38" i="32"/>
  <c r="AG38" i="32" s="1"/>
  <c r="AD38" i="32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H34" i="32"/>
  <c r="AI34" i="32" s="1"/>
  <c r="AF34" i="32"/>
  <c r="AG34" i="32" s="1"/>
  <c r="Y34" i="32"/>
  <c r="V34" i="32"/>
  <c r="T34" i="32"/>
  <c r="AD34" i="32" s="1"/>
  <c r="AM33" i="32"/>
  <c r="AK33" i="32"/>
  <c r="AF33" i="32"/>
  <c r="AG33" i="32" s="1"/>
  <c r="AD33" i="32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AE31" i="32"/>
  <c r="Y31" i="32"/>
  <c r="V31" i="32"/>
  <c r="T31" i="32"/>
  <c r="AD31" i="32" s="1"/>
  <c r="AM30" i="32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W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M23" i="32"/>
  <c r="AK23" i="32"/>
  <c r="AH23" i="32"/>
  <c r="AI23" i="32" s="1"/>
  <c r="AF23" i="32"/>
  <c r="AG23" i="32" s="1"/>
  <c r="AD23" i="32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H20" i="32"/>
  <c r="AI20" i="32" s="1"/>
  <c r="AF20" i="32"/>
  <c r="AG20" i="32" s="1"/>
  <c r="Y20" i="32"/>
  <c r="V20" i="32"/>
  <c r="T20" i="32"/>
  <c r="AE20" i="32" s="1"/>
  <c r="AM19" i="32"/>
  <c r="AK19" i="32"/>
  <c r="AH19" i="32"/>
  <c r="AI19" i="32" s="1"/>
  <c r="AF19" i="32"/>
  <c r="AG19" i="32" s="1"/>
  <c r="AE19" i="32"/>
  <c r="Y19" i="32"/>
  <c r="V19" i="32"/>
  <c r="T19" i="32"/>
  <c r="AD19" i="32" s="1"/>
  <c r="AM18" i="32"/>
  <c r="AK18" i="32"/>
  <c r="AF18" i="32"/>
  <c r="AG18" i="32" s="1"/>
  <c r="AD18" i="32"/>
  <c r="Y18" i="32"/>
  <c r="V18" i="32"/>
  <c r="U18" i="32"/>
  <c r="T18" i="32"/>
  <c r="AH18" i="32" s="1"/>
  <c r="AI18" i="32" s="1"/>
  <c r="AM17" i="32"/>
  <c r="AK17" i="32"/>
  <c r="AH17" i="32"/>
  <c r="AI17" i="32" s="1"/>
  <c r="AF17" i="32"/>
  <c r="AG17" i="32" s="1"/>
  <c r="AE17" i="32"/>
  <c r="AD17" i="32"/>
  <c r="Y17" i="32"/>
  <c r="V17" i="32"/>
  <c r="T17" i="32"/>
  <c r="AK16" i="32"/>
  <c r="AF16" i="32"/>
  <c r="AG16" i="32" s="1"/>
  <c r="Y16" i="32"/>
  <c r="V16" i="32"/>
  <c r="T16" i="32"/>
  <c r="AD16" i="32" s="1"/>
  <c r="AM15" i="32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AE14" i="32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AD12" i="32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M9" i="32"/>
  <c r="AK9" i="32"/>
  <c r="AF9" i="32"/>
  <c r="AG9" i="32" s="1"/>
  <c r="AE9" i="32"/>
  <c r="Y9" i="32"/>
  <c r="V9" i="32"/>
  <c r="T9" i="32"/>
  <c r="AD9" i="32" s="1"/>
  <c r="AM8" i="32"/>
  <c r="AK8" i="32"/>
  <c r="AH8" i="32"/>
  <c r="AI8" i="32" s="1"/>
  <c r="AF8" i="32"/>
  <c r="AG8" i="32" s="1"/>
  <c r="AE8" i="32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AD6" i="32"/>
  <c r="Y6" i="32"/>
  <c r="V6" i="32"/>
  <c r="T6" i="32"/>
  <c r="AH6" i="32" s="1"/>
  <c r="AI6" i="32" s="1"/>
  <c r="A6" i="32"/>
  <c r="AM5" i="32"/>
  <c r="AK5" i="32"/>
  <c r="AH5" i="32"/>
  <c r="AI5" i="32" s="1"/>
  <c r="AG5" i="32"/>
  <c r="AF5" i="32"/>
  <c r="Y5" i="32"/>
  <c r="A14" i="32" s="1"/>
  <c r="K42" i="68" s="1"/>
  <c r="V5" i="32"/>
  <c r="T5" i="32"/>
  <c r="AD5" i="32" s="1"/>
  <c r="F1" i="32"/>
  <c r="AM59" i="31"/>
  <c r="AK59" i="31"/>
  <c r="AH59" i="31"/>
  <c r="AI59" i="31" s="1"/>
  <c r="AF59" i="31"/>
  <c r="AG59" i="31" s="1"/>
  <c r="AE59" i="31"/>
  <c r="AD59" i="3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H57" i="31"/>
  <c r="AI57" i="31" s="1"/>
  <c r="AF57" i="31"/>
  <c r="AG57" i="31" s="1"/>
  <c r="AE57" i="31"/>
  <c r="AD57" i="31"/>
  <c r="Y57" i="31"/>
  <c r="V57" i="31"/>
  <c r="T57" i="31"/>
  <c r="AM56" i="31"/>
  <c r="AK56" i="31"/>
  <c r="AH56" i="31"/>
  <c r="AI56" i="31" s="1"/>
  <c r="AF56" i="31"/>
  <c r="AG56" i="31" s="1"/>
  <c r="AE56" i="31"/>
  <c r="AD56" i="31"/>
  <c r="Y56" i="31"/>
  <c r="V56" i="31"/>
  <c r="T56" i="31"/>
  <c r="AM55" i="31"/>
  <c r="AK55" i="31"/>
  <c r="AH55" i="31"/>
  <c r="AI55" i="31" s="1"/>
  <c r="AJ55" i="31" s="1"/>
  <c r="AG55" i="31"/>
  <c r="AF55" i="31"/>
  <c r="AE55" i="31"/>
  <c r="AD55" i="31"/>
  <c r="Y55" i="31"/>
  <c r="V55" i="31"/>
  <c r="T55" i="31"/>
  <c r="AM54" i="31"/>
  <c r="AK54" i="31"/>
  <c r="AI54" i="31"/>
  <c r="AH54" i="31"/>
  <c r="AF54" i="31"/>
  <c r="AG54" i="31" s="1"/>
  <c r="AE54" i="31"/>
  <c r="AD54" i="31"/>
  <c r="Y54" i="31"/>
  <c r="V54" i="31"/>
  <c r="T54" i="31"/>
  <c r="AM53" i="31"/>
  <c r="AK53" i="31"/>
  <c r="AH53" i="31"/>
  <c r="AI53" i="31" s="1"/>
  <c r="AF53" i="31"/>
  <c r="AG53" i="31" s="1"/>
  <c r="AE53" i="31"/>
  <c r="AD53" i="31"/>
  <c r="AN53" i="31" s="1"/>
  <c r="Y53" i="31"/>
  <c r="V53" i="31"/>
  <c r="T53" i="31"/>
  <c r="AM52" i="31"/>
  <c r="AK52" i="31"/>
  <c r="AH52" i="31"/>
  <c r="AI52" i="31" s="1"/>
  <c r="AF52" i="31"/>
  <c r="AG52" i="31" s="1"/>
  <c r="AE52" i="31"/>
  <c r="AD52" i="31"/>
  <c r="Y52" i="31"/>
  <c r="V52" i="31"/>
  <c r="T52" i="31"/>
  <c r="AM51" i="31"/>
  <c r="AK51" i="31"/>
  <c r="AH51" i="31"/>
  <c r="AI51" i="31" s="1"/>
  <c r="AF51" i="31"/>
  <c r="AG51" i="31" s="1"/>
  <c r="AE51" i="31"/>
  <c r="AD51" i="31"/>
  <c r="AN51" i="31" s="1"/>
  <c r="Y51" i="31"/>
  <c r="V51" i="31"/>
  <c r="T51" i="31"/>
  <c r="AM50" i="31"/>
  <c r="AK50" i="31"/>
  <c r="AH50" i="31"/>
  <c r="AI50" i="31" s="1"/>
  <c r="AF50" i="31"/>
  <c r="AG50" i="31" s="1"/>
  <c r="AE50" i="31"/>
  <c r="AD50" i="31"/>
  <c r="Y50" i="31"/>
  <c r="V50" i="31"/>
  <c r="T50" i="31"/>
  <c r="AM49" i="31"/>
  <c r="AK49" i="31"/>
  <c r="AH49" i="31"/>
  <c r="AI49" i="31" s="1"/>
  <c r="AJ49" i="31" s="1"/>
  <c r="AG49" i="31"/>
  <c r="AF49" i="31"/>
  <c r="AE49" i="31"/>
  <c r="AD49" i="31"/>
  <c r="Y49" i="31"/>
  <c r="V49" i="31"/>
  <c r="T49" i="31"/>
  <c r="AM48" i="31"/>
  <c r="AK48" i="31"/>
  <c r="AI48" i="31"/>
  <c r="AH48" i="31"/>
  <c r="AF48" i="31"/>
  <c r="AG48" i="31" s="1"/>
  <c r="AE48" i="31"/>
  <c r="AD48" i="31"/>
  <c r="Y48" i="31"/>
  <c r="V48" i="31"/>
  <c r="T48" i="31"/>
  <c r="AM47" i="31"/>
  <c r="AK47" i="31"/>
  <c r="AH47" i="31"/>
  <c r="AI47" i="31" s="1"/>
  <c r="AF47" i="31"/>
  <c r="AG47" i="31" s="1"/>
  <c r="AE47" i="31"/>
  <c r="AD47" i="31"/>
  <c r="Y47" i="31"/>
  <c r="V47" i="31"/>
  <c r="T47" i="31"/>
  <c r="AM46" i="31"/>
  <c r="AK46" i="31"/>
  <c r="AH46" i="31"/>
  <c r="AI46" i="31" s="1"/>
  <c r="AF46" i="31"/>
  <c r="AG46" i="31" s="1"/>
  <c r="AE46" i="31"/>
  <c r="AD46" i="31"/>
  <c r="Y46" i="31"/>
  <c r="V46" i="31"/>
  <c r="T46" i="31"/>
  <c r="AM45" i="31"/>
  <c r="AK45" i="31"/>
  <c r="AH45" i="31"/>
  <c r="AI45" i="31" s="1"/>
  <c r="AF45" i="31"/>
  <c r="AG45" i="31" s="1"/>
  <c r="AE45" i="31"/>
  <c r="AD45" i="31"/>
  <c r="Y45" i="31"/>
  <c r="V45" i="31"/>
  <c r="T45" i="31"/>
  <c r="AM44" i="31"/>
  <c r="AK44" i="31"/>
  <c r="AH44" i="31"/>
  <c r="AI44" i="31" s="1"/>
  <c r="AF44" i="31"/>
  <c r="AG44" i="31" s="1"/>
  <c r="AE44" i="31"/>
  <c r="AD44" i="31"/>
  <c r="Y44" i="31"/>
  <c r="V44" i="31"/>
  <c r="T44" i="31"/>
  <c r="AM43" i="31"/>
  <c r="AK43" i="31"/>
  <c r="AH43" i="31"/>
  <c r="AI43" i="31" s="1"/>
  <c r="AJ43" i="31" s="1"/>
  <c r="AG43" i="31"/>
  <c r="AF43" i="31"/>
  <c r="AE43" i="31"/>
  <c r="AD43" i="31"/>
  <c r="AN43" i="31" s="1"/>
  <c r="Y43" i="31"/>
  <c r="V43" i="31"/>
  <c r="T43" i="31"/>
  <c r="AM42" i="31"/>
  <c r="AK42" i="31"/>
  <c r="AI42" i="31"/>
  <c r="AH42" i="31"/>
  <c r="AF42" i="31"/>
  <c r="AG42" i="31" s="1"/>
  <c r="AE42" i="31"/>
  <c r="AD42" i="31"/>
  <c r="Y42" i="31"/>
  <c r="V42" i="31"/>
  <c r="T42" i="31"/>
  <c r="AM41" i="31"/>
  <c r="AK41" i="31"/>
  <c r="AH41" i="31"/>
  <c r="AI41" i="31" s="1"/>
  <c r="AF41" i="31"/>
  <c r="AG41" i="31" s="1"/>
  <c r="AE41" i="31"/>
  <c r="AD41" i="31"/>
  <c r="Y41" i="31"/>
  <c r="V41" i="31"/>
  <c r="T41" i="31"/>
  <c r="AM40" i="31"/>
  <c r="AK40" i="31"/>
  <c r="AH40" i="31"/>
  <c r="AI40" i="31" s="1"/>
  <c r="AF40" i="31"/>
  <c r="AG40" i="31" s="1"/>
  <c r="AE40" i="31"/>
  <c r="AD40" i="31"/>
  <c r="Y40" i="31"/>
  <c r="V40" i="31"/>
  <c r="T40" i="31"/>
  <c r="AM39" i="31"/>
  <c r="AK39" i="31"/>
  <c r="AH39" i="31"/>
  <c r="AI39" i="31" s="1"/>
  <c r="AF39" i="31"/>
  <c r="AG39" i="31" s="1"/>
  <c r="AE39" i="31"/>
  <c r="AD39" i="31"/>
  <c r="Y39" i="31"/>
  <c r="V39" i="31"/>
  <c r="T39" i="31"/>
  <c r="AM38" i="31"/>
  <c r="AK38" i="31"/>
  <c r="AH38" i="31"/>
  <c r="AI38" i="31" s="1"/>
  <c r="AF38" i="31"/>
  <c r="AG38" i="31" s="1"/>
  <c r="AE38" i="31"/>
  <c r="AD38" i="31"/>
  <c r="Y38" i="31"/>
  <c r="V38" i="31"/>
  <c r="T38" i="31"/>
  <c r="AM37" i="31"/>
  <c r="AK37" i="31"/>
  <c r="AH37" i="31"/>
  <c r="AI37" i="31" s="1"/>
  <c r="AJ37" i="31" s="1"/>
  <c r="AG37" i="31"/>
  <c r="AF37" i="31"/>
  <c r="AE37" i="31"/>
  <c r="AD37" i="31"/>
  <c r="Y37" i="31"/>
  <c r="V37" i="31"/>
  <c r="T37" i="31"/>
  <c r="AM36" i="31"/>
  <c r="AK36" i="31"/>
  <c r="AI36" i="31"/>
  <c r="AH36" i="31"/>
  <c r="AF36" i="31"/>
  <c r="AG36" i="31" s="1"/>
  <c r="AE36" i="31"/>
  <c r="AD36" i="31"/>
  <c r="Y36" i="31"/>
  <c r="V36" i="31"/>
  <c r="T36" i="31"/>
  <c r="AM35" i="31"/>
  <c r="AK35" i="31"/>
  <c r="AF35" i="31"/>
  <c r="AG35" i="31" s="1"/>
  <c r="AD35" i="3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AD33" i="31"/>
  <c r="Y33" i="31"/>
  <c r="V33" i="31"/>
  <c r="T33" i="31"/>
  <c r="AM33" i="31" s="1"/>
  <c r="AM32" i="31"/>
  <c r="AK32" i="31"/>
  <c r="AF32" i="31"/>
  <c r="AG32" i="31" s="1"/>
  <c r="AD32" i="31"/>
  <c r="Y32" i="31"/>
  <c r="V32" i="31"/>
  <c r="T32" i="31"/>
  <c r="AH32" i="31" s="1"/>
  <c r="AI32" i="31" s="1"/>
  <c r="AK31" i="31"/>
  <c r="AH31" i="31"/>
  <c r="AI31" i="31" s="1"/>
  <c r="AJ31" i="31" s="1"/>
  <c r="AG31" i="31"/>
  <c r="AF31" i="31"/>
  <c r="Y31" i="31"/>
  <c r="V31" i="31"/>
  <c r="T31" i="31"/>
  <c r="AE31" i="31" s="1"/>
  <c r="AK30" i="31"/>
  <c r="AH30" i="31"/>
  <c r="AI30" i="31" s="1"/>
  <c r="AF30" i="31"/>
  <c r="AG30" i="31" s="1"/>
  <c r="AE30" i="31"/>
  <c r="AD30" i="31"/>
  <c r="Y30" i="31"/>
  <c r="V30" i="31"/>
  <c r="T30" i="31"/>
  <c r="AM30" i="31" s="1"/>
  <c r="AM29" i="31"/>
  <c r="AK29" i="31"/>
  <c r="AH29" i="31"/>
  <c r="AI29" i="31" s="1"/>
  <c r="AF29" i="31"/>
  <c r="AG29" i="31" s="1"/>
  <c r="AE29" i="31"/>
  <c r="AD29" i="31"/>
  <c r="Y29" i="31"/>
  <c r="V29" i="31"/>
  <c r="T29" i="3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M25" i="3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G23" i="31"/>
  <c r="AF23" i="31"/>
  <c r="Y23" i="31"/>
  <c r="V23" i="31"/>
  <c r="T23" i="31"/>
  <c r="AD23" i="31" s="1"/>
  <c r="AM22" i="31"/>
  <c r="AK22" i="31"/>
  <c r="AF22" i="31"/>
  <c r="AG22" i="31" s="1"/>
  <c r="Y22" i="31"/>
  <c r="V22" i="31"/>
  <c r="T22" i="31"/>
  <c r="AH22" i="31" s="1"/>
  <c r="AI22" i="31" s="1"/>
  <c r="AM21" i="31"/>
  <c r="AK21" i="31"/>
  <c r="AF21" i="31"/>
  <c r="AG21" i="31" s="1"/>
  <c r="Y21" i="31"/>
  <c r="V21" i="31"/>
  <c r="T21" i="31"/>
  <c r="AH21" i="31" s="1"/>
  <c r="AI21" i="31" s="1"/>
  <c r="AM20" i="31"/>
  <c r="AK20" i="31"/>
  <c r="AF20" i="31"/>
  <c r="AG20" i="31" s="1"/>
  <c r="AE20" i="3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G18" i="31"/>
  <c r="AF18" i="3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G16" i="31"/>
  <c r="AF16" i="31"/>
  <c r="Y16" i="31"/>
  <c r="V16" i="31"/>
  <c r="T16" i="31"/>
  <c r="AH16" i="31" s="1"/>
  <c r="AI16" i="31" s="1"/>
  <c r="AM15" i="31"/>
  <c r="AK15" i="31"/>
  <c r="AH15" i="31"/>
  <c r="AI15" i="31" s="1"/>
  <c r="AF15" i="31"/>
  <c r="AG15" i="31" s="1"/>
  <c r="AD15" i="31"/>
  <c r="Y15" i="31"/>
  <c r="V15" i="31"/>
  <c r="T15" i="31"/>
  <c r="AE15" i="31" s="1"/>
  <c r="AK14" i="31"/>
  <c r="AF14" i="31"/>
  <c r="AG14" i="31" s="1"/>
  <c r="Y14" i="31"/>
  <c r="V14" i="31"/>
  <c r="T14" i="31"/>
  <c r="AE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H12" i="31"/>
  <c r="AI12" i="31" s="1"/>
  <c r="AF12" i="31"/>
  <c r="AG12" i="31" s="1"/>
  <c r="AE12" i="31"/>
  <c r="AD12" i="31"/>
  <c r="Y12" i="31"/>
  <c r="V12" i="31"/>
  <c r="T12" i="31"/>
  <c r="A12" i="3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W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AD6" i="31"/>
  <c r="Y6" i="31"/>
  <c r="W6" i="31"/>
  <c r="V6" i="31"/>
  <c r="U6" i="31"/>
  <c r="T6" i="31"/>
  <c r="AH6" i="31" s="1"/>
  <c r="AI6" i="31" s="1"/>
  <c r="A6" i="31"/>
  <c r="AK5" i="31"/>
  <c r="AF5" i="31"/>
  <c r="AG5" i="31" s="1"/>
  <c r="Y5" i="31"/>
  <c r="V5" i="31"/>
  <c r="U5" i="31"/>
  <c r="T5" i="31"/>
  <c r="AH5" i="31" s="1"/>
  <c r="AI5" i="31" s="1"/>
  <c r="F1" i="31"/>
  <c r="AM24" i="30"/>
  <c r="AK24" i="30"/>
  <c r="AH24" i="30"/>
  <c r="AI24" i="30" s="1"/>
  <c r="AF24" i="30"/>
  <c r="AG24" i="30" s="1"/>
  <c r="AE24" i="30"/>
  <c r="AD24" i="30"/>
  <c r="Y24" i="30"/>
  <c r="V24" i="30"/>
  <c r="T24" i="30"/>
  <c r="AM23" i="30"/>
  <c r="AK23" i="30"/>
  <c r="AH23" i="30"/>
  <c r="AI23" i="30" s="1"/>
  <c r="AF23" i="30"/>
  <c r="AG23" i="30" s="1"/>
  <c r="AE23" i="30"/>
  <c r="AD23" i="30"/>
  <c r="Y23" i="30"/>
  <c r="V23" i="30"/>
  <c r="T23" i="30"/>
  <c r="AM22" i="30"/>
  <c r="AK22" i="30"/>
  <c r="AH22" i="30"/>
  <c r="AI22" i="30" s="1"/>
  <c r="AG22" i="30"/>
  <c r="AF22" i="30"/>
  <c r="AE22" i="30"/>
  <c r="AD22" i="30"/>
  <c r="Y22" i="30"/>
  <c r="V22" i="30"/>
  <c r="T22" i="30"/>
  <c r="AM21" i="30"/>
  <c r="AK21" i="30"/>
  <c r="AI21" i="30"/>
  <c r="AH21" i="30"/>
  <c r="AF21" i="30"/>
  <c r="AG21" i="30" s="1"/>
  <c r="AE21" i="30"/>
  <c r="AD21" i="30"/>
  <c r="AN21" i="30" s="1"/>
  <c r="Y21" i="30"/>
  <c r="V21" i="30"/>
  <c r="T21" i="30"/>
  <c r="AM20" i="30"/>
  <c r="AK20" i="30"/>
  <c r="AH20" i="30"/>
  <c r="AI20" i="30" s="1"/>
  <c r="AG20" i="30"/>
  <c r="AF20" i="30"/>
  <c r="AE20" i="30"/>
  <c r="AD20" i="30"/>
  <c r="Y20" i="30"/>
  <c r="V20" i="30"/>
  <c r="T20" i="30"/>
  <c r="AM19" i="30"/>
  <c r="AK19" i="30"/>
  <c r="AG19" i="30"/>
  <c r="AF19" i="30"/>
  <c r="Y19" i="30"/>
  <c r="V19" i="30"/>
  <c r="T19" i="30"/>
  <c r="AE19" i="30" s="1"/>
  <c r="AM18" i="30"/>
  <c r="AK18" i="30"/>
  <c r="AF18" i="30"/>
  <c r="AG18" i="30" s="1"/>
  <c r="Y18" i="30"/>
  <c r="V18" i="30"/>
  <c r="T18" i="30"/>
  <c r="AH18" i="30" s="1"/>
  <c r="AI18" i="30" s="1"/>
  <c r="AM17" i="30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AD14" i="30"/>
  <c r="Y14" i="30"/>
  <c r="V14" i="30"/>
  <c r="T14" i="30"/>
  <c r="AE14" i="30" s="1"/>
  <c r="AK13" i="30"/>
  <c r="AH13" i="30"/>
  <c r="AI13" i="30" s="1"/>
  <c r="AF13" i="30"/>
  <c r="AG13" i="30" s="1"/>
  <c r="Y13" i="30"/>
  <c r="V13" i="30"/>
  <c r="T13" i="30"/>
  <c r="AE13" i="30" s="1"/>
  <c r="AM12" i="30"/>
  <c r="AK12" i="30"/>
  <c r="AH12" i="30"/>
  <c r="AI12" i="30" s="1"/>
  <c r="AF12" i="30"/>
  <c r="AG12" i="30" s="1"/>
  <c r="AE12" i="30"/>
  <c r="AD12" i="30"/>
  <c r="Y12" i="30"/>
  <c r="V12" i="30"/>
  <c r="T12" i="30"/>
  <c r="A12" i="30"/>
  <c r="AM11" i="30"/>
  <c r="AK11" i="30"/>
  <c r="AF11" i="30"/>
  <c r="AG11" i="30" s="1"/>
  <c r="AE11" i="30"/>
  <c r="Y11" i="30"/>
  <c r="V11" i="30"/>
  <c r="T11" i="30"/>
  <c r="AD11" i="30" s="1"/>
  <c r="AM10" i="30"/>
  <c r="AK10" i="30"/>
  <c r="AF10" i="30"/>
  <c r="AG10" i="30" s="1"/>
  <c r="AD10" i="30"/>
  <c r="Y10" i="30"/>
  <c r="V10" i="30"/>
  <c r="T10" i="30"/>
  <c r="AH10" i="30" s="1"/>
  <c r="AI10" i="30" s="1"/>
  <c r="A10" i="30"/>
  <c r="W23" i="30" s="1"/>
  <c r="AM9" i="30"/>
  <c r="AK9" i="30"/>
  <c r="AF9" i="30"/>
  <c r="AG9" i="30" s="1"/>
  <c r="AL9" i="30" s="1"/>
  <c r="Y9" i="30"/>
  <c r="V9" i="30"/>
  <c r="T9" i="30"/>
  <c r="AH9" i="30" s="1"/>
  <c r="AI9" i="30" s="1"/>
  <c r="AM8" i="30"/>
  <c r="AK8" i="30"/>
  <c r="AF8" i="30"/>
  <c r="AG8" i="30" s="1"/>
  <c r="Y8" i="30"/>
  <c r="V8" i="30"/>
  <c r="T8" i="30"/>
  <c r="AD8" i="30" s="1"/>
  <c r="AM7" i="30"/>
  <c r="AK7" i="30"/>
  <c r="AF7" i="30"/>
  <c r="AG7" i="30" s="1"/>
  <c r="Y7" i="30"/>
  <c r="V7" i="30"/>
  <c r="T7" i="30"/>
  <c r="AH7" i="30" s="1"/>
  <c r="AI7" i="30" s="1"/>
  <c r="AM6" i="30"/>
  <c r="AK6" i="30"/>
  <c r="AH6" i="30"/>
  <c r="AI6" i="30" s="1"/>
  <c r="AF6" i="30"/>
  <c r="AG6" i="30" s="1"/>
  <c r="AJ6" i="30" s="1"/>
  <c r="AD6" i="30"/>
  <c r="Y6" i="30"/>
  <c r="V6" i="30"/>
  <c r="T6" i="30"/>
  <c r="A6" i="30"/>
  <c r="AK5" i="30"/>
  <c r="AF5" i="30"/>
  <c r="AG5" i="30" s="1"/>
  <c r="AD5" i="30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39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E48" i="28"/>
  <c r="AD48" i="28"/>
  <c r="Y48" i="28"/>
  <c r="V48" i="28"/>
  <c r="T48" i="28"/>
  <c r="AM47" i="28"/>
  <c r="AK47" i="28"/>
  <c r="AH47" i="28"/>
  <c r="AI47" i="28" s="1"/>
  <c r="AG47" i="28"/>
  <c r="AF47" i="28"/>
  <c r="AE47" i="28"/>
  <c r="AD47" i="28"/>
  <c r="Y47" i="28"/>
  <c r="V47" i="28"/>
  <c r="T47" i="28"/>
  <c r="AM46" i="28"/>
  <c r="AK46" i="28"/>
  <c r="AJ46" i="28"/>
  <c r="AI46" i="28"/>
  <c r="AH46" i="28"/>
  <c r="AG46" i="28"/>
  <c r="AL46" i="28" s="1"/>
  <c r="AF46" i="28"/>
  <c r="AE46" i="28"/>
  <c r="AD46" i="28"/>
  <c r="Y46" i="28"/>
  <c r="V46" i="28"/>
  <c r="T46" i="28"/>
  <c r="AM45" i="28"/>
  <c r="AK45" i="28"/>
  <c r="AI45" i="28"/>
  <c r="AH45" i="28"/>
  <c r="AF45" i="28"/>
  <c r="AG45" i="28" s="1"/>
  <c r="AE45" i="28"/>
  <c r="AD45" i="28"/>
  <c r="Y45" i="28"/>
  <c r="V45" i="28"/>
  <c r="T45" i="28"/>
  <c r="AM44" i="28"/>
  <c r="AK44" i="28"/>
  <c r="AH44" i="28"/>
  <c r="AI44" i="28" s="1"/>
  <c r="AG44" i="28"/>
  <c r="AF44" i="28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N43" i="28" s="1"/>
  <c r="AD43" i="28"/>
  <c r="Y43" i="28"/>
  <c r="V43" i="28"/>
  <c r="T43" i="28"/>
  <c r="AM42" i="28"/>
  <c r="AK42" i="28"/>
  <c r="AH42" i="28"/>
  <c r="AI42" i="28" s="1"/>
  <c r="AG42" i="28"/>
  <c r="AL42" i="28" s="1"/>
  <c r="AF42" i="28"/>
  <c r="AE42" i="28"/>
  <c r="AD42" i="28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H40" i="28"/>
  <c r="AI40" i="28" s="1"/>
  <c r="AF40" i="28"/>
  <c r="AG40" i="28" s="1"/>
  <c r="AE40" i="28"/>
  <c r="Y40" i="28"/>
  <c r="V40" i="28"/>
  <c r="T40" i="28"/>
  <c r="AD40" i="28" s="1"/>
  <c r="AM39" i="28"/>
  <c r="AK39" i="28"/>
  <c r="AH39" i="28"/>
  <c r="AI39" i="28" s="1"/>
  <c r="AF39" i="28"/>
  <c r="AG39" i="28" s="1"/>
  <c r="AE39" i="28"/>
  <c r="AD39" i="28"/>
  <c r="Y39" i="28"/>
  <c r="V39" i="28"/>
  <c r="T39" i="28"/>
  <c r="AK38" i="28"/>
  <c r="AH38" i="28"/>
  <c r="AI38" i="28" s="1"/>
  <c r="AF38" i="28"/>
  <c r="AG38" i="28" s="1"/>
  <c r="AE38" i="28"/>
  <c r="AD38" i="28"/>
  <c r="Y38" i="28"/>
  <c r="V38" i="28"/>
  <c r="T38" i="28"/>
  <c r="AM38" i="28" s="1"/>
  <c r="AM37" i="28"/>
  <c r="AK37" i="28"/>
  <c r="AH37" i="28"/>
  <c r="AI37" i="28" s="1"/>
  <c r="AG37" i="28"/>
  <c r="AF37" i="28"/>
  <c r="AE37" i="28"/>
  <c r="AD37" i="28"/>
  <c r="Y37" i="28"/>
  <c r="V37" i="28"/>
  <c r="T37" i="28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U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H33" i="28"/>
  <c r="AI33" i="28" s="1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D31" i="28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G29" i="28"/>
  <c r="AF29" i="28"/>
  <c r="Y29" i="28"/>
  <c r="V29" i="28"/>
  <c r="T29" i="28"/>
  <c r="AH29" i="28" s="1"/>
  <c r="AI29" i="28" s="1"/>
  <c r="AK28" i="28"/>
  <c r="AF28" i="28"/>
  <c r="AG28" i="28" s="1"/>
  <c r="AD28" i="28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G26" i="28"/>
  <c r="AF26" i="28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H24" i="28"/>
  <c r="AI24" i="28" s="1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U23" i="28" s="1"/>
  <c r="AM22" i="28"/>
  <c r="AK22" i="28"/>
  <c r="AG22" i="28"/>
  <c r="AF22" i="28"/>
  <c r="Y22" i="28"/>
  <c r="V22" i="28"/>
  <c r="T22" i="28"/>
  <c r="AH22" i="28" s="1"/>
  <c r="AI22" i="28" s="1"/>
  <c r="AM21" i="28"/>
  <c r="AK21" i="28"/>
  <c r="AH21" i="28"/>
  <c r="AI21" i="28" s="1"/>
  <c r="AG21" i="28"/>
  <c r="AF21" i="28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AD19" i="28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AD16" i="28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H14" i="28"/>
  <c r="AI14" i="28" s="1"/>
  <c r="AF14" i="28"/>
  <c r="AG14" i="28" s="1"/>
  <c r="Y14" i="28"/>
  <c r="V14" i="28"/>
  <c r="T14" i="28"/>
  <c r="AE14" i="28" s="1"/>
  <c r="AM13" i="28"/>
  <c r="AK13" i="28"/>
  <c r="AH13" i="28"/>
  <c r="AI13" i="28" s="1"/>
  <c r="AF13" i="28"/>
  <c r="AG13" i="28" s="1"/>
  <c r="AE13" i="28"/>
  <c r="AD13" i="28"/>
  <c r="Y13" i="28"/>
  <c r="V13" i="28"/>
  <c r="T13" i="28"/>
  <c r="AM12" i="28"/>
  <c r="AK12" i="28"/>
  <c r="AH12" i="28"/>
  <c r="AI12" i="28" s="1"/>
  <c r="AJ12" i="28" s="1"/>
  <c r="AF12" i="28"/>
  <c r="AG12" i="28" s="1"/>
  <c r="AE12" i="28"/>
  <c r="AD12" i="28"/>
  <c r="Y12" i="28"/>
  <c r="V12" i="28"/>
  <c r="T12" i="28"/>
  <c r="A12" i="28"/>
  <c r="J38" i="68" s="1"/>
  <c r="AK11" i="28"/>
  <c r="AF11" i="28"/>
  <c r="AG11" i="28" s="1"/>
  <c r="Y11" i="28"/>
  <c r="W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AJ9" i="28" s="1"/>
  <c r="Y9" i="28"/>
  <c r="V9" i="28"/>
  <c r="T9" i="28"/>
  <c r="AH9" i="28" s="1"/>
  <c r="AI9" i="28" s="1"/>
  <c r="AK8" i="28"/>
  <c r="AF8" i="28"/>
  <c r="AG8" i="28" s="1"/>
  <c r="AL8" i="28" s="1"/>
  <c r="Y8" i="28"/>
  <c r="W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I6" i="28"/>
  <c r="AH6" i="28"/>
  <c r="AG6" i="28"/>
  <c r="AF6" i="28"/>
  <c r="AD6" i="28"/>
  <c r="Y6" i="28"/>
  <c r="V6" i="28"/>
  <c r="U6" i="28"/>
  <c r="T6" i="28"/>
  <c r="A6" i="28"/>
  <c r="AM5" i="28"/>
  <c r="AK5" i="28"/>
  <c r="AF5" i="28"/>
  <c r="AG5" i="28" s="1"/>
  <c r="AD5" i="28"/>
  <c r="Y5" i="28"/>
  <c r="V5" i="28"/>
  <c r="U5" i="28"/>
  <c r="T5" i="28"/>
  <c r="AH5" i="28" s="1"/>
  <c r="AI5" i="28" s="1"/>
  <c r="F1" i="28"/>
  <c r="AM24" i="27"/>
  <c r="AK24" i="27"/>
  <c r="AJ24" i="27"/>
  <c r="AI24" i="27"/>
  <c r="AH24" i="27"/>
  <c r="AG24" i="27"/>
  <c r="AL24" i="27" s="1"/>
  <c r="AF24" i="27"/>
  <c r="AE24" i="27"/>
  <c r="AD24" i="27"/>
  <c r="Y24" i="27"/>
  <c r="V24" i="27"/>
  <c r="T24" i="27"/>
  <c r="AM23" i="27"/>
  <c r="AK23" i="27"/>
  <c r="AJ23" i="27"/>
  <c r="AI23" i="27"/>
  <c r="AH23" i="27"/>
  <c r="AG23" i="27"/>
  <c r="AL23" i="27" s="1"/>
  <c r="AF23" i="27"/>
  <c r="AE23" i="27"/>
  <c r="AD23" i="27"/>
  <c r="Y23" i="27"/>
  <c r="V23" i="27"/>
  <c r="T23" i="27"/>
  <c r="AM22" i="27"/>
  <c r="AL22" i="27"/>
  <c r="AK22" i="27"/>
  <c r="AI22" i="27"/>
  <c r="AH22" i="27"/>
  <c r="AF22" i="27"/>
  <c r="AG22" i="27" s="1"/>
  <c r="AJ22" i="27" s="1"/>
  <c r="AE22" i="27"/>
  <c r="AD22" i="27"/>
  <c r="AN22" i="27" s="1"/>
  <c r="Y22" i="27"/>
  <c r="V22" i="27"/>
  <c r="T22" i="27"/>
  <c r="AM21" i="27"/>
  <c r="AK21" i="27"/>
  <c r="AI21" i="27"/>
  <c r="AH21" i="27"/>
  <c r="AF21" i="27"/>
  <c r="AG21" i="27" s="1"/>
  <c r="AE21" i="27"/>
  <c r="AD21" i="27"/>
  <c r="Y21" i="27"/>
  <c r="V21" i="27"/>
  <c r="T21" i="27"/>
  <c r="AM20" i="27"/>
  <c r="AK20" i="27"/>
  <c r="AI20" i="27"/>
  <c r="AH20" i="27"/>
  <c r="AF20" i="27"/>
  <c r="AG20" i="27" s="1"/>
  <c r="AE20" i="27"/>
  <c r="AD20" i="27"/>
  <c r="Y20" i="27"/>
  <c r="V20" i="27"/>
  <c r="T20" i="27"/>
  <c r="AM19" i="27"/>
  <c r="AK19" i="27"/>
  <c r="AH19" i="27"/>
  <c r="AI19" i="27" s="1"/>
  <c r="AJ19" i="27" s="1"/>
  <c r="AG19" i="27"/>
  <c r="AL19" i="27" s="1"/>
  <c r="AF19" i="27"/>
  <c r="AE19" i="27"/>
  <c r="AD19" i="27"/>
  <c r="AN19" i="27" s="1"/>
  <c r="Y19" i="27"/>
  <c r="V19" i="27"/>
  <c r="T19" i="27"/>
  <c r="AM18" i="27"/>
  <c r="AK18" i="27"/>
  <c r="AH18" i="27"/>
  <c r="AI18" i="27" s="1"/>
  <c r="AG18" i="27"/>
  <c r="AJ18" i="27" s="1"/>
  <c r="AF18" i="27"/>
  <c r="AE18" i="27"/>
  <c r="AD18" i="27"/>
  <c r="AN18" i="27" s="1"/>
  <c r="Y18" i="27"/>
  <c r="V18" i="27"/>
  <c r="T18" i="27"/>
  <c r="AM17" i="27"/>
  <c r="AK17" i="27"/>
  <c r="AH17" i="27"/>
  <c r="AI17" i="27" s="1"/>
  <c r="AF17" i="27"/>
  <c r="AG17" i="27" s="1"/>
  <c r="AE17" i="27"/>
  <c r="AD17" i="27"/>
  <c r="Y17" i="27"/>
  <c r="V17" i="27"/>
  <c r="T17" i="27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AL15" i="27" s="1"/>
  <c r="Y15" i="27"/>
  <c r="V15" i="27"/>
  <c r="T15" i="27"/>
  <c r="AH15" i="27" s="1"/>
  <c r="AI15" i="27" s="1"/>
  <c r="AM14" i="27"/>
  <c r="AK14" i="27"/>
  <c r="AF14" i="27"/>
  <c r="AG14" i="27" s="1"/>
  <c r="AE14" i="27"/>
  <c r="Y14" i="27"/>
  <c r="V14" i="27"/>
  <c r="T14" i="27"/>
  <c r="AH14" i="27" s="1"/>
  <c r="AI14" i="27" s="1"/>
  <c r="AL14" i="27" s="1"/>
  <c r="AM13" i="27"/>
  <c r="AK13" i="27"/>
  <c r="AF13" i="27"/>
  <c r="AG13" i="27" s="1"/>
  <c r="AE13" i="27"/>
  <c r="Y13" i="27"/>
  <c r="V13" i="27"/>
  <c r="T13" i="27"/>
  <c r="AH13" i="27" s="1"/>
  <c r="AI13" i="27" s="1"/>
  <c r="AM12" i="27"/>
  <c r="AK12" i="27"/>
  <c r="AH12" i="27"/>
  <c r="AI12" i="27" s="1"/>
  <c r="AF12" i="27"/>
  <c r="AG12" i="27" s="1"/>
  <c r="AL12" i="27" s="1"/>
  <c r="Y12" i="27"/>
  <c r="W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E10" i="27"/>
  <c r="AD10" i="27"/>
  <c r="Y10" i="27"/>
  <c r="V10" i="27"/>
  <c r="T10" i="27"/>
  <c r="U10" i="27" s="1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W8" i="27"/>
  <c r="V8" i="27"/>
  <c r="T8" i="27"/>
  <c r="AD8" i="27" s="1"/>
  <c r="AM7" i="27"/>
  <c r="AK7" i="27"/>
  <c r="AF7" i="27"/>
  <c r="AG7" i="27" s="1"/>
  <c r="AD7" i="27"/>
  <c r="Y7" i="27"/>
  <c r="W7" i="27"/>
  <c r="V7" i="27"/>
  <c r="T7" i="27"/>
  <c r="U7" i="27" s="1"/>
  <c r="AK6" i="27"/>
  <c r="AF6" i="27"/>
  <c r="AG6" i="27" s="1"/>
  <c r="Y6" i="27"/>
  <c r="W6" i="27"/>
  <c r="V6" i="27"/>
  <c r="U6" i="27"/>
  <c r="T6" i="27"/>
  <c r="AD6" i="27" s="1"/>
  <c r="AK5" i="27"/>
  <c r="AF5" i="27"/>
  <c r="AG5" i="27" s="1"/>
  <c r="Y5" i="27"/>
  <c r="W5" i="27"/>
  <c r="V5" i="27"/>
  <c r="T5" i="27"/>
  <c r="AH5" i="27" s="1"/>
  <c r="AI5" i="27" s="1"/>
  <c r="F1" i="27"/>
  <c r="AM24" i="26"/>
  <c r="AK24" i="26"/>
  <c r="AI24" i="26"/>
  <c r="AH24" i="26"/>
  <c r="AF24" i="26"/>
  <c r="AG24" i="26" s="1"/>
  <c r="AE24" i="26"/>
  <c r="AD24" i="26"/>
  <c r="AN24" i="26" s="1"/>
  <c r="Y24" i="26"/>
  <c r="V24" i="26"/>
  <c r="T24" i="26"/>
  <c r="AM23" i="26"/>
  <c r="AK23" i="26"/>
  <c r="AI23" i="26"/>
  <c r="AH23" i="26"/>
  <c r="AF23" i="26"/>
  <c r="AG23" i="26" s="1"/>
  <c r="AL23" i="26" s="1"/>
  <c r="AE23" i="26"/>
  <c r="AD23" i="26"/>
  <c r="Y23" i="26"/>
  <c r="V23" i="26"/>
  <c r="T23" i="26"/>
  <c r="AM22" i="26"/>
  <c r="AK22" i="26"/>
  <c r="AH22" i="26"/>
  <c r="AI22" i="26" s="1"/>
  <c r="AG22" i="26"/>
  <c r="AJ22" i="26" s="1"/>
  <c r="AF22" i="26"/>
  <c r="AE22" i="26"/>
  <c r="AD22" i="26"/>
  <c r="AN22" i="26" s="1"/>
  <c r="Y22" i="26"/>
  <c r="V22" i="26"/>
  <c r="T22" i="26"/>
  <c r="AM21" i="26"/>
  <c r="AK21" i="26"/>
  <c r="AJ21" i="26"/>
  <c r="AH21" i="26"/>
  <c r="AI21" i="26" s="1"/>
  <c r="AG21" i="26"/>
  <c r="AF21" i="26"/>
  <c r="AE21" i="26"/>
  <c r="AD21" i="26"/>
  <c r="Y21" i="26"/>
  <c r="V21" i="26"/>
  <c r="T21" i="26"/>
  <c r="AM20" i="26"/>
  <c r="AK20" i="26"/>
  <c r="AH20" i="26"/>
  <c r="AI20" i="26" s="1"/>
  <c r="AG20" i="26"/>
  <c r="AF20" i="26"/>
  <c r="AE20" i="26"/>
  <c r="AD20" i="26"/>
  <c r="Y20" i="26"/>
  <c r="V20" i="26"/>
  <c r="T20" i="26"/>
  <c r="AM19" i="26"/>
  <c r="AK19" i="26"/>
  <c r="AI19" i="26"/>
  <c r="AH19" i="26"/>
  <c r="AF19" i="26"/>
  <c r="AG19" i="26" s="1"/>
  <c r="AE19" i="26"/>
  <c r="AD19" i="26"/>
  <c r="Y19" i="26"/>
  <c r="V19" i="26"/>
  <c r="T19" i="26"/>
  <c r="AM18" i="26"/>
  <c r="AK18" i="26"/>
  <c r="AH18" i="26"/>
  <c r="AI18" i="26" s="1"/>
  <c r="AF18" i="26"/>
  <c r="AG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AN17" i="26" s="1"/>
  <c r="Y17" i="26"/>
  <c r="V17" i="26"/>
  <c r="T17" i="26"/>
  <c r="AM16" i="26"/>
  <c r="AK16" i="26"/>
  <c r="AH16" i="26"/>
  <c r="AI16" i="26" s="1"/>
  <c r="AF16" i="26"/>
  <c r="AG16" i="26" s="1"/>
  <c r="AL16" i="26" s="1"/>
  <c r="AE16" i="26"/>
  <c r="AD16" i="26"/>
  <c r="Y16" i="26"/>
  <c r="V16" i="26"/>
  <c r="T16" i="26"/>
  <c r="AM15" i="26"/>
  <c r="AK15" i="26"/>
  <c r="AI15" i="26"/>
  <c r="AH15" i="26"/>
  <c r="AG15" i="26"/>
  <c r="AF15" i="26"/>
  <c r="AE15" i="26"/>
  <c r="AD15" i="26"/>
  <c r="Y15" i="26"/>
  <c r="V15" i="26"/>
  <c r="T15" i="26"/>
  <c r="AM14" i="26"/>
  <c r="AK14" i="26"/>
  <c r="AI14" i="26"/>
  <c r="AH14" i="26"/>
  <c r="AF14" i="26"/>
  <c r="AG14" i="26" s="1"/>
  <c r="AE14" i="26"/>
  <c r="AD14" i="26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H10" i="26"/>
  <c r="AI10" i="26" s="1"/>
  <c r="AF10" i="26"/>
  <c r="AG10" i="26" s="1"/>
  <c r="Y10" i="26"/>
  <c r="V10" i="26"/>
  <c r="U10" i="26"/>
  <c r="T10" i="26"/>
  <c r="AE10" i="26" s="1"/>
  <c r="A10" i="26"/>
  <c r="W15" i="26" s="1"/>
  <c r="AM9" i="26"/>
  <c r="AK9" i="26"/>
  <c r="AF9" i="26"/>
  <c r="AG9" i="26" s="1"/>
  <c r="AE9" i="26"/>
  <c r="Y9" i="26"/>
  <c r="V9" i="26"/>
  <c r="T9" i="26"/>
  <c r="AD9" i="26" s="1"/>
  <c r="AM8" i="26"/>
  <c r="AK8" i="26"/>
  <c r="AF8" i="26"/>
  <c r="AG8" i="26" s="1"/>
  <c r="AD8" i="26"/>
  <c r="Y8" i="26"/>
  <c r="V8" i="26"/>
  <c r="T8" i="26"/>
  <c r="AH8" i="26" s="1"/>
  <c r="AI8" i="26" s="1"/>
  <c r="AK7" i="26"/>
  <c r="AF7" i="26"/>
  <c r="AG7" i="26" s="1"/>
  <c r="Y7" i="26"/>
  <c r="W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AD5" i="26"/>
  <c r="Y5" i="26"/>
  <c r="W5" i="26"/>
  <c r="V5" i="26"/>
  <c r="T5" i="26"/>
  <c r="AH5" i="26" s="1"/>
  <c r="AI5" i="26" s="1"/>
  <c r="F1" i="26"/>
  <c r="AM24" i="25"/>
  <c r="AK24" i="25"/>
  <c r="AI24" i="25"/>
  <c r="AH24" i="25"/>
  <c r="AF24" i="25"/>
  <c r="AG24" i="25" s="1"/>
  <c r="AE24" i="25"/>
  <c r="AD24" i="25"/>
  <c r="Y24" i="25"/>
  <c r="V24" i="25"/>
  <c r="T24" i="25"/>
  <c r="AM23" i="25"/>
  <c r="AK23" i="25"/>
  <c r="AI23" i="25"/>
  <c r="AH23" i="25"/>
  <c r="AF23" i="25"/>
  <c r="AG23" i="25" s="1"/>
  <c r="AE23" i="25"/>
  <c r="AD23" i="25"/>
  <c r="Y23" i="25"/>
  <c r="V23" i="25"/>
  <c r="T23" i="25"/>
  <c r="AM22" i="25"/>
  <c r="AK22" i="25"/>
  <c r="AH22" i="25"/>
  <c r="AI22" i="25" s="1"/>
  <c r="AF22" i="25"/>
  <c r="AG22" i="25" s="1"/>
  <c r="AE22" i="25"/>
  <c r="AD22" i="25"/>
  <c r="AN22" i="25" s="1"/>
  <c r="Y22" i="25"/>
  <c r="V22" i="25"/>
  <c r="T22" i="25"/>
  <c r="AM21" i="25"/>
  <c r="AK21" i="25"/>
  <c r="AJ21" i="25"/>
  <c r="AH21" i="25"/>
  <c r="AI21" i="25" s="1"/>
  <c r="AF21" i="25"/>
  <c r="AG21" i="25" s="1"/>
  <c r="AL21" i="25" s="1"/>
  <c r="AE21" i="25"/>
  <c r="AD21" i="25"/>
  <c r="Y21" i="25"/>
  <c r="V21" i="25"/>
  <c r="T21" i="25"/>
  <c r="AM20" i="25"/>
  <c r="AN20" i="25" s="1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H19" i="25"/>
  <c r="AI19" i="25" s="1"/>
  <c r="AJ19" i="25" s="1"/>
  <c r="AF19" i="25"/>
  <c r="AG19" i="25" s="1"/>
  <c r="AE19" i="25"/>
  <c r="AD19" i="25"/>
  <c r="Y19" i="25"/>
  <c r="V19" i="25"/>
  <c r="T19" i="25"/>
  <c r="AM18" i="25"/>
  <c r="AL18" i="25"/>
  <c r="AK18" i="25"/>
  <c r="AH18" i="25"/>
  <c r="AI18" i="25" s="1"/>
  <c r="AJ18" i="25" s="1"/>
  <c r="AF18" i="25"/>
  <c r="AG18" i="25" s="1"/>
  <c r="AE18" i="25"/>
  <c r="AD18" i="25"/>
  <c r="Y18" i="25"/>
  <c r="V18" i="25"/>
  <c r="T18" i="25"/>
  <c r="AM17" i="25"/>
  <c r="AK17" i="25"/>
  <c r="AH17" i="25"/>
  <c r="AI17" i="25" s="1"/>
  <c r="AF17" i="25"/>
  <c r="AG17" i="25" s="1"/>
  <c r="AE17" i="25"/>
  <c r="AD17" i="25"/>
  <c r="Y17" i="25"/>
  <c r="V17" i="25"/>
  <c r="T17" i="25"/>
  <c r="AM16" i="25"/>
  <c r="AN16" i="25" s="1"/>
  <c r="AK16" i="25"/>
  <c r="AH16" i="25"/>
  <c r="AI16" i="25" s="1"/>
  <c r="AF16" i="25"/>
  <c r="AG16" i="25" s="1"/>
  <c r="AE16" i="25"/>
  <c r="AD16" i="25"/>
  <c r="Y16" i="25"/>
  <c r="V16" i="25"/>
  <c r="T16" i="25"/>
  <c r="AM15" i="25"/>
  <c r="AK15" i="25"/>
  <c r="AJ15" i="25"/>
  <c r="AI15" i="25"/>
  <c r="AH15" i="25"/>
  <c r="AG15" i="25"/>
  <c r="AL15" i="25" s="1"/>
  <c r="AF15" i="25"/>
  <c r="AE15" i="25"/>
  <c r="AD15" i="25"/>
  <c r="Y15" i="25"/>
  <c r="V15" i="25"/>
  <c r="T15" i="25"/>
  <c r="AM14" i="25"/>
  <c r="AL14" i="25"/>
  <c r="AK14" i="25"/>
  <c r="AI14" i="25"/>
  <c r="AH14" i="25"/>
  <c r="AG14" i="25"/>
  <c r="AJ14" i="25" s="1"/>
  <c r="AF14" i="25"/>
  <c r="AE14" i="25"/>
  <c r="AD14" i="25"/>
  <c r="Y14" i="25"/>
  <c r="V14" i="25"/>
  <c r="T14" i="25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AE12" i="25"/>
  <c r="Y12" i="25"/>
  <c r="V12" i="25"/>
  <c r="T12" i="25"/>
  <c r="AH12" i="25" s="1"/>
  <c r="AI12" i="25" s="1"/>
  <c r="A12" i="25"/>
  <c r="AM11" i="25"/>
  <c r="AK11" i="25"/>
  <c r="AH11" i="25"/>
  <c r="AI11" i="25" s="1"/>
  <c r="AF11" i="25"/>
  <c r="AG11" i="25" s="1"/>
  <c r="Y11" i="25"/>
  <c r="V11" i="25"/>
  <c r="T11" i="25"/>
  <c r="AE11" i="25" s="1"/>
  <c r="AM10" i="25"/>
  <c r="AK10" i="25"/>
  <c r="AH10" i="25"/>
  <c r="AI10" i="25" s="1"/>
  <c r="AF10" i="25"/>
  <c r="AG10" i="25" s="1"/>
  <c r="AE10" i="25"/>
  <c r="AD10" i="25"/>
  <c r="Y10" i="25"/>
  <c r="V10" i="25"/>
  <c r="T10" i="25"/>
  <c r="A10" i="25"/>
  <c r="U15" i="25" s="1"/>
  <c r="AK9" i="25"/>
  <c r="AG9" i="25"/>
  <c r="AF9" i="25"/>
  <c r="Y9" i="25"/>
  <c r="V9" i="25"/>
  <c r="T9" i="25"/>
  <c r="AM9" i="25" s="1"/>
  <c r="AM8" i="25"/>
  <c r="AK8" i="25"/>
  <c r="AH8" i="25"/>
  <c r="AI8" i="25" s="1"/>
  <c r="AF8" i="25"/>
  <c r="AG8" i="25" s="1"/>
  <c r="AD8" i="25"/>
  <c r="Y8" i="25"/>
  <c r="V8" i="25"/>
  <c r="T8" i="25"/>
  <c r="AK7" i="25"/>
  <c r="AF7" i="25"/>
  <c r="AG7" i="25" s="1"/>
  <c r="Y7" i="25"/>
  <c r="V7" i="25"/>
  <c r="T7" i="25"/>
  <c r="AH7" i="25" s="1"/>
  <c r="AI7" i="25" s="1"/>
  <c r="AK6" i="25"/>
  <c r="AG6" i="25"/>
  <c r="AF6" i="25"/>
  <c r="Y6" i="25"/>
  <c r="V6" i="25"/>
  <c r="T6" i="25"/>
  <c r="AD6" i="25" s="1"/>
  <c r="A6" i="25"/>
  <c r="AM5" i="25"/>
  <c r="AK5" i="25"/>
  <c r="AF5" i="25"/>
  <c r="AG5" i="25" s="1"/>
  <c r="AD5" i="25"/>
  <c r="Y5" i="25"/>
  <c r="V5" i="25"/>
  <c r="T5" i="25"/>
  <c r="AH5" i="25" s="1"/>
  <c r="AI5" i="25" s="1"/>
  <c r="F1" i="25"/>
  <c r="AM28" i="24"/>
  <c r="AK28" i="24"/>
  <c r="AI28" i="24"/>
  <c r="AH28" i="24"/>
  <c r="AF28" i="24"/>
  <c r="AG28" i="24" s="1"/>
  <c r="AJ28" i="24" s="1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AN27" i="24" s="1"/>
  <c r="Y27" i="24"/>
  <c r="V27" i="24"/>
  <c r="T27" i="24"/>
  <c r="AM26" i="24"/>
  <c r="AK26" i="24"/>
  <c r="AH26" i="24"/>
  <c r="AI26" i="24" s="1"/>
  <c r="AG26" i="24"/>
  <c r="AF26" i="24"/>
  <c r="AE26" i="24"/>
  <c r="AD26" i="24"/>
  <c r="AN26" i="24" s="1"/>
  <c r="Y26" i="24"/>
  <c r="V26" i="24"/>
  <c r="T26" i="24"/>
  <c r="AM25" i="24"/>
  <c r="AK25" i="24"/>
  <c r="AI25" i="24"/>
  <c r="AH25" i="24"/>
  <c r="AG25" i="24"/>
  <c r="AF25" i="24"/>
  <c r="AE25" i="24"/>
  <c r="AD25" i="24"/>
  <c r="Y25" i="24"/>
  <c r="V25" i="24"/>
  <c r="T25" i="24"/>
  <c r="AM24" i="24"/>
  <c r="AK24" i="24"/>
  <c r="AI24" i="24"/>
  <c r="AH24" i="24"/>
  <c r="AF24" i="24"/>
  <c r="AG24" i="24" s="1"/>
  <c r="AE24" i="24"/>
  <c r="AD24" i="24"/>
  <c r="Y24" i="24"/>
  <c r="V24" i="24"/>
  <c r="T24" i="24"/>
  <c r="AM23" i="24"/>
  <c r="AK23" i="24"/>
  <c r="AI23" i="24"/>
  <c r="AH23" i="24"/>
  <c r="AF23" i="24"/>
  <c r="AG23" i="24" s="1"/>
  <c r="AJ23" i="24" s="1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G21" i="24"/>
  <c r="AF21" i="24"/>
  <c r="AE21" i="24"/>
  <c r="AD21" i="24"/>
  <c r="Y21" i="24"/>
  <c r="V21" i="24"/>
  <c r="T21" i="24"/>
  <c r="AM20" i="24"/>
  <c r="AK20" i="24"/>
  <c r="AI20" i="24"/>
  <c r="AH20" i="24"/>
  <c r="AG20" i="24"/>
  <c r="AF20" i="24"/>
  <c r="AE20" i="24"/>
  <c r="AD20" i="24"/>
  <c r="Y20" i="24"/>
  <c r="V20" i="24"/>
  <c r="T20" i="24"/>
  <c r="AM19" i="24"/>
  <c r="AK19" i="24"/>
  <c r="AI19" i="24"/>
  <c r="AH19" i="24"/>
  <c r="AF19" i="24"/>
  <c r="AG19" i="24" s="1"/>
  <c r="AE19" i="24"/>
  <c r="AD19" i="24"/>
  <c r="Y19" i="24"/>
  <c r="V19" i="24"/>
  <c r="T19" i="24"/>
  <c r="AM18" i="24"/>
  <c r="AK18" i="24"/>
  <c r="AH18" i="24"/>
  <c r="AI18" i="24" s="1"/>
  <c r="AG18" i="24"/>
  <c r="AL18" i="24" s="1"/>
  <c r="AF18" i="24"/>
  <c r="AE18" i="24"/>
  <c r="AD18" i="24"/>
  <c r="Y18" i="24"/>
  <c r="V18" i="24"/>
  <c r="T18" i="24"/>
  <c r="AM17" i="24"/>
  <c r="AK17" i="24"/>
  <c r="AH17" i="24"/>
  <c r="AI17" i="24" s="1"/>
  <c r="AF17" i="24"/>
  <c r="AG17" i="24" s="1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AD15" i="24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H12" i="24"/>
  <c r="AI12" i="24" s="1"/>
  <c r="AF12" i="24"/>
  <c r="AG12" i="24" s="1"/>
  <c r="AE12" i="24"/>
  <c r="Y12" i="24"/>
  <c r="V12" i="24"/>
  <c r="U12" i="24"/>
  <c r="T12" i="24"/>
  <c r="AD12" i="24" s="1"/>
  <c r="A12" i="24"/>
  <c r="AM11" i="24"/>
  <c r="AK11" i="24"/>
  <c r="AF11" i="24"/>
  <c r="AG11" i="24" s="1"/>
  <c r="AE11" i="24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H9" i="24"/>
  <c r="AI9" i="24" s="1"/>
  <c r="AF9" i="24"/>
  <c r="AG9" i="24" s="1"/>
  <c r="Y9" i="24"/>
  <c r="V9" i="24"/>
  <c r="T9" i="24"/>
  <c r="AD9" i="24" s="1"/>
  <c r="AM8" i="24"/>
  <c r="AK8" i="24"/>
  <c r="AF8" i="24"/>
  <c r="AG8" i="24" s="1"/>
  <c r="Y8" i="24"/>
  <c r="W8" i="24"/>
  <c r="V8" i="24"/>
  <c r="T8" i="24"/>
  <c r="AH8" i="24" s="1"/>
  <c r="AI8" i="24" s="1"/>
  <c r="AK7" i="24"/>
  <c r="AF7" i="24"/>
  <c r="AG7" i="24" s="1"/>
  <c r="Y7" i="24"/>
  <c r="W7" i="24"/>
  <c r="V7" i="24"/>
  <c r="U7" i="24"/>
  <c r="T7" i="24"/>
  <c r="AH7" i="24" s="1"/>
  <c r="AI7" i="24" s="1"/>
  <c r="AM6" i="24"/>
  <c r="AK6" i="24"/>
  <c r="AF6" i="24"/>
  <c r="AG6" i="24" s="1"/>
  <c r="AD6" i="24"/>
  <c r="Y6" i="24"/>
  <c r="W6" i="24"/>
  <c r="V6" i="24"/>
  <c r="T6" i="24"/>
  <c r="U6" i="24" s="1"/>
  <c r="A6" i="24"/>
  <c r="AK5" i="24"/>
  <c r="AF5" i="24"/>
  <c r="AG5" i="24" s="1"/>
  <c r="Y5" i="24"/>
  <c r="W5" i="24"/>
  <c r="V5" i="24"/>
  <c r="T5" i="24"/>
  <c r="AD5" i="24" s="1"/>
  <c r="F1" i="24"/>
  <c r="AM27" i="23"/>
  <c r="AK27" i="23"/>
  <c r="AJ27" i="23"/>
  <c r="AI27" i="23"/>
  <c r="AH27" i="23"/>
  <c r="AG27" i="23"/>
  <c r="AL27" i="23" s="1"/>
  <c r="AF27" i="23"/>
  <c r="AE27" i="23"/>
  <c r="AD27" i="23"/>
  <c r="Y27" i="23"/>
  <c r="V27" i="23"/>
  <c r="T27" i="23"/>
  <c r="AM26" i="23"/>
  <c r="AK26" i="23"/>
  <c r="AJ26" i="23"/>
  <c r="AI26" i="23"/>
  <c r="AH26" i="23"/>
  <c r="AG26" i="23"/>
  <c r="AL26" i="23" s="1"/>
  <c r="AF26" i="23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AE17" i="23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AD15" i="23"/>
  <c r="Y15" i="23"/>
  <c r="V15" i="23"/>
  <c r="T15" i="23"/>
  <c r="AH15" i="23" s="1"/>
  <c r="AI15" i="23" s="1"/>
  <c r="AM14" i="23"/>
  <c r="AK14" i="23"/>
  <c r="AH14" i="23"/>
  <c r="AI14" i="23" s="1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H11" i="23"/>
  <c r="AI11" i="23" s="1"/>
  <c r="AF11" i="23"/>
  <c r="AG11" i="23" s="1"/>
  <c r="Y11" i="23"/>
  <c r="V11" i="23"/>
  <c r="T11" i="23"/>
  <c r="AD11" i="23" s="1"/>
  <c r="AK10" i="23"/>
  <c r="AF10" i="23"/>
  <c r="AG10" i="23" s="1"/>
  <c r="AD10" i="23"/>
  <c r="Y10" i="23"/>
  <c r="V10" i="23"/>
  <c r="T10" i="23"/>
  <c r="AE10" i="23" s="1"/>
  <c r="A10" i="23"/>
  <c r="U15" i="23" s="1"/>
  <c r="AM9" i="23"/>
  <c r="AK9" i="23"/>
  <c r="AF9" i="23"/>
  <c r="AG9" i="23" s="1"/>
  <c r="AE9" i="23"/>
  <c r="Y9" i="23"/>
  <c r="W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H6" i="23"/>
  <c r="AI6" i="23" s="1"/>
  <c r="AF6" i="23"/>
  <c r="AG6" i="23" s="1"/>
  <c r="AD6" i="23"/>
  <c r="Y6" i="23"/>
  <c r="W6" i="23"/>
  <c r="V6" i="23"/>
  <c r="T6" i="23"/>
  <c r="U6" i="23" s="1"/>
  <c r="A6" i="23"/>
  <c r="AM5" i="23"/>
  <c r="AK5" i="23"/>
  <c r="AG5" i="23"/>
  <c r="AF5" i="23"/>
  <c r="Y5" i="23"/>
  <c r="A14" i="23" s="1"/>
  <c r="K32" i="68" s="1"/>
  <c r="V5" i="23"/>
  <c r="T5" i="23"/>
  <c r="AD5" i="23" s="1"/>
  <c r="F1" i="23"/>
  <c r="AM24" i="72"/>
  <c r="AK24" i="72"/>
  <c r="AH24" i="72"/>
  <c r="AI24" i="72" s="1"/>
  <c r="AG24" i="72"/>
  <c r="AF24" i="72"/>
  <c r="AE24" i="72"/>
  <c r="AD24" i="72"/>
  <c r="Y24" i="72"/>
  <c r="V24" i="72"/>
  <c r="T24" i="72"/>
  <c r="AM23" i="72"/>
  <c r="AK23" i="72"/>
  <c r="AJ23" i="72"/>
  <c r="AI23" i="72"/>
  <c r="AH23" i="72"/>
  <c r="AG23" i="72"/>
  <c r="AL23" i="72" s="1"/>
  <c r="AF23" i="72"/>
  <c r="AE23" i="72"/>
  <c r="AD23" i="72"/>
  <c r="Y23" i="72"/>
  <c r="V23" i="72"/>
  <c r="T23" i="72"/>
  <c r="AM22" i="72"/>
  <c r="AK22" i="72"/>
  <c r="AH22" i="72"/>
  <c r="AI22" i="72" s="1"/>
  <c r="AJ22" i="72" s="1"/>
  <c r="AG22" i="72"/>
  <c r="AL22" i="72" s="1"/>
  <c r="AF22" i="72"/>
  <c r="AE22" i="72"/>
  <c r="AD22" i="72"/>
  <c r="Y22" i="72"/>
  <c r="V22" i="72"/>
  <c r="T22" i="72"/>
  <c r="AM21" i="72"/>
  <c r="AK21" i="72"/>
  <c r="AI21" i="72"/>
  <c r="AH21" i="72"/>
  <c r="AF21" i="72"/>
  <c r="AG21" i="72" s="1"/>
  <c r="AE21" i="72"/>
  <c r="AD21" i="72"/>
  <c r="Y21" i="72"/>
  <c r="V21" i="72"/>
  <c r="T21" i="72"/>
  <c r="AM20" i="72"/>
  <c r="AK20" i="72"/>
  <c r="AH20" i="72"/>
  <c r="AI20" i="72" s="1"/>
  <c r="AF20" i="72"/>
  <c r="AG20" i="72" s="1"/>
  <c r="AE20" i="72"/>
  <c r="AD20" i="72"/>
  <c r="Y20" i="72"/>
  <c r="V20" i="72"/>
  <c r="T20" i="72"/>
  <c r="AM19" i="72"/>
  <c r="AK19" i="72"/>
  <c r="AH19" i="72"/>
  <c r="AI19" i="72" s="1"/>
  <c r="AF19" i="72"/>
  <c r="AG19" i="72" s="1"/>
  <c r="AE19" i="72"/>
  <c r="AD19" i="72"/>
  <c r="Y19" i="72"/>
  <c r="V19" i="72"/>
  <c r="T19" i="72"/>
  <c r="AM18" i="72"/>
  <c r="AK18" i="72"/>
  <c r="AH18" i="72"/>
  <c r="AI18" i="72" s="1"/>
  <c r="AJ18" i="72" s="1"/>
  <c r="AG18" i="72"/>
  <c r="AF18" i="72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I16" i="72"/>
  <c r="AH16" i="72"/>
  <c r="AF16" i="72"/>
  <c r="AG16" i="72" s="1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Y15" i="72"/>
  <c r="V15" i="72"/>
  <c r="T15" i="72"/>
  <c r="AM14" i="72"/>
  <c r="AK14" i="72"/>
  <c r="AJ14" i="72"/>
  <c r="AH14" i="72"/>
  <c r="AI14" i="72" s="1"/>
  <c r="AG14" i="72"/>
  <c r="AL14" i="72" s="1"/>
  <c r="AF14" i="72"/>
  <c r="AE14" i="72"/>
  <c r="AD14" i="72"/>
  <c r="Y14" i="72"/>
  <c r="V14" i="72"/>
  <c r="T14" i="72"/>
  <c r="AM13" i="72"/>
  <c r="AK13" i="72"/>
  <c r="AI13" i="72"/>
  <c r="AH13" i="72"/>
  <c r="AF13" i="72"/>
  <c r="AG13" i="72" s="1"/>
  <c r="AJ13" i="72" s="1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AM11" i="72"/>
  <c r="AK11" i="72"/>
  <c r="AI11" i="72"/>
  <c r="AH11" i="72"/>
  <c r="AF11" i="72"/>
  <c r="AG11" i="72" s="1"/>
  <c r="AE11" i="72"/>
  <c r="AD11" i="72"/>
  <c r="Y11" i="72"/>
  <c r="V11" i="72"/>
  <c r="T11" i="72"/>
  <c r="AM10" i="72"/>
  <c r="AK10" i="72"/>
  <c r="AH10" i="72"/>
  <c r="AI10" i="72" s="1"/>
  <c r="AF10" i="72"/>
  <c r="AG10" i="72" s="1"/>
  <c r="AE10" i="72"/>
  <c r="AD10" i="72"/>
  <c r="AN10" i="72" s="1"/>
  <c r="Y10" i="72"/>
  <c r="V10" i="72"/>
  <c r="T10" i="72"/>
  <c r="A10" i="72"/>
  <c r="W14" i="72" s="1"/>
  <c r="AM9" i="72"/>
  <c r="AK9" i="72"/>
  <c r="AH9" i="72"/>
  <c r="AI9" i="72" s="1"/>
  <c r="AF9" i="72"/>
  <c r="AG9" i="72" s="1"/>
  <c r="AE9" i="72"/>
  <c r="AD9" i="72"/>
  <c r="Y9" i="72"/>
  <c r="V9" i="72"/>
  <c r="T9" i="72"/>
  <c r="AM8" i="72"/>
  <c r="AK8" i="72"/>
  <c r="AI8" i="72"/>
  <c r="AH8" i="72"/>
  <c r="AF8" i="72"/>
  <c r="AG8" i="72" s="1"/>
  <c r="AD8" i="72"/>
  <c r="Y8" i="72"/>
  <c r="V8" i="72"/>
  <c r="T8" i="72"/>
  <c r="AM7" i="72"/>
  <c r="AK7" i="72"/>
  <c r="AH7" i="72"/>
  <c r="AI7" i="72" s="1"/>
  <c r="AJ7" i="72" s="1"/>
  <c r="AG7" i="72"/>
  <c r="AF7" i="72"/>
  <c r="AD7" i="72"/>
  <c r="Y7" i="72"/>
  <c r="V7" i="72"/>
  <c r="T7" i="72"/>
  <c r="AM6" i="72"/>
  <c r="AK6" i="72"/>
  <c r="AF6" i="72"/>
  <c r="AG6" i="72" s="1"/>
  <c r="Y6" i="72"/>
  <c r="V6" i="72"/>
  <c r="U6" i="72"/>
  <c r="T6" i="72"/>
  <c r="AH6" i="72" s="1"/>
  <c r="AI6" i="72" s="1"/>
  <c r="A6" i="72"/>
  <c r="AM5" i="72"/>
  <c r="AK5" i="72"/>
  <c r="AH5" i="72"/>
  <c r="AI5" i="72" s="1"/>
  <c r="AF5" i="72"/>
  <c r="AG5" i="72" s="1"/>
  <c r="Y5" i="72"/>
  <c r="A14" i="72" s="1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AD23" i="70"/>
  <c r="Y23" i="70"/>
  <c r="V23" i="70"/>
  <c r="T23" i="70"/>
  <c r="AH23" i="70" s="1"/>
  <c r="AI23" i="70" s="1"/>
  <c r="AM22" i="70"/>
  <c r="AK22" i="70"/>
  <c r="AF22" i="70"/>
  <c r="AG22" i="70" s="1"/>
  <c r="AD22" i="70"/>
  <c r="Y22" i="70"/>
  <c r="V22" i="70"/>
  <c r="T22" i="70"/>
  <c r="AH22" i="70" s="1"/>
  <c r="AI22" i="70" s="1"/>
  <c r="AM21" i="70"/>
  <c r="AK21" i="70"/>
  <c r="AH21" i="70"/>
  <c r="AI21" i="70" s="1"/>
  <c r="AF21" i="70"/>
  <c r="AG21" i="70" s="1"/>
  <c r="AD21" i="70"/>
  <c r="Y21" i="70"/>
  <c r="V21" i="70"/>
  <c r="T21" i="70"/>
  <c r="AE21" i="70" s="1"/>
  <c r="AM20" i="70"/>
  <c r="AK20" i="70"/>
  <c r="AF20" i="70"/>
  <c r="AG20" i="70" s="1"/>
  <c r="AL20" i="70" s="1"/>
  <c r="AE20" i="70"/>
  <c r="AD20" i="70"/>
  <c r="Y20" i="70"/>
  <c r="V20" i="70"/>
  <c r="T20" i="70"/>
  <c r="AH20" i="70" s="1"/>
  <c r="AI20" i="70" s="1"/>
  <c r="AM19" i="70"/>
  <c r="AK19" i="70"/>
  <c r="AI19" i="70"/>
  <c r="AH19" i="70"/>
  <c r="AF19" i="70"/>
  <c r="AG19" i="70" s="1"/>
  <c r="AE19" i="70"/>
  <c r="AD19" i="70"/>
  <c r="Y19" i="70"/>
  <c r="V19" i="70"/>
  <c r="T19" i="70"/>
  <c r="AM18" i="70"/>
  <c r="AK18" i="70"/>
  <c r="AH18" i="70"/>
  <c r="AI18" i="70" s="1"/>
  <c r="AF18" i="70"/>
  <c r="AG18" i="70" s="1"/>
  <c r="AD18" i="70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G15" i="70"/>
  <c r="AF15" i="70"/>
  <c r="AE15" i="70"/>
  <c r="AD15" i="70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H12" i="70"/>
  <c r="AI12" i="70" s="1"/>
  <c r="AF12" i="70"/>
  <c r="AG12" i="70" s="1"/>
  <c r="Y12" i="70"/>
  <c r="V12" i="70"/>
  <c r="T12" i="70"/>
  <c r="AE12" i="70" s="1"/>
  <c r="A12" i="70"/>
  <c r="J27" i="68" s="1"/>
  <c r="AM11" i="70"/>
  <c r="AK11" i="70"/>
  <c r="AF11" i="70"/>
  <c r="AG11" i="70" s="1"/>
  <c r="Y11" i="70"/>
  <c r="V11" i="70"/>
  <c r="T11" i="70"/>
  <c r="AE11" i="70" s="1"/>
  <c r="AM10" i="70"/>
  <c r="AK10" i="70"/>
  <c r="AH10" i="70"/>
  <c r="AI10" i="70" s="1"/>
  <c r="AF10" i="70"/>
  <c r="AG10" i="70" s="1"/>
  <c r="AE10" i="70"/>
  <c r="Y10" i="70"/>
  <c r="V10" i="70"/>
  <c r="T10" i="70"/>
  <c r="AD10" i="70" s="1"/>
  <c r="A10" i="70"/>
  <c r="U14" i="70" s="1"/>
  <c r="AM9" i="70"/>
  <c r="AK9" i="70"/>
  <c r="AF9" i="70"/>
  <c r="AG9" i="70" s="1"/>
  <c r="AE9" i="70"/>
  <c r="Y9" i="70"/>
  <c r="V9" i="70"/>
  <c r="T9" i="70"/>
  <c r="AD9" i="70" s="1"/>
  <c r="AK8" i="70"/>
  <c r="AF8" i="70"/>
  <c r="AG8" i="70" s="1"/>
  <c r="AJ8" i="70" s="1"/>
  <c r="Y8" i="70"/>
  <c r="V8" i="70"/>
  <c r="T8" i="70"/>
  <c r="AH8" i="70" s="1"/>
  <c r="AI8" i="70" s="1"/>
  <c r="AM7" i="70"/>
  <c r="AK7" i="70"/>
  <c r="AF7" i="70"/>
  <c r="AG7" i="70" s="1"/>
  <c r="Y7" i="70"/>
  <c r="V7" i="70"/>
  <c r="T7" i="70"/>
  <c r="AD7" i="70" s="1"/>
  <c r="AM6" i="70"/>
  <c r="AK6" i="70"/>
  <c r="AH6" i="70"/>
  <c r="AI6" i="70" s="1"/>
  <c r="AF6" i="70"/>
  <c r="AG6" i="70" s="1"/>
  <c r="AD6" i="70"/>
  <c r="Y6" i="70"/>
  <c r="V6" i="70"/>
  <c r="T6" i="70"/>
  <c r="A6" i="70"/>
  <c r="AK5" i="70"/>
  <c r="AF5" i="70"/>
  <c r="AG5" i="70" s="1"/>
  <c r="Y5" i="70"/>
  <c r="A14" i="70" s="1"/>
  <c r="K27" i="68" s="1"/>
  <c r="V5" i="70"/>
  <c r="T5" i="70"/>
  <c r="AM5" i="70" s="1"/>
  <c r="F1" i="70"/>
  <c r="AM67" i="69"/>
  <c r="AK67" i="69"/>
  <c r="AH67" i="69"/>
  <c r="AI67" i="69" s="1"/>
  <c r="AG67" i="69"/>
  <c r="AL67" i="69" s="1"/>
  <c r="AF67" i="69"/>
  <c r="AE67" i="69"/>
  <c r="AD67" i="69"/>
  <c r="Y67" i="69"/>
  <c r="V67" i="69"/>
  <c r="T67" i="69"/>
  <c r="AM66" i="69"/>
  <c r="AK66" i="69"/>
  <c r="AH66" i="69"/>
  <c r="AI66" i="69" s="1"/>
  <c r="AF66" i="69"/>
  <c r="AG66" i="69" s="1"/>
  <c r="AE66" i="69"/>
  <c r="AD66" i="69"/>
  <c r="Y66" i="69"/>
  <c r="V66" i="69"/>
  <c r="T66" i="69"/>
  <c r="AM65" i="69"/>
  <c r="AK65" i="69"/>
  <c r="AJ65" i="69"/>
  <c r="AH65" i="69"/>
  <c r="AI65" i="69" s="1"/>
  <c r="AL65" i="69" s="1"/>
  <c r="AG65" i="69"/>
  <c r="AF65" i="69"/>
  <c r="AE65" i="69"/>
  <c r="AD65" i="69"/>
  <c r="Y65" i="69"/>
  <c r="V65" i="69"/>
  <c r="T65" i="69"/>
  <c r="AM64" i="69"/>
  <c r="AK64" i="69"/>
  <c r="AI64" i="69"/>
  <c r="AH64" i="69"/>
  <c r="AF64" i="69"/>
  <c r="AG64" i="69" s="1"/>
  <c r="AJ64" i="69" s="1"/>
  <c r="AE64" i="69"/>
  <c r="AD64" i="69"/>
  <c r="AN64" i="69" s="1"/>
  <c r="Y64" i="69"/>
  <c r="V64" i="69"/>
  <c r="T64" i="69"/>
  <c r="AM63" i="69"/>
  <c r="AK63" i="69"/>
  <c r="AI63" i="69"/>
  <c r="AH63" i="69"/>
  <c r="AF63" i="69"/>
  <c r="AG63" i="69" s="1"/>
  <c r="AE63" i="69"/>
  <c r="AD63" i="69"/>
  <c r="Y63" i="69"/>
  <c r="V63" i="69"/>
  <c r="T63" i="69"/>
  <c r="AM62" i="69"/>
  <c r="AK62" i="69"/>
  <c r="AH62" i="69"/>
  <c r="AI62" i="69" s="1"/>
  <c r="AG62" i="69"/>
  <c r="AL62" i="69" s="1"/>
  <c r="AF62" i="69"/>
  <c r="AE62" i="69"/>
  <c r="AN62" i="69" s="1"/>
  <c r="AD62" i="69"/>
  <c r="Y62" i="69"/>
  <c r="V62" i="69"/>
  <c r="T62" i="69"/>
  <c r="AM61" i="69"/>
  <c r="AK61" i="69"/>
  <c r="AI61" i="69"/>
  <c r="AH61" i="69"/>
  <c r="AG61" i="69"/>
  <c r="AF61" i="69"/>
  <c r="AE61" i="69"/>
  <c r="AD61" i="69"/>
  <c r="Y61" i="69"/>
  <c r="V61" i="69"/>
  <c r="T61" i="69"/>
  <c r="AM60" i="69"/>
  <c r="AK60" i="69"/>
  <c r="AH60" i="69"/>
  <c r="AI60" i="69" s="1"/>
  <c r="AL60" i="69" s="1"/>
  <c r="AG60" i="69"/>
  <c r="AF60" i="69"/>
  <c r="AE60" i="69"/>
  <c r="AD60" i="69"/>
  <c r="Y60" i="69"/>
  <c r="V60" i="69"/>
  <c r="T60" i="69"/>
  <c r="AM59" i="69"/>
  <c r="AK59" i="69"/>
  <c r="AI59" i="69"/>
  <c r="AH59" i="69"/>
  <c r="AF59" i="69"/>
  <c r="AG59" i="69" s="1"/>
  <c r="AJ59" i="69" s="1"/>
  <c r="AE59" i="69"/>
  <c r="AD59" i="69"/>
  <c r="Y59" i="69"/>
  <c r="V59" i="69"/>
  <c r="T59" i="69"/>
  <c r="AM58" i="69"/>
  <c r="AK58" i="69"/>
  <c r="AH58" i="69"/>
  <c r="AI58" i="69" s="1"/>
  <c r="AF58" i="69"/>
  <c r="AG58" i="69" s="1"/>
  <c r="AE58" i="69"/>
  <c r="AD58" i="69"/>
  <c r="AN58" i="69" s="1"/>
  <c r="Y58" i="69"/>
  <c r="V58" i="69"/>
  <c r="T58" i="69"/>
  <c r="AM57" i="69"/>
  <c r="AK57" i="69"/>
  <c r="AH57" i="69"/>
  <c r="AI57" i="69" s="1"/>
  <c r="AG57" i="69"/>
  <c r="AF57" i="69"/>
  <c r="AE57" i="69"/>
  <c r="AD57" i="69"/>
  <c r="AN57" i="69" s="1"/>
  <c r="Y57" i="69"/>
  <c r="V57" i="69"/>
  <c r="T57" i="69"/>
  <c r="AM56" i="69"/>
  <c r="AK56" i="69"/>
  <c r="AI56" i="69"/>
  <c r="AH56" i="69"/>
  <c r="AG56" i="69"/>
  <c r="AF56" i="69"/>
  <c r="AE56" i="69"/>
  <c r="AD56" i="69"/>
  <c r="Y56" i="69"/>
  <c r="V56" i="69"/>
  <c r="T56" i="69"/>
  <c r="AM55" i="69"/>
  <c r="AK55" i="69"/>
  <c r="AI55" i="69"/>
  <c r="AH55" i="69"/>
  <c r="AF55" i="69"/>
  <c r="AG55" i="69" s="1"/>
  <c r="AE55" i="69"/>
  <c r="AD55" i="69"/>
  <c r="Y55" i="69"/>
  <c r="V55" i="69"/>
  <c r="T55" i="69"/>
  <c r="AM54" i="69"/>
  <c r="AL54" i="69"/>
  <c r="AK54" i="69"/>
  <c r="AI54" i="69"/>
  <c r="AH54" i="69"/>
  <c r="AF54" i="69"/>
  <c r="AG54" i="69" s="1"/>
  <c r="AJ54" i="69" s="1"/>
  <c r="AE54" i="69"/>
  <c r="AN54" i="69" s="1"/>
  <c r="AD54" i="69"/>
  <c r="Y54" i="69"/>
  <c r="V54" i="69"/>
  <c r="T54" i="69"/>
  <c r="AM53" i="69"/>
  <c r="AK53" i="69"/>
  <c r="AH53" i="69"/>
  <c r="AI53" i="69" s="1"/>
  <c r="AF53" i="69"/>
  <c r="AG53" i="69" s="1"/>
  <c r="AE53" i="69"/>
  <c r="AD53" i="69"/>
  <c r="Y53" i="69"/>
  <c r="V53" i="69"/>
  <c r="T53" i="69"/>
  <c r="AM52" i="69"/>
  <c r="AK52" i="69"/>
  <c r="AH52" i="69"/>
  <c r="AI52" i="69" s="1"/>
  <c r="AF52" i="69"/>
  <c r="AG52" i="69" s="1"/>
  <c r="AE52" i="69"/>
  <c r="AD52" i="69"/>
  <c r="Y52" i="69"/>
  <c r="V52" i="69"/>
  <c r="U52" i="69"/>
  <c r="T52" i="69"/>
  <c r="AM51" i="69"/>
  <c r="AK51" i="69"/>
  <c r="AI51" i="69"/>
  <c r="AH51" i="69"/>
  <c r="AG51" i="69"/>
  <c r="AF51" i="69"/>
  <c r="AE51" i="69"/>
  <c r="AD51" i="69"/>
  <c r="Y51" i="69"/>
  <c r="V51" i="69"/>
  <c r="T51" i="69"/>
  <c r="AM50" i="69"/>
  <c r="AK50" i="69"/>
  <c r="AI50" i="69"/>
  <c r="AH50" i="69"/>
  <c r="AF50" i="69"/>
  <c r="AG50" i="69" s="1"/>
  <c r="AE50" i="69"/>
  <c r="AD50" i="69"/>
  <c r="Y50" i="69"/>
  <c r="V50" i="69"/>
  <c r="T50" i="69"/>
  <c r="AM49" i="69"/>
  <c r="AK49" i="69"/>
  <c r="AH49" i="69"/>
  <c r="AI49" i="69" s="1"/>
  <c r="AG49" i="69"/>
  <c r="AF49" i="69"/>
  <c r="AE49" i="69"/>
  <c r="AD49" i="69"/>
  <c r="Y49" i="69"/>
  <c r="V49" i="69"/>
  <c r="T49" i="69"/>
  <c r="AM48" i="69"/>
  <c r="AK48" i="69"/>
  <c r="AH48" i="69"/>
  <c r="AI48" i="69" s="1"/>
  <c r="AF48" i="69"/>
  <c r="AG48" i="69" s="1"/>
  <c r="AE48" i="69"/>
  <c r="AD48" i="69"/>
  <c r="AN48" i="69" s="1"/>
  <c r="Y48" i="69"/>
  <c r="V48" i="69"/>
  <c r="T48" i="69"/>
  <c r="AM47" i="69"/>
  <c r="AK47" i="69"/>
  <c r="AH47" i="69"/>
  <c r="AI47" i="69" s="1"/>
  <c r="AF47" i="69"/>
  <c r="AG47" i="69" s="1"/>
  <c r="AE47" i="69"/>
  <c r="AD47" i="69"/>
  <c r="Y47" i="69"/>
  <c r="V47" i="69"/>
  <c r="T47" i="69"/>
  <c r="AM46" i="69"/>
  <c r="AK46" i="69"/>
  <c r="AH46" i="69"/>
  <c r="AI46" i="69" s="1"/>
  <c r="AF46" i="69"/>
  <c r="AG46" i="69" s="1"/>
  <c r="AE46" i="69"/>
  <c r="AD46" i="69"/>
  <c r="AN46" i="69" s="1"/>
  <c r="Y46" i="69"/>
  <c r="V46" i="69"/>
  <c r="T46" i="69"/>
  <c r="AM45" i="69"/>
  <c r="AK45" i="69"/>
  <c r="AI45" i="69"/>
  <c r="AH45" i="69"/>
  <c r="AF45" i="69"/>
  <c r="AG45" i="69" s="1"/>
  <c r="AE45" i="69"/>
  <c r="AD45" i="69"/>
  <c r="Y45" i="69"/>
  <c r="V45" i="69"/>
  <c r="T45" i="69"/>
  <c r="AM44" i="69"/>
  <c r="AK44" i="69"/>
  <c r="AH44" i="69"/>
  <c r="AI44" i="69" s="1"/>
  <c r="AJ44" i="69" s="1"/>
  <c r="AG44" i="69"/>
  <c r="AF44" i="69"/>
  <c r="AE44" i="69"/>
  <c r="AD44" i="69"/>
  <c r="Y44" i="69"/>
  <c r="V44" i="69"/>
  <c r="T44" i="69"/>
  <c r="AM43" i="69"/>
  <c r="AK43" i="69"/>
  <c r="AH43" i="69"/>
  <c r="AI43" i="69" s="1"/>
  <c r="AJ43" i="69" s="1"/>
  <c r="AG43" i="69"/>
  <c r="AF43" i="69"/>
  <c r="AE43" i="69"/>
  <c r="AD43" i="69"/>
  <c r="Y43" i="69"/>
  <c r="V43" i="69"/>
  <c r="T43" i="69"/>
  <c r="AM42" i="69"/>
  <c r="AK42" i="69"/>
  <c r="AH42" i="69"/>
  <c r="AI42" i="69" s="1"/>
  <c r="AF42" i="69"/>
  <c r="AG42" i="69" s="1"/>
  <c r="AE42" i="69"/>
  <c r="AD42" i="69"/>
  <c r="Y42" i="69"/>
  <c r="V42" i="69"/>
  <c r="T42" i="69"/>
  <c r="AM41" i="69"/>
  <c r="AK41" i="69"/>
  <c r="AH41" i="69"/>
  <c r="AI41" i="69" s="1"/>
  <c r="AF41" i="69"/>
  <c r="AG41" i="69" s="1"/>
  <c r="AE41" i="69"/>
  <c r="AD41" i="69"/>
  <c r="Y41" i="69"/>
  <c r="V41" i="69"/>
  <c r="T41" i="69"/>
  <c r="AM40" i="69"/>
  <c r="AK40" i="69"/>
  <c r="AJ40" i="69"/>
  <c r="AH40" i="69"/>
  <c r="AI40" i="69" s="1"/>
  <c r="AL40" i="69" s="1"/>
  <c r="AG40" i="69"/>
  <c r="AF40" i="69"/>
  <c r="AE40" i="69"/>
  <c r="AD40" i="69"/>
  <c r="AN40" i="69" s="1"/>
  <c r="Y40" i="69"/>
  <c r="V40" i="69"/>
  <c r="T40" i="69"/>
  <c r="AM39" i="69"/>
  <c r="AK39" i="69"/>
  <c r="AH39" i="69"/>
  <c r="AI39" i="69" s="1"/>
  <c r="AF39" i="69"/>
  <c r="AG39" i="69" s="1"/>
  <c r="AE39" i="69"/>
  <c r="AD39" i="69"/>
  <c r="Y39" i="69"/>
  <c r="V39" i="69"/>
  <c r="T39" i="69"/>
  <c r="AM38" i="69"/>
  <c r="AK38" i="69"/>
  <c r="AH38" i="69"/>
  <c r="AI38" i="69" s="1"/>
  <c r="AJ38" i="69" s="1"/>
  <c r="AG38" i="69"/>
  <c r="AL38" i="69" s="1"/>
  <c r="AF38" i="69"/>
  <c r="AE38" i="69"/>
  <c r="AD38" i="69"/>
  <c r="Y38" i="69"/>
  <c r="V38" i="69"/>
  <c r="T38" i="69"/>
  <c r="AM37" i="69"/>
  <c r="AK37" i="69"/>
  <c r="AI37" i="69"/>
  <c r="AH37" i="69"/>
  <c r="AF37" i="69"/>
  <c r="AG37" i="69" s="1"/>
  <c r="AE37" i="69"/>
  <c r="AD37" i="69"/>
  <c r="Y37" i="69"/>
  <c r="V37" i="69"/>
  <c r="T37" i="69"/>
  <c r="AM36" i="69"/>
  <c r="AK36" i="69"/>
  <c r="AF36" i="69"/>
  <c r="AG36" i="69" s="1"/>
  <c r="AD36" i="69"/>
  <c r="Y36" i="69"/>
  <c r="V36" i="69"/>
  <c r="T36" i="69"/>
  <c r="AH36" i="69" s="1"/>
  <c r="AI36" i="69" s="1"/>
  <c r="AM35" i="69"/>
  <c r="AK35" i="69"/>
  <c r="AH35" i="69"/>
  <c r="AI35" i="69" s="1"/>
  <c r="AF35" i="69"/>
  <c r="AG35" i="69" s="1"/>
  <c r="AE35" i="69"/>
  <c r="Y35" i="69"/>
  <c r="V35" i="69"/>
  <c r="T35" i="69"/>
  <c r="AD35" i="69" s="1"/>
  <c r="AM34" i="69"/>
  <c r="AK34" i="69"/>
  <c r="AF34" i="69"/>
  <c r="AG34" i="69" s="1"/>
  <c r="AE34" i="69"/>
  <c r="Y34" i="69"/>
  <c r="V34" i="69"/>
  <c r="T34" i="69"/>
  <c r="AD34" i="69" s="1"/>
  <c r="AN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H26" i="69"/>
  <c r="AI26" i="69" s="1"/>
  <c r="AF26" i="69"/>
  <c r="AG26" i="69" s="1"/>
  <c r="AL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H17" i="69"/>
  <c r="AI17" i="69" s="1"/>
  <c r="AF17" i="69"/>
  <c r="AG17" i="69" s="1"/>
  <c r="AL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H12" i="69"/>
  <c r="AI12" i="69" s="1"/>
  <c r="AF12" i="69"/>
  <c r="AG12" i="69" s="1"/>
  <c r="Y12" i="69"/>
  <c r="V12" i="69"/>
  <c r="T12" i="69"/>
  <c r="AE12" i="69" s="1"/>
  <c r="A12" i="69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AE10" i="69"/>
  <c r="Y10" i="69"/>
  <c r="V10" i="69"/>
  <c r="T10" i="69"/>
  <c r="AD10" i="69" s="1"/>
  <c r="A10" i="69"/>
  <c r="W14" i="69" s="1"/>
  <c r="AK9" i="69"/>
  <c r="AH9" i="69"/>
  <c r="AI9" i="69" s="1"/>
  <c r="AG9" i="69"/>
  <c r="AF9" i="69"/>
  <c r="AE9" i="69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U6" i="69"/>
  <c r="T6" i="69"/>
  <c r="A6" i="69"/>
  <c r="AM5" i="69"/>
  <c r="AK5" i="69"/>
  <c r="AG5" i="69"/>
  <c r="AF5" i="69"/>
  <c r="Y5" i="69"/>
  <c r="A14" i="69" s="1"/>
  <c r="K26" i="68" s="1"/>
  <c r="W5" i="69"/>
  <c r="V5" i="69"/>
  <c r="T5" i="69"/>
  <c r="F1" i="69"/>
  <c r="AM91" i="22"/>
  <c r="AK91" i="22"/>
  <c r="AI91" i="22"/>
  <c r="AH91" i="22"/>
  <c r="AF91" i="22"/>
  <c r="AG91" i="22" s="1"/>
  <c r="AE91" i="22"/>
  <c r="AD91" i="22"/>
  <c r="Y91" i="22"/>
  <c r="V91" i="22"/>
  <c r="T91" i="22"/>
  <c r="AM90" i="22"/>
  <c r="AK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F89" i="22"/>
  <c r="AG89" i="22" s="1"/>
  <c r="AE89" i="22"/>
  <c r="AD89" i="22"/>
  <c r="AN89" i="22" s="1"/>
  <c r="Y89" i="22"/>
  <c r="V89" i="22"/>
  <c r="T89" i="22"/>
  <c r="AM88" i="22"/>
  <c r="AK88" i="22"/>
  <c r="AH88" i="22"/>
  <c r="AI88" i="22" s="1"/>
  <c r="AF88" i="22"/>
  <c r="AG88" i="22" s="1"/>
  <c r="AE88" i="22"/>
  <c r="AD88" i="22"/>
  <c r="Y88" i="22"/>
  <c r="V88" i="22"/>
  <c r="T88" i="22"/>
  <c r="AM87" i="22"/>
  <c r="AK87" i="22"/>
  <c r="AH87" i="22"/>
  <c r="AI87" i="22" s="1"/>
  <c r="AF87" i="22"/>
  <c r="AG87" i="22" s="1"/>
  <c r="AE87" i="22"/>
  <c r="AD87" i="22"/>
  <c r="Y87" i="22"/>
  <c r="V87" i="22"/>
  <c r="T87" i="22"/>
  <c r="AM86" i="22"/>
  <c r="AK86" i="22"/>
  <c r="AI86" i="22"/>
  <c r="AH86" i="22"/>
  <c r="AF86" i="22"/>
  <c r="AG86" i="22" s="1"/>
  <c r="AE86" i="22"/>
  <c r="AD86" i="22"/>
  <c r="Y86" i="22"/>
  <c r="V86" i="22"/>
  <c r="T86" i="22"/>
  <c r="AM85" i="22"/>
  <c r="AK85" i="22"/>
  <c r="AH85" i="22"/>
  <c r="AI85" i="22" s="1"/>
  <c r="AF85" i="22"/>
  <c r="AG85" i="22" s="1"/>
  <c r="AE85" i="22"/>
  <c r="AD85" i="22"/>
  <c r="Y85" i="22"/>
  <c r="V85" i="22"/>
  <c r="T85" i="22"/>
  <c r="AM84" i="22"/>
  <c r="AK84" i="22"/>
  <c r="AH84" i="22"/>
  <c r="AI84" i="22" s="1"/>
  <c r="AJ84" i="22" s="1"/>
  <c r="AG84" i="22"/>
  <c r="AL84" i="22" s="1"/>
  <c r="AF84" i="22"/>
  <c r="AE84" i="22"/>
  <c r="AD84" i="22"/>
  <c r="Y84" i="22"/>
  <c r="V84" i="22"/>
  <c r="T84" i="22"/>
  <c r="AM83" i="22"/>
  <c r="AK83" i="22"/>
  <c r="AH83" i="22"/>
  <c r="AI83" i="22" s="1"/>
  <c r="AF83" i="22"/>
  <c r="AG83" i="22" s="1"/>
  <c r="AE83" i="22"/>
  <c r="AD83" i="22"/>
  <c r="Y83" i="22"/>
  <c r="V83" i="22"/>
  <c r="T83" i="22"/>
  <c r="AM82" i="22"/>
  <c r="AK82" i="22"/>
  <c r="AH82" i="22"/>
  <c r="AI82" i="22" s="1"/>
  <c r="AF82" i="22"/>
  <c r="AG82" i="22" s="1"/>
  <c r="AE82" i="22"/>
  <c r="AD82" i="22"/>
  <c r="Y82" i="22"/>
  <c r="V82" i="22"/>
  <c r="T82" i="22"/>
  <c r="AM81" i="22"/>
  <c r="AK81" i="22"/>
  <c r="AJ81" i="22"/>
  <c r="AH81" i="22"/>
  <c r="AI81" i="22" s="1"/>
  <c r="AF81" i="22"/>
  <c r="AG81" i="22" s="1"/>
  <c r="AE81" i="22"/>
  <c r="AD81" i="22"/>
  <c r="AN81" i="22" s="1"/>
  <c r="Y81" i="22"/>
  <c r="V81" i="22"/>
  <c r="T81" i="22"/>
  <c r="AM80" i="22"/>
  <c r="AK80" i="22"/>
  <c r="AH80" i="22"/>
  <c r="AI80" i="22" s="1"/>
  <c r="AF80" i="22"/>
  <c r="AG80" i="22" s="1"/>
  <c r="AE80" i="22"/>
  <c r="AD80" i="22"/>
  <c r="Y80" i="22"/>
  <c r="V80" i="22"/>
  <c r="T80" i="22"/>
  <c r="AM79" i="22"/>
  <c r="AK79" i="22"/>
  <c r="AJ79" i="22"/>
  <c r="AH79" i="22"/>
  <c r="AI79" i="22" s="1"/>
  <c r="AG79" i="22"/>
  <c r="AL79" i="22" s="1"/>
  <c r="AF79" i="22"/>
  <c r="AE79" i="22"/>
  <c r="AD79" i="22"/>
  <c r="Y79" i="22"/>
  <c r="V79" i="22"/>
  <c r="T79" i="22"/>
  <c r="AM78" i="22"/>
  <c r="AK78" i="22"/>
  <c r="AI78" i="22"/>
  <c r="AH78" i="22"/>
  <c r="AF78" i="22"/>
  <c r="AG78" i="22" s="1"/>
  <c r="AJ78" i="22" s="1"/>
  <c r="AE78" i="22"/>
  <c r="AD78" i="22"/>
  <c r="Y78" i="22"/>
  <c r="V78" i="22"/>
  <c r="T78" i="22"/>
  <c r="AM77" i="22"/>
  <c r="AK77" i="22"/>
  <c r="AH77" i="22"/>
  <c r="AI77" i="22" s="1"/>
  <c r="AF77" i="22"/>
  <c r="AG77" i="22" s="1"/>
  <c r="AE77" i="22"/>
  <c r="AD77" i="22"/>
  <c r="Y77" i="22"/>
  <c r="V77" i="22"/>
  <c r="T77" i="22"/>
  <c r="AM76" i="22"/>
  <c r="AK76" i="22"/>
  <c r="AH76" i="22"/>
  <c r="AI76" i="22" s="1"/>
  <c r="AF76" i="22"/>
  <c r="AG76" i="22" s="1"/>
  <c r="AE76" i="22"/>
  <c r="AD76" i="22"/>
  <c r="AN76" i="22" s="1"/>
  <c r="Y76" i="22"/>
  <c r="V76" i="22"/>
  <c r="T76" i="22"/>
  <c r="AM75" i="22"/>
  <c r="AK75" i="22"/>
  <c r="AH75" i="22"/>
  <c r="AI75" i="22" s="1"/>
  <c r="AG75" i="22"/>
  <c r="AL75" i="22" s="1"/>
  <c r="AF75" i="22"/>
  <c r="AE75" i="22"/>
  <c r="AD75" i="22"/>
  <c r="Y75" i="22"/>
  <c r="V75" i="22"/>
  <c r="T75" i="22"/>
  <c r="AM74" i="22"/>
  <c r="AK74" i="22"/>
  <c r="AJ74" i="22"/>
  <c r="AH74" i="22"/>
  <c r="AI74" i="22" s="1"/>
  <c r="AG74" i="22"/>
  <c r="AL74" i="22" s="1"/>
  <c r="AF74" i="22"/>
  <c r="AE74" i="22"/>
  <c r="AD74" i="22"/>
  <c r="Y74" i="22"/>
  <c r="V74" i="22"/>
  <c r="T74" i="22"/>
  <c r="AM73" i="22"/>
  <c r="AK73" i="22"/>
  <c r="AI73" i="22"/>
  <c r="AH73" i="22"/>
  <c r="AF73" i="22"/>
  <c r="AG73" i="22" s="1"/>
  <c r="AJ73" i="22" s="1"/>
  <c r="AE73" i="22"/>
  <c r="AD73" i="22"/>
  <c r="Y73" i="22"/>
  <c r="V73" i="22"/>
  <c r="T73" i="22"/>
  <c r="AM72" i="22"/>
  <c r="AK72" i="22"/>
  <c r="AH72" i="22"/>
  <c r="AI72" i="22" s="1"/>
  <c r="AG72" i="22"/>
  <c r="AF72" i="22"/>
  <c r="AE72" i="22"/>
  <c r="AD72" i="22"/>
  <c r="Y72" i="22"/>
  <c r="V72" i="22"/>
  <c r="T72" i="22"/>
  <c r="AM71" i="22"/>
  <c r="AK71" i="22"/>
  <c r="AH71" i="22"/>
  <c r="AI71" i="22" s="1"/>
  <c r="AJ71" i="22" s="1"/>
  <c r="AF71" i="22"/>
  <c r="AG71" i="22" s="1"/>
  <c r="AE71" i="22"/>
  <c r="AD71" i="22"/>
  <c r="AN71" i="22" s="1"/>
  <c r="Y71" i="22"/>
  <c r="V71" i="22"/>
  <c r="T71" i="22"/>
  <c r="AM70" i="22"/>
  <c r="AK70" i="22"/>
  <c r="AH70" i="22"/>
  <c r="AI70" i="22" s="1"/>
  <c r="AG70" i="22"/>
  <c r="AL70" i="22" s="1"/>
  <c r="AF70" i="22"/>
  <c r="AE70" i="22"/>
  <c r="AD70" i="22"/>
  <c r="Y70" i="22"/>
  <c r="V70" i="22"/>
  <c r="T70" i="22"/>
  <c r="AM69" i="22"/>
  <c r="AK69" i="22"/>
  <c r="AI69" i="22"/>
  <c r="AL69" i="22" s="1"/>
  <c r="AH69" i="22"/>
  <c r="AF69" i="22"/>
  <c r="AG69" i="22" s="1"/>
  <c r="AE69" i="22"/>
  <c r="AD69" i="22"/>
  <c r="Y69" i="22"/>
  <c r="V69" i="22"/>
  <c r="T69" i="22"/>
  <c r="AM68" i="22"/>
  <c r="AL68" i="22"/>
  <c r="AK68" i="22"/>
  <c r="AI68" i="22"/>
  <c r="AH68" i="22"/>
  <c r="AF68" i="22"/>
  <c r="AG68" i="22" s="1"/>
  <c r="AJ68" i="22" s="1"/>
  <c r="AE68" i="22"/>
  <c r="AD68" i="22"/>
  <c r="Y68" i="22"/>
  <c r="V68" i="22"/>
  <c r="T68" i="22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H66" i="22"/>
  <c r="AI66" i="22" s="1"/>
  <c r="AF66" i="22"/>
  <c r="AG66" i="22" s="1"/>
  <c r="Y66" i="22"/>
  <c r="V66" i="22"/>
  <c r="T66" i="22"/>
  <c r="AE66" i="22" s="1"/>
  <c r="AM65" i="22"/>
  <c r="AK65" i="22"/>
  <c r="AH65" i="22"/>
  <c r="AI65" i="22" s="1"/>
  <c r="AG65" i="22"/>
  <c r="AL65" i="22" s="1"/>
  <c r="AF65" i="22"/>
  <c r="AE65" i="22"/>
  <c r="Y65" i="22"/>
  <c r="V65" i="22"/>
  <c r="T65" i="22"/>
  <c r="AD65" i="22" s="1"/>
  <c r="AM64" i="22"/>
  <c r="AK64" i="22"/>
  <c r="AH64" i="22"/>
  <c r="AI64" i="22" s="1"/>
  <c r="AF64" i="22"/>
  <c r="AG64" i="22" s="1"/>
  <c r="AE64" i="22"/>
  <c r="AD64" i="22"/>
  <c r="Y64" i="22"/>
  <c r="V64" i="22"/>
  <c r="T64" i="22"/>
  <c r="AM63" i="22"/>
  <c r="AK63" i="22"/>
  <c r="AH63" i="22"/>
  <c r="AI63" i="22" s="1"/>
  <c r="AF63" i="22"/>
  <c r="AG63" i="22" s="1"/>
  <c r="AE63" i="22"/>
  <c r="AD63" i="22"/>
  <c r="Y63" i="22"/>
  <c r="V63" i="22"/>
  <c r="T63" i="22"/>
  <c r="AM62" i="22"/>
  <c r="AK62" i="22"/>
  <c r="AH62" i="22"/>
  <c r="AI62" i="22" s="1"/>
  <c r="AG62" i="22"/>
  <c r="AF62" i="22"/>
  <c r="AE62" i="22"/>
  <c r="AD62" i="22"/>
  <c r="Y62" i="22"/>
  <c r="V62" i="22"/>
  <c r="T62" i="22"/>
  <c r="AM61" i="22"/>
  <c r="AK61" i="22"/>
  <c r="AF61" i="22"/>
  <c r="AG61" i="22" s="1"/>
  <c r="AE61" i="22"/>
  <c r="AD61" i="22"/>
  <c r="Y61" i="22"/>
  <c r="V61" i="22"/>
  <c r="T61" i="22"/>
  <c r="AH61" i="22" s="1"/>
  <c r="AI61" i="22" s="1"/>
  <c r="AK60" i="22"/>
  <c r="AF60" i="22"/>
  <c r="AG60" i="22" s="1"/>
  <c r="AD60" i="22"/>
  <c r="Y60" i="22"/>
  <c r="V60" i="22"/>
  <c r="U60" i="22"/>
  <c r="T60" i="22"/>
  <c r="AM60" i="22" s="1"/>
  <c r="AK59" i="22"/>
  <c r="AF59" i="22"/>
  <c r="AG59" i="22" s="1"/>
  <c r="AD59" i="22"/>
  <c r="Y59" i="22"/>
  <c r="V59" i="22"/>
  <c r="T59" i="22"/>
  <c r="AM59" i="22" s="1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H56" i="22"/>
  <c r="AI56" i="22" s="1"/>
  <c r="AF56" i="22"/>
  <c r="AG56" i="22" s="1"/>
  <c r="Y56" i="22"/>
  <c r="V56" i="22"/>
  <c r="T56" i="22"/>
  <c r="AE56" i="22" s="1"/>
  <c r="AM55" i="22"/>
  <c r="AK55" i="22"/>
  <c r="AH55" i="22"/>
  <c r="AI55" i="22" s="1"/>
  <c r="AF55" i="22"/>
  <c r="AG55" i="22" s="1"/>
  <c r="AE55" i="22"/>
  <c r="AD55" i="22"/>
  <c r="Y55" i="22"/>
  <c r="V55" i="22"/>
  <c r="T55" i="22"/>
  <c r="AM54" i="22"/>
  <c r="AK54" i="22"/>
  <c r="AH54" i="22"/>
  <c r="AI54" i="22" s="1"/>
  <c r="AG54" i="22"/>
  <c r="AF54" i="22"/>
  <c r="AE54" i="22"/>
  <c r="AD54" i="22"/>
  <c r="Y54" i="22"/>
  <c r="V54" i="22"/>
  <c r="T54" i="22"/>
  <c r="AK53" i="22"/>
  <c r="AF53" i="22"/>
  <c r="AG53" i="22" s="1"/>
  <c r="Y53" i="22"/>
  <c r="V53" i="22"/>
  <c r="T53" i="22"/>
  <c r="AH53" i="22" s="1"/>
  <c r="AI53" i="22" s="1"/>
  <c r="AM52" i="22"/>
  <c r="AK52" i="22"/>
  <c r="AH52" i="22"/>
  <c r="AI52" i="22" s="1"/>
  <c r="AF52" i="22"/>
  <c r="AG52" i="22" s="1"/>
  <c r="Y52" i="22"/>
  <c r="V52" i="22"/>
  <c r="T52" i="22"/>
  <c r="AE52" i="22" s="1"/>
  <c r="AM51" i="22"/>
  <c r="AK51" i="22"/>
  <c r="AH51" i="22"/>
  <c r="AI51" i="22" s="1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H49" i="22"/>
  <c r="AI49" i="22" s="1"/>
  <c r="AF49" i="22"/>
  <c r="AG49" i="22" s="1"/>
  <c r="Y49" i="22"/>
  <c r="V49" i="22"/>
  <c r="T49" i="22"/>
  <c r="AE49" i="22" s="1"/>
  <c r="AM48" i="22"/>
  <c r="AK48" i="22"/>
  <c r="AH48" i="22"/>
  <c r="AI48" i="22" s="1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H46" i="22"/>
  <c r="AI46" i="22" s="1"/>
  <c r="AF46" i="22"/>
  <c r="AG46" i="22" s="1"/>
  <c r="Y46" i="22"/>
  <c r="V46" i="22"/>
  <c r="T46" i="22"/>
  <c r="AE46" i="22" s="1"/>
  <c r="AM45" i="22"/>
  <c r="AK45" i="22"/>
  <c r="AH45" i="22"/>
  <c r="AI45" i="22" s="1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H43" i="22"/>
  <c r="AI43" i="22" s="1"/>
  <c r="AF43" i="22"/>
  <c r="AG43" i="22" s="1"/>
  <c r="Y43" i="22"/>
  <c r="V43" i="22"/>
  <c r="T43" i="22"/>
  <c r="AE43" i="22" s="1"/>
  <c r="AM42" i="22"/>
  <c r="AK42" i="22"/>
  <c r="AH42" i="22"/>
  <c r="AI42" i="22" s="1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H39" i="22"/>
  <c r="AI39" i="22" s="1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H36" i="22"/>
  <c r="AI36" i="22" s="1"/>
  <c r="AF36" i="22"/>
  <c r="AG36" i="22" s="1"/>
  <c r="Y36" i="22"/>
  <c r="V36" i="22"/>
  <c r="T36" i="22"/>
  <c r="AE36" i="22" s="1"/>
  <c r="AM35" i="22"/>
  <c r="AK35" i="22"/>
  <c r="AG35" i="22"/>
  <c r="AF35" i="22"/>
  <c r="AD35" i="22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H33" i="22"/>
  <c r="AI33" i="22" s="1"/>
  <c r="AF33" i="22"/>
  <c r="AG33" i="22" s="1"/>
  <c r="Y33" i="22"/>
  <c r="V33" i="22"/>
  <c r="T33" i="22"/>
  <c r="AE33" i="22" s="1"/>
  <c r="AK32" i="22"/>
  <c r="AF32" i="22"/>
  <c r="AG32" i="22" s="1"/>
  <c r="AJ32" i="22" s="1"/>
  <c r="AD32" i="22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H30" i="22"/>
  <c r="AI30" i="22" s="1"/>
  <c r="AF30" i="22"/>
  <c r="AG30" i="22" s="1"/>
  <c r="Y30" i="22"/>
  <c r="V30" i="22"/>
  <c r="T30" i="22"/>
  <c r="AE30" i="22" s="1"/>
  <c r="AM29" i="22"/>
  <c r="AK29" i="22"/>
  <c r="AG29" i="22"/>
  <c r="AF29" i="22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H27" i="22"/>
  <c r="AI27" i="22" s="1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AD25" i="22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AD23" i="22"/>
  <c r="Y23" i="22"/>
  <c r="V23" i="22"/>
  <c r="T23" i="22"/>
  <c r="AH23" i="22" s="1"/>
  <c r="AI23" i="22" s="1"/>
  <c r="AM22" i="22"/>
  <c r="AK22" i="22"/>
  <c r="AF22" i="22"/>
  <c r="AG22" i="22" s="1"/>
  <c r="AD22" i="22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G20" i="22"/>
  <c r="AJ20" i="22" s="1"/>
  <c r="AF20" i="22"/>
  <c r="AD20" i="22"/>
  <c r="Y20" i="22"/>
  <c r="V20" i="22"/>
  <c r="T20" i="22"/>
  <c r="AH20" i="22" s="1"/>
  <c r="AI20" i="22" s="1"/>
  <c r="AK19" i="22"/>
  <c r="AH19" i="22"/>
  <c r="AI19" i="22" s="1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H16" i="22"/>
  <c r="AI16" i="22" s="1"/>
  <c r="AF16" i="22"/>
  <c r="AG16" i="22" s="1"/>
  <c r="AD16" i="22"/>
  <c r="Y16" i="22"/>
  <c r="V16" i="22"/>
  <c r="T16" i="22"/>
  <c r="AE16" i="22" s="1"/>
  <c r="AK15" i="22"/>
  <c r="AH15" i="22"/>
  <c r="AI15" i="22" s="1"/>
  <c r="AF15" i="22"/>
  <c r="AG15" i="22" s="1"/>
  <c r="AJ15" i="22" s="1"/>
  <c r="AD15" i="22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AJ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AJ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W8" i="22"/>
  <c r="V8" i="22"/>
  <c r="T8" i="22"/>
  <c r="AD8" i="22" s="1"/>
  <c r="AM7" i="22"/>
  <c r="AK7" i="22"/>
  <c r="AF7" i="22"/>
  <c r="AG7" i="22" s="1"/>
  <c r="AJ7" i="22" s="1"/>
  <c r="AD7" i="22"/>
  <c r="Y7" i="22"/>
  <c r="V7" i="22"/>
  <c r="T7" i="22"/>
  <c r="AH7" i="22" s="1"/>
  <c r="AI7" i="22" s="1"/>
  <c r="AM6" i="22"/>
  <c r="AK6" i="22"/>
  <c r="AH6" i="22"/>
  <c r="AI6" i="22" s="1"/>
  <c r="AF6" i="22"/>
  <c r="AG6" i="22" s="1"/>
  <c r="AD6" i="22"/>
  <c r="Y6" i="22"/>
  <c r="V6" i="22"/>
  <c r="T6" i="22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F24" i="21"/>
  <c r="AG24" i="21" s="1"/>
  <c r="AE24" i="21"/>
  <c r="AD24" i="21"/>
  <c r="Y24" i="21"/>
  <c r="V24" i="21"/>
  <c r="T24" i="21"/>
  <c r="AM23" i="21"/>
  <c r="AK23" i="21"/>
  <c r="AH23" i="21"/>
  <c r="AI23" i="21" s="1"/>
  <c r="AG23" i="21"/>
  <c r="AF23" i="21"/>
  <c r="AE23" i="21"/>
  <c r="AD23" i="21"/>
  <c r="Y23" i="21"/>
  <c r="V23" i="21"/>
  <c r="T23" i="21"/>
  <c r="AM22" i="21"/>
  <c r="AK22" i="21"/>
  <c r="AH22" i="21"/>
  <c r="AI22" i="21" s="1"/>
  <c r="AJ22" i="21" s="1"/>
  <c r="AG22" i="21"/>
  <c r="AL22" i="21" s="1"/>
  <c r="AF22" i="21"/>
  <c r="AE22" i="21"/>
  <c r="AD22" i="21"/>
  <c r="Y22" i="21"/>
  <c r="V22" i="21"/>
  <c r="T22" i="21"/>
  <c r="AM21" i="21"/>
  <c r="AK21" i="21"/>
  <c r="AI21" i="21"/>
  <c r="AH21" i="21"/>
  <c r="AF21" i="21"/>
  <c r="AG21" i="21" s="1"/>
  <c r="AE21" i="21"/>
  <c r="AD21" i="21"/>
  <c r="AN21" i="21" s="1"/>
  <c r="Y21" i="21"/>
  <c r="V21" i="21"/>
  <c r="T21" i="21"/>
  <c r="AM20" i="21"/>
  <c r="AK20" i="21"/>
  <c r="AI20" i="21"/>
  <c r="AH20" i="21"/>
  <c r="AF20" i="21"/>
  <c r="AG20" i="21" s="1"/>
  <c r="AJ20" i="21" s="1"/>
  <c r="AE20" i="21"/>
  <c r="AD20" i="21"/>
  <c r="AN20" i="21" s="1"/>
  <c r="Y20" i="21"/>
  <c r="V20" i="21"/>
  <c r="T20" i="21"/>
  <c r="AM19" i="21"/>
  <c r="AK19" i="21"/>
  <c r="AH19" i="21"/>
  <c r="AI19" i="21" s="1"/>
  <c r="AF19" i="21"/>
  <c r="AG19" i="21" s="1"/>
  <c r="AE19" i="21"/>
  <c r="AD19" i="21"/>
  <c r="Y19" i="21"/>
  <c r="V19" i="21"/>
  <c r="T19" i="21"/>
  <c r="AM18" i="21"/>
  <c r="AK18" i="21"/>
  <c r="AI18" i="21"/>
  <c r="AH18" i="21"/>
  <c r="AG18" i="21"/>
  <c r="AF18" i="21"/>
  <c r="AE18" i="21"/>
  <c r="AD18" i="21"/>
  <c r="Y18" i="21"/>
  <c r="V18" i="21"/>
  <c r="T18" i="21"/>
  <c r="AM17" i="21"/>
  <c r="AK17" i="21"/>
  <c r="AH17" i="21"/>
  <c r="AI17" i="21" s="1"/>
  <c r="AF17" i="21"/>
  <c r="AG17" i="21" s="1"/>
  <c r="AE17" i="21"/>
  <c r="AD17" i="21"/>
  <c r="Y17" i="21"/>
  <c r="W17" i="21"/>
  <c r="V17" i="21"/>
  <c r="T17" i="21"/>
  <c r="AM16" i="21"/>
  <c r="AK16" i="21"/>
  <c r="AI16" i="21"/>
  <c r="AH16" i="21"/>
  <c r="AG16" i="21"/>
  <c r="AL16" i="21" s="1"/>
  <c r="AF16" i="21"/>
  <c r="AE16" i="21"/>
  <c r="AD16" i="21"/>
  <c r="Y16" i="21"/>
  <c r="V16" i="21"/>
  <c r="T16" i="21"/>
  <c r="AM15" i="21"/>
  <c r="AK15" i="21"/>
  <c r="AI15" i="21"/>
  <c r="AH15" i="21"/>
  <c r="AF15" i="21"/>
  <c r="AG15" i="21" s="1"/>
  <c r="AL15" i="21" s="1"/>
  <c r="AE15" i="21"/>
  <c r="AD15" i="21"/>
  <c r="Y15" i="21"/>
  <c r="V15" i="21"/>
  <c r="T15" i="21"/>
  <c r="AM14" i="21"/>
  <c r="AK14" i="21"/>
  <c r="AJ14" i="21"/>
  <c r="AH14" i="21"/>
  <c r="AI14" i="21" s="1"/>
  <c r="AG14" i="21"/>
  <c r="AL14" i="21" s="1"/>
  <c r="AF14" i="21"/>
  <c r="AE14" i="21"/>
  <c r="AD14" i="21"/>
  <c r="AN14" i="21" s="1"/>
  <c r="Y14" i="21"/>
  <c r="V14" i="21"/>
  <c r="T14" i="21"/>
  <c r="AM13" i="21"/>
  <c r="AK13" i="21"/>
  <c r="AI13" i="21"/>
  <c r="AH13" i="21"/>
  <c r="AG13" i="21"/>
  <c r="AL13" i="21" s="1"/>
  <c r="AF13" i="21"/>
  <c r="AE13" i="21"/>
  <c r="AD13" i="21"/>
  <c r="Y13" i="21"/>
  <c r="V13" i="21"/>
  <c r="T13" i="21"/>
  <c r="AM12" i="21"/>
  <c r="AK12" i="21"/>
  <c r="AI12" i="21"/>
  <c r="AH12" i="21"/>
  <c r="AG12" i="21"/>
  <c r="AL12" i="21" s="1"/>
  <c r="AF12" i="21"/>
  <c r="AE12" i="21"/>
  <c r="AD12" i="21"/>
  <c r="Y12" i="21"/>
  <c r="V12" i="21"/>
  <c r="T12" i="21"/>
  <c r="A12" i="21"/>
  <c r="J21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U9" i="21" s="1"/>
  <c r="AM8" i="21"/>
  <c r="AK8" i="21"/>
  <c r="AF8" i="21"/>
  <c r="AG8" i="21" s="1"/>
  <c r="Y8" i="21"/>
  <c r="V8" i="21"/>
  <c r="T8" i="21"/>
  <c r="AD8" i="21" s="1"/>
  <c r="AK7" i="21"/>
  <c r="AI7" i="21"/>
  <c r="AH7" i="21"/>
  <c r="AF7" i="21"/>
  <c r="AG7" i="21" s="1"/>
  <c r="Y7" i="21"/>
  <c r="W7" i="21"/>
  <c r="V7" i="21"/>
  <c r="T7" i="21"/>
  <c r="AD7" i="21" s="1"/>
  <c r="AM6" i="21"/>
  <c r="AK6" i="21"/>
  <c r="AF6" i="21"/>
  <c r="AG6" i="21" s="1"/>
  <c r="Y6" i="21"/>
  <c r="W6" i="21"/>
  <c r="V6" i="21"/>
  <c r="T6" i="21"/>
  <c r="AH6" i="21" s="1"/>
  <c r="AI6" i="21" s="1"/>
  <c r="A6" i="21"/>
  <c r="AK5" i="21"/>
  <c r="AF5" i="21"/>
  <c r="AG5" i="21" s="1"/>
  <c r="Y5" i="21"/>
  <c r="V5" i="21"/>
  <c r="U5" i="21"/>
  <c r="T5" i="21"/>
  <c r="AD5" i="21" s="1"/>
  <c r="F1" i="21"/>
  <c r="AM80" i="20"/>
  <c r="AK80" i="20"/>
  <c r="AI80" i="20"/>
  <c r="AH80" i="20"/>
  <c r="AG80" i="20"/>
  <c r="AL80" i="20" s="1"/>
  <c r="AF80" i="20"/>
  <c r="AE80" i="20"/>
  <c r="AD80" i="20"/>
  <c r="Y80" i="20"/>
  <c r="V80" i="20"/>
  <c r="T80" i="20"/>
  <c r="AM79" i="20"/>
  <c r="AK79" i="20"/>
  <c r="AI79" i="20"/>
  <c r="AH79" i="20"/>
  <c r="AG79" i="20"/>
  <c r="AL79" i="20" s="1"/>
  <c r="AF79" i="20"/>
  <c r="AE79" i="20"/>
  <c r="AD79" i="20"/>
  <c r="Y79" i="20"/>
  <c r="V79" i="20"/>
  <c r="T79" i="20"/>
  <c r="AM78" i="20"/>
  <c r="AK78" i="20"/>
  <c r="AI78" i="20"/>
  <c r="AH78" i="20"/>
  <c r="AG78" i="20"/>
  <c r="AJ78" i="20" s="1"/>
  <c r="AF78" i="20"/>
  <c r="AE78" i="20"/>
  <c r="AD78" i="20"/>
  <c r="Y78" i="20"/>
  <c r="V78" i="20"/>
  <c r="T78" i="20"/>
  <c r="AM77" i="20"/>
  <c r="AK77" i="20"/>
  <c r="AI77" i="20"/>
  <c r="AH77" i="20"/>
  <c r="AG77" i="20"/>
  <c r="AL77" i="20" s="1"/>
  <c r="AF77" i="20"/>
  <c r="AE77" i="20"/>
  <c r="AD77" i="20"/>
  <c r="Y77" i="20"/>
  <c r="V77" i="20"/>
  <c r="T77" i="20"/>
  <c r="AM76" i="20"/>
  <c r="AK76" i="20"/>
  <c r="AI76" i="20"/>
  <c r="AH76" i="20"/>
  <c r="AG76" i="20"/>
  <c r="AL76" i="20" s="1"/>
  <c r="AF76" i="20"/>
  <c r="AE76" i="20"/>
  <c r="AD76" i="20"/>
  <c r="Y76" i="20"/>
  <c r="V76" i="20"/>
  <c r="T76" i="20"/>
  <c r="AM75" i="20"/>
  <c r="AK75" i="20"/>
  <c r="AI75" i="20"/>
  <c r="AH75" i="20"/>
  <c r="AG75" i="20"/>
  <c r="AL75" i="20" s="1"/>
  <c r="AF75" i="20"/>
  <c r="AE75" i="20"/>
  <c r="AD75" i="20"/>
  <c r="Y75" i="20"/>
  <c r="V75" i="20"/>
  <c r="T75" i="20"/>
  <c r="AM74" i="20"/>
  <c r="AK74" i="20"/>
  <c r="AI74" i="20"/>
  <c r="AH74" i="20"/>
  <c r="AG74" i="20"/>
  <c r="AL74" i="20" s="1"/>
  <c r="AF74" i="20"/>
  <c r="AE74" i="20"/>
  <c r="AD74" i="20"/>
  <c r="Y74" i="20"/>
  <c r="V74" i="20"/>
  <c r="T74" i="20"/>
  <c r="AM73" i="20"/>
  <c r="AK73" i="20"/>
  <c r="AI73" i="20"/>
  <c r="AH73" i="20"/>
  <c r="AG73" i="20"/>
  <c r="AL73" i="20" s="1"/>
  <c r="AF73" i="20"/>
  <c r="AE73" i="20"/>
  <c r="AD73" i="20"/>
  <c r="Y73" i="20"/>
  <c r="V73" i="20"/>
  <c r="T73" i="20"/>
  <c r="AM72" i="20"/>
  <c r="AK72" i="20"/>
  <c r="AI72" i="20"/>
  <c r="AH72" i="20"/>
  <c r="AG72" i="20"/>
  <c r="AJ72" i="20" s="1"/>
  <c r="AF72" i="20"/>
  <c r="AE72" i="20"/>
  <c r="AD72" i="20"/>
  <c r="Y72" i="20"/>
  <c r="V72" i="20"/>
  <c r="T72" i="20"/>
  <c r="AM71" i="20"/>
  <c r="AK71" i="20"/>
  <c r="AI71" i="20"/>
  <c r="AH71" i="20"/>
  <c r="AG71" i="20"/>
  <c r="AL71" i="20" s="1"/>
  <c r="AF71" i="20"/>
  <c r="AE71" i="20"/>
  <c r="AD71" i="20"/>
  <c r="Y71" i="20"/>
  <c r="V71" i="20"/>
  <c r="T71" i="20"/>
  <c r="AM70" i="20"/>
  <c r="AK70" i="20"/>
  <c r="AI70" i="20"/>
  <c r="AH70" i="20"/>
  <c r="AG70" i="20"/>
  <c r="AL70" i="20" s="1"/>
  <c r="AF70" i="20"/>
  <c r="AE70" i="20"/>
  <c r="AD70" i="20"/>
  <c r="Y70" i="20"/>
  <c r="V70" i="20"/>
  <c r="T70" i="20"/>
  <c r="AM69" i="20"/>
  <c r="AK69" i="20"/>
  <c r="AI69" i="20"/>
  <c r="AH69" i="20"/>
  <c r="AG69" i="20"/>
  <c r="AL69" i="20" s="1"/>
  <c r="AF69" i="20"/>
  <c r="AE69" i="20"/>
  <c r="AD69" i="20"/>
  <c r="Y69" i="20"/>
  <c r="V69" i="20"/>
  <c r="T69" i="20"/>
  <c r="AM68" i="20"/>
  <c r="AK68" i="20"/>
  <c r="AI68" i="20"/>
  <c r="AH68" i="20"/>
  <c r="AG68" i="20"/>
  <c r="AL68" i="20" s="1"/>
  <c r="AF68" i="20"/>
  <c r="AE68" i="20"/>
  <c r="AD68" i="20"/>
  <c r="Y68" i="20"/>
  <c r="V68" i="20"/>
  <c r="T68" i="20"/>
  <c r="AM67" i="20"/>
  <c r="AK67" i="20"/>
  <c r="AI67" i="20"/>
  <c r="AH67" i="20"/>
  <c r="AG67" i="20"/>
  <c r="AL67" i="20" s="1"/>
  <c r="AF67" i="20"/>
  <c r="AE67" i="20"/>
  <c r="AD67" i="20"/>
  <c r="Y67" i="20"/>
  <c r="V67" i="20"/>
  <c r="T67" i="20"/>
  <c r="AM66" i="20"/>
  <c r="AK66" i="20"/>
  <c r="AI66" i="20"/>
  <c r="AH66" i="20"/>
  <c r="AG66" i="20"/>
  <c r="AJ66" i="20" s="1"/>
  <c r="AF66" i="20"/>
  <c r="AE66" i="20"/>
  <c r="AD66" i="20"/>
  <c r="Y66" i="20"/>
  <c r="V66" i="20"/>
  <c r="T66" i="20"/>
  <c r="AM65" i="20"/>
  <c r="AK65" i="20"/>
  <c r="AI65" i="20"/>
  <c r="AH65" i="20"/>
  <c r="AG65" i="20"/>
  <c r="AL65" i="20" s="1"/>
  <c r="AF65" i="20"/>
  <c r="AE65" i="20"/>
  <c r="AD65" i="20"/>
  <c r="Y65" i="20"/>
  <c r="V65" i="20"/>
  <c r="T65" i="20"/>
  <c r="AM64" i="20"/>
  <c r="AK64" i="20"/>
  <c r="AI64" i="20"/>
  <c r="AH64" i="20"/>
  <c r="AG64" i="20"/>
  <c r="AL64" i="20" s="1"/>
  <c r="AF64" i="20"/>
  <c r="AE64" i="20"/>
  <c r="AD64" i="20"/>
  <c r="Y64" i="20"/>
  <c r="V64" i="20"/>
  <c r="T64" i="20"/>
  <c r="AM63" i="20"/>
  <c r="AK63" i="20"/>
  <c r="AI63" i="20"/>
  <c r="AH63" i="20"/>
  <c r="AG63" i="20"/>
  <c r="AL63" i="20" s="1"/>
  <c r="AF63" i="20"/>
  <c r="AE63" i="20"/>
  <c r="AD63" i="20"/>
  <c r="Y63" i="20"/>
  <c r="V63" i="20"/>
  <c r="T63" i="20"/>
  <c r="AM62" i="20"/>
  <c r="AK62" i="20"/>
  <c r="AI62" i="20"/>
  <c r="AH62" i="20"/>
  <c r="AG62" i="20"/>
  <c r="AL62" i="20" s="1"/>
  <c r="AF62" i="20"/>
  <c r="AE62" i="20"/>
  <c r="AD62" i="20"/>
  <c r="Y62" i="20"/>
  <c r="V62" i="20"/>
  <c r="T62" i="20"/>
  <c r="AM61" i="20"/>
  <c r="AK61" i="20"/>
  <c r="AI61" i="20"/>
  <c r="AH61" i="20"/>
  <c r="AG61" i="20"/>
  <c r="AL61" i="20" s="1"/>
  <c r="AF61" i="20"/>
  <c r="AE61" i="20"/>
  <c r="AD61" i="20"/>
  <c r="Y61" i="20"/>
  <c r="V61" i="20"/>
  <c r="T61" i="20"/>
  <c r="AM60" i="20"/>
  <c r="AK60" i="20"/>
  <c r="AI60" i="20"/>
  <c r="AH60" i="20"/>
  <c r="AG60" i="20"/>
  <c r="AJ60" i="20" s="1"/>
  <c r="AF60" i="20"/>
  <c r="AE60" i="20"/>
  <c r="AD60" i="20"/>
  <c r="Y60" i="20"/>
  <c r="V60" i="20"/>
  <c r="T60" i="20"/>
  <c r="AM59" i="20"/>
  <c r="AK59" i="20"/>
  <c r="AI59" i="20"/>
  <c r="AH59" i="20"/>
  <c r="AG59" i="20"/>
  <c r="AL59" i="20" s="1"/>
  <c r="AF59" i="20"/>
  <c r="AE59" i="20"/>
  <c r="AD59" i="20"/>
  <c r="Y59" i="20"/>
  <c r="V59" i="20"/>
  <c r="T59" i="20"/>
  <c r="AM58" i="20"/>
  <c r="AK58" i="20"/>
  <c r="AI58" i="20"/>
  <c r="AH58" i="20"/>
  <c r="AG58" i="20"/>
  <c r="AL58" i="20" s="1"/>
  <c r="AF58" i="20"/>
  <c r="AE58" i="20"/>
  <c r="AD58" i="20"/>
  <c r="Y58" i="20"/>
  <c r="V58" i="20"/>
  <c r="T58" i="20"/>
  <c r="AM57" i="20"/>
  <c r="AK57" i="20"/>
  <c r="AF57" i="20"/>
  <c r="AG57" i="20" s="1"/>
  <c r="Y57" i="20"/>
  <c r="V57" i="20"/>
  <c r="T57" i="20"/>
  <c r="AH57" i="20" s="1"/>
  <c r="AI57" i="20" s="1"/>
  <c r="AM56" i="20"/>
  <c r="AK56" i="20"/>
  <c r="AF56" i="20"/>
  <c r="AG56" i="20" s="1"/>
  <c r="Y56" i="20"/>
  <c r="V56" i="20"/>
  <c r="T56" i="20"/>
  <c r="AE56" i="20" s="1"/>
  <c r="AM55" i="20"/>
  <c r="AK55" i="20"/>
  <c r="AG55" i="20"/>
  <c r="AF55" i="20"/>
  <c r="Y55" i="20"/>
  <c r="V55" i="20"/>
  <c r="T55" i="20"/>
  <c r="AH55" i="20" s="1"/>
  <c r="AI55" i="20" s="1"/>
  <c r="AM54" i="20"/>
  <c r="AK54" i="20"/>
  <c r="AF54" i="20"/>
  <c r="AG54" i="20" s="1"/>
  <c r="Y54" i="20"/>
  <c r="V54" i="20"/>
  <c r="T54" i="20"/>
  <c r="AH54" i="20" s="1"/>
  <c r="AI54" i="20" s="1"/>
  <c r="AM53" i="20"/>
  <c r="AK53" i="20"/>
  <c r="AF53" i="20"/>
  <c r="AG53" i="20" s="1"/>
  <c r="Y53" i="20"/>
  <c r="V53" i="20"/>
  <c r="T53" i="20"/>
  <c r="AE53" i="20" s="1"/>
  <c r="AM52" i="20"/>
  <c r="AK52" i="20"/>
  <c r="AG52" i="20"/>
  <c r="AF52" i="20"/>
  <c r="Y52" i="20"/>
  <c r="V52" i="20"/>
  <c r="T52" i="20"/>
  <c r="AH52" i="20" s="1"/>
  <c r="AI52" i="20" s="1"/>
  <c r="AM51" i="20"/>
  <c r="AK51" i="20"/>
  <c r="AF51" i="20"/>
  <c r="AG51" i="20" s="1"/>
  <c r="Y51" i="20"/>
  <c r="V51" i="20"/>
  <c r="T51" i="20"/>
  <c r="AH51" i="20" s="1"/>
  <c r="AI51" i="20" s="1"/>
  <c r="AM50" i="20"/>
  <c r="AK50" i="20"/>
  <c r="AG50" i="20"/>
  <c r="AF50" i="20"/>
  <c r="Y50" i="20"/>
  <c r="V50" i="20"/>
  <c r="T50" i="20"/>
  <c r="AE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M46" i="20"/>
  <c r="AK46" i="20"/>
  <c r="AG46" i="20"/>
  <c r="AF46" i="20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G44" i="20"/>
  <c r="AF44" i="20"/>
  <c r="Y44" i="20"/>
  <c r="V44" i="20"/>
  <c r="T44" i="20"/>
  <c r="AE44" i="20" s="1"/>
  <c r="AM43" i="20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M41" i="20"/>
  <c r="AK41" i="20"/>
  <c r="AF41" i="20"/>
  <c r="AG41" i="20" s="1"/>
  <c r="Y41" i="20"/>
  <c r="V41" i="20"/>
  <c r="T41" i="20"/>
  <c r="AE41" i="20" s="1"/>
  <c r="AK40" i="20"/>
  <c r="AG40" i="20"/>
  <c r="AF40" i="20"/>
  <c r="Y40" i="20"/>
  <c r="V40" i="20"/>
  <c r="T40" i="20"/>
  <c r="AH40" i="20" s="1"/>
  <c r="AI40" i="20" s="1"/>
  <c r="AM39" i="20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M37" i="20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M35" i="20"/>
  <c r="AK35" i="20"/>
  <c r="AF35" i="20"/>
  <c r="AG35" i="20" s="1"/>
  <c r="Y35" i="20"/>
  <c r="V35" i="20"/>
  <c r="T35" i="20"/>
  <c r="AE35" i="20" s="1"/>
  <c r="AK34" i="20"/>
  <c r="AG34" i="20"/>
  <c r="AF34" i="20"/>
  <c r="Y34" i="20"/>
  <c r="V34" i="20"/>
  <c r="T34" i="20"/>
  <c r="AH34" i="20" s="1"/>
  <c r="AI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M31" i="20"/>
  <c r="AK31" i="20"/>
  <c r="AF31" i="20"/>
  <c r="AG31" i="20" s="1"/>
  <c r="Y31" i="20"/>
  <c r="V31" i="20"/>
  <c r="T31" i="20"/>
  <c r="AH31" i="20" s="1"/>
  <c r="AI31" i="20" s="1"/>
  <c r="AM30" i="20"/>
  <c r="AK30" i="20"/>
  <c r="AG30" i="20"/>
  <c r="AF30" i="20"/>
  <c r="Y30" i="20"/>
  <c r="V30" i="20"/>
  <c r="T30" i="20"/>
  <c r="AH30" i="20" s="1"/>
  <c r="AI30" i="20" s="1"/>
  <c r="AM29" i="20"/>
  <c r="AK29" i="20"/>
  <c r="AF29" i="20"/>
  <c r="AG29" i="20" s="1"/>
  <c r="Y29" i="20"/>
  <c r="V29" i="20"/>
  <c r="T29" i="20"/>
  <c r="AE29" i="20" s="1"/>
  <c r="AM28" i="20"/>
  <c r="AK28" i="20"/>
  <c r="AG28" i="20"/>
  <c r="AF28" i="20"/>
  <c r="Y28" i="20"/>
  <c r="V28" i="20"/>
  <c r="T28" i="20"/>
  <c r="AH28" i="20" s="1"/>
  <c r="AI28" i="20" s="1"/>
  <c r="AM27" i="20"/>
  <c r="AK27" i="20"/>
  <c r="AF27" i="20"/>
  <c r="AG27" i="20" s="1"/>
  <c r="Y27" i="20"/>
  <c r="V27" i="20"/>
  <c r="T27" i="20"/>
  <c r="AH27" i="20" s="1"/>
  <c r="AI27" i="20" s="1"/>
  <c r="AM26" i="20"/>
  <c r="AK26" i="20"/>
  <c r="AF26" i="20"/>
  <c r="AG26" i="20" s="1"/>
  <c r="Y26" i="20"/>
  <c r="V26" i="20"/>
  <c r="T26" i="20"/>
  <c r="AE26" i="20" s="1"/>
  <c r="AM25" i="20"/>
  <c r="AK25" i="20"/>
  <c r="AF25" i="20"/>
  <c r="AG25" i="20" s="1"/>
  <c r="Y25" i="20"/>
  <c r="V25" i="20"/>
  <c r="T25" i="20"/>
  <c r="AH25" i="20" s="1"/>
  <c r="AI25" i="20" s="1"/>
  <c r="AM24" i="20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M22" i="20"/>
  <c r="AK22" i="20"/>
  <c r="AF22" i="20"/>
  <c r="AG22" i="20" s="1"/>
  <c r="Y22" i="20"/>
  <c r="V22" i="20"/>
  <c r="T22" i="20"/>
  <c r="AH22" i="20" s="1"/>
  <c r="AI22" i="20" s="1"/>
  <c r="AM21" i="20"/>
  <c r="AK21" i="20"/>
  <c r="AF21" i="20"/>
  <c r="AG21" i="20" s="1"/>
  <c r="Y21" i="20"/>
  <c r="V21" i="20"/>
  <c r="T21" i="20"/>
  <c r="AH21" i="20" s="1"/>
  <c r="AI21" i="20" s="1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M18" i="20"/>
  <c r="AK18" i="20"/>
  <c r="AF18" i="20"/>
  <c r="AG18" i="20" s="1"/>
  <c r="Y18" i="20"/>
  <c r="V18" i="20"/>
  <c r="T18" i="20"/>
  <c r="AH18" i="20" s="1"/>
  <c r="AI18" i="20" s="1"/>
  <c r="AM17" i="20"/>
  <c r="AK17" i="20"/>
  <c r="AF17" i="20"/>
  <c r="AG17" i="20" s="1"/>
  <c r="AE17" i="20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M14" i="20"/>
  <c r="AK14" i="20"/>
  <c r="AH14" i="20"/>
  <c r="AI14" i="20" s="1"/>
  <c r="AF14" i="20"/>
  <c r="AG14" i="20" s="1"/>
  <c r="AD14" i="20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M12" i="20"/>
  <c r="AK12" i="20"/>
  <c r="AF12" i="20"/>
  <c r="AG12" i="20" s="1"/>
  <c r="Y12" i="20"/>
  <c r="V12" i="20"/>
  <c r="T12" i="20"/>
  <c r="AH12" i="20" s="1"/>
  <c r="AI12" i="20" s="1"/>
  <c r="A12" i="20"/>
  <c r="AM11" i="20"/>
  <c r="AK11" i="20"/>
  <c r="AH11" i="20"/>
  <c r="AI11" i="20" s="1"/>
  <c r="AF11" i="20"/>
  <c r="AG11" i="20" s="1"/>
  <c r="Y11" i="20"/>
  <c r="V11" i="20"/>
  <c r="T11" i="20"/>
  <c r="AD11" i="20" s="1"/>
  <c r="AM10" i="20"/>
  <c r="AK10" i="20"/>
  <c r="AF10" i="20"/>
  <c r="AG10" i="20" s="1"/>
  <c r="AE10" i="20"/>
  <c r="Y10" i="20"/>
  <c r="W10" i="20"/>
  <c r="V10" i="20"/>
  <c r="T10" i="20"/>
  <c r="AH10" i="20" s="1"/>
  <c r="AI10" i="20" s="1"/>
  <c r="A10" i="20"/>
  <c r="W78" i="20" s="1"/>
  <c r="AM9" i="20"/>
  <c r="AK9" i="20"/>
  <c r="AF9" i="20"/>
  <c r="AG9" i="20" s="1"/>
  <c r="Y9" i="20"/>
  <c r="V9" i="20"/>
  <c r="T9" i="20"/>
  <c r="AD9" i="20" s="1"/>
  <c r="AM8" i="20"/>
  <c r="AK8" i="20"/>
  <c r="AF8" i="20"/>
  <c r="AG8" i="20" s="1"/>
  <c r="AJ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M6" i="20"/>
  <c r="AK6" i="20"/>
  <c r="AF6" i="20"/>
  <c r="AG6" i="20" s="1"/>
  <c r="Y6" i="20"/>
  <c r="V6" i="20"/>
  <c r="T6" i="20"/>
  <c r="AH6" i="20" s="1"/>
  <c r="AI6" i="20" s="1"/>
  <c r="A6" i="20"/>
  <c r="AM5" i="20"/>
  <c r="AK5" i="20"/>
  <c r="AG5" i="20"/>
  <c r="AF5" i="20"/>
  <c r="Y5" i="20"/>
  <c r="V5" i="20"/>
  <c r="T5" i="20"/>
  <c r="AH5" i="20" s="1"/>
  <c r="AI5" i="20" s="1"/>
  <c r="F1" i="20"/>
  <c r="AM24" i="19"/>
  <c r="AK24" i="19"/>
  <c r="AH24" i="19"/>
  <c r="AI24" i="19" s="1"/>
  <c r="AF24" i="19"/>
  <c r="AG24" i="19" s="1"/>
  <c r="AE24" i="19"/>
  <c r="AD24" i="19"/>
  <c r="AN24" i="19" s="1"/>
  <c r="Y24" i="19"/>
  <c r="V24" i="19"/>
  <c r="T24" i="19"/>
  <c r="AM23" i="19"/>
  <c r="AK23" i="19"/>
  <c r="AI23" i="19"/>
  <c r="AH23" i="19"/>
  <c r="AG23" i="19"/>
  <c r="AL23" i="19" s="1"/>
  <c r="AF23" i="19"/>
  <c r="AE23" i="19"/>
  <c r="AD23" i="19"/>
  <c r="Y23" i="19"/>
  <c r="V23" i="19"/>
  <c r="T23" i="19"/>
  <c r="AM22" i="19"/>
  <c r="AK22" i="19"/>
  <c r="AI22" i="19"/>
  <c r="AH22" i="19"/>
  <c r="AG22" i="19"/>
  <c r="AL22" i="19" s="1"/>
  <c r="AF22" i="19"/>
  <c r="AE22" i="19"/>
  <c r="AD22" i="19"/>
  <c r="Y22" i="19"/>
  <c r="V22" i="19"/>
  <c r="T22" i="19"/>
  <c r="AM21" i="19"/>
  <c r="AK21" i="19"/>
  <c r="AI21" i="19"/>
  <c r="AH21" i="19"/>
  <c r="AG21" i="19"/>
  <c r="AL21" i="19" s="1"/>
  <c r="AF21" i="19"/>
  <c r="AE21" i="19"/>
  <c r="AD21" i="19"/>
  <c r="Y21" i="19"/>
  <c r="V21" i="19"/>
  <c r="T21" i="19"/>
  <c r="AM20" i="19"/>
  <c r="AK20" i="19"/>
  <c r="AH20" i="19"/>
  <c r="AI20" i="19" s="1"/>
  <c r="AF20" i="19"/>
  <c r="AG20" i="19" s="1"/>
  <c r="AE20" i="19"/>
  <c r="AD20" i="19"/>
  <c r="AN20" i="19" s="1"/>
  <c r="Y20" i="19"/>
  <c r="V20" i="19"/>
  <c r="T20" i="19"/>
  <c r="AM19" i="19"/>
  <c r="AK19" i="19"/>
  <c r="AH19" i="19"/>
  <c r="AI19" i="19" s="1"/>
  <c r="AF19" i="19"/>
  <c r="AG19" i="19" s="1"/>
  <c r="AE19" i="19"/>
  <c r="AD19" i="19"/>
  <c r="AN19" i="19" s="1"/>
  <c r="Y19" i="19"/>
  <c r="V19" i="19"/>
  <c r="T19" i="19"/>
  <c r="AM18" i="19"/>
  <c r="AK18" i="19"/>
  <c r="AH18" i="19"/>
  <c r="AI18" i="19" s="1"/>
  <c r="AF18" i="19"/>
  <c r="AG18" i="19" s="1"/>
  <c r="AE18" i="19"/>
  <c r="AD18" i="19"/>
  <c r="Y18" i="19"/>
  <c r="V18" i="19"/>
  <c r="T18" i="19"/>
  <c r="AM17" i="19"/>
  <c r="AK17" i="19"/>
  <c r="AI17" i="19"/>
  <c r="AH17" i="19"/>
  <c r="AG17" i="19"/>
  <c r="AL17" i="19" s="1"/>
  <c r="AF17" i="19"/>
  <c r="AE17" i="19"/>
  <c r="AD17" i="19"/>
  <c r="Y17" i="19"/>
  <c r="V17" i="19"/>
  <c r="T17" i="19"/>
  <c r="AM16" i="19"/>
  <c r="AK16" i="19"/>
  <c r="AI16" i="19"/>
  <c r="AH16" i="19"/>
  <c r="AG16" i="19"/>
  <c r="AL16" i="19" s="1"/>
  <c r="AF16" i="19"/>
  <c r="AE16" i="19"/>
  <c r="AD16" i="19"/>
  <c r="Y16" i="19"/>
  <c r="V16" i="19"/>
  <c r="T16" i="19"/>
  <c r="AM15" i="19"/>
  <c r="AK15" i="19"/>
  <c r="AI15" i="19"/>
  <c r="AH15" i="19"/>
  <c r="AG15" i="19"/>
  <c r="AL15" i="19" s="1"/>
  <c r="AF15" i="19"/>
  <c r="AE15" i="19"/>
  <c r="AD15" i="19"/>
  <c r="Y15" i="19"/>
  <c r="V15" i="19"/>
  <c r="T15" i="19"/>
  <c r="AM14" i="19"/>
  <c r="AK14" i="19"/>
  <c r="AG14" i="19"/>
  <c r="AF14" i="19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AM11" i="19"/>
  <c r="AK11" i="19"/>
  <c r="AI11" i="19"/>
  <c r="AH11" i="19"/>
  <c r="AF11" i="19"/>
  <c r="AG11" i="19" s="1"/>
  <c r="Y11" i="19"/>
  <c r="V11" i="19"/>
  <c r="T11" i="19"/>
  <c r="AE11" i="19" s="1"/>
  <c r="AM10" i="19"/>
  <c r="AK10" i="19"/>
  <c r="AH10" i="19"/>
  <c r="AI10" i="19" s="1"/>
  <c r="AF10" i="19"/>
  <c r="AG10" i="19" s="1"/>
  <c r="AJ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W8" i="19"/>
  <c r="V8" i="19"/>
  <c r="T8" i="19"/>
  <c r="AH8" i="19" s="1"/>
  <c r="AI8" i="19" s="1"/>
  <c r="AM7" i="19"/>
  <c r="AK7" i="19"/>
  <c r="AF7" i="19"/>
  <c r="AG7" i="19" s="1"/>
  <c r="AD7" i="19"/>
  <c r="Y7" i="19"/>
  <c r="W7" i="19"/>
  <c r="V7" i="19"/>
  <c r="U7" i="19"/>
  <c r="T7" i="19"/>
  <c r="AH7" i="19" s="1"/>
  <c r="AI7" i="19" s="1"/>
  <c r="AK6" i="19"/>
  <c r="AH6" i="19"/>
  <c r="AI6" i="19" s="1"/>
  <c r="AF6" i="19"/>
  <c r="AG6" i="19" s="1"/>
  <c r="Y6" i="19"/>
  <c r="W6" i="19"/>
  <c r="V6" i="19"/>
  <c r="T6" i="19"/>
  <c r="AD6" i="19" s="1"/>
  <c r="A6" i="19"/>
  <c r="AK5" i="19"/>
  <c r="AF5" i="19"/>
  <c r="AG5" i="19" s="1"/>
  <c r="Y5" i="19"/>
  <c r="A14" i="19" s="1"/>
  <c r="K19" i="68" s="1"/>
  <c r="W5" i="19"/>
  <c r="V5" i="19"/>
  <c r="T5" i="19"/>
  <c r="AD5" i="19" s="1"/>
  <c r="F1" i="19"/>
  <c r="AM24" i="18"/>
  <c r="AK24" i="18"/>
  <c r="AI24" i="18"/>
  <c r="AH24" i="18"/>
  <c r="AG24" i="18"/>
  <c r="AL24" i="18" s="1"/>
  <c r="AF24" i="18"/>
  <c r="AE24" i="18"/>
  <c r="AD24" i="18"/>
  <c r="Y24" i="18"/>
  <c r="V24" i="18"/>
  <c r="U24" i="18"/>
  <c r="T24" i="18"/>
  <c r="AM23" i="18"/>
  <c r="AK23" i="18"/>
  <c r="AH23" i="18"/>
  <c r="AI23" i="18" s="1"/>
  <c r="AF23" i="18"/>
  <c r="AG23" i="18" s="1"/>
  <c r="AE23" i="18"/>
  <c r="AD23" i="18"/>
  <c r="AN23" i="18" s="1"/>
  <c r="Y23" i="18"/>
  <c r="V23" i="18"/>
  <c r="T23" i="18"/>
  <c r="AM22" i="18"/>
  <c r="AK22" i="18"/>
  <c r="AH22" i="18"/>
  <c r="AI22" i="18" s="1"/>
  <c r="AF22" i="18"/>
  <c r="AG22" i="18" s="1"/>
  <c r="AE22" i="18"/>
  <c r="AD22" i="18"/>
  <c r="AN22" i="18" s="1"/>
  <c r="Y22" i="18"/>
  <c r="V22" i="18"/>
  <c r="T22" i="18"/>
  <c r="AM21" i="18"/>
  <c r="AK21" i="18"/>
  <c r="AH21" i="18"/>
  <c r="AI21" i="18" s="1"/>
  <c r="AF21" i="18"/>
  <c r="AG21" i="18" s="1"/>
  <c r="AE21" i="18"/>
  <c r="AD21" i="18"/>
  <c r="Y21" i="18"/>
  <c r="V21" i="18"/>
  <c r="U21" i="18"/>
  <c r="T21" i="18"/>
  <c r="AM20" i="18"/>
  <c r="AK20" i="18"/>
  <c r="AI20" i="18"/>
  <c r="AH20" i="18"/>
  <c r="AG20" i="18"/>
  <c r="AL20" i="18" s="1"/>
  <c r="AF20" i="18"/>
  <c r="AE20" i="18"/>
  <c r="AD20" i="18"/>
  <c r="Y20" i="18"/>
  <c r="V20" i="18"/>
  <c r="T20" i="18"/>
  <c r="AM19" i="18"/>
  <c r="AK19" i="18"/>
  <c r="AI19" i="18"/>
  <c r="AH19" i="18"/>
  <c r="AG19" i="18"/>
  <c r="AL19" i="18" s="1"/>
  <c r="AF19" i="18"/>
  <c r="AE19" i="18"/>
  <c r="AD19" i="18"/>
  <c r="Y19" i="18"/>
  <c r="V19" i="18"/>
  <c r="T19" i="18"/>
  <c r="AM18" i="18"/>
  <c r="AK18" i="18"/>
  <c r="AI18" i="18"/>
  <c r="AH18" i="18"/>
  <c r="AG18" i="18"/>
  <c r="AL18" i="18" s="1"/>
  <c r="AF18" i="18"/>
  <c r="AE18" i="18"/>
  <c r="AD18" i="18"/>
  <c r="Y18" i="18"/>
  <c r="V18" i="18"/>
  <c r="T18" i="18"/>
  <c r="AM17" i="18"/>
  <c r="AK17" i="18"/>
  <c r="AH17" i="18"/>
  <c r="AI17" i="18" s="1"/>
  <c r="AF17" i="18"/>
  <c r="AG17" i="18" s="1"/>
  <c r="AE17" i="18"/>
  <c r="AN17" i="18" s="1"/>
  <c r="AD17" i="18"/>
  <c r="Y17" i="18"/>
  <c r="V17" i="18"/>
  <c r="T17" i="18"/>
  <c r="AM16" i="18"/>
  <c r="AK16" i="18"/>
  <c r="AH16" i="18"/>
  <c r="AI16" i="18" s="1"/>
  <c r="AF16" i="18"/>
  <c r="AG16" i="18" s="1"/>
  <c r="AE16" i="18"/>
  <c r="AN16" i="18" s="1"/>
  <c r="AD16" i="18"/>
  <c r="Y16" i="18"/>
  <c r="V16" i="18"/>
  <c r="T16" i="18"/>
  <c r="AM15" i="18"/>
  <c r="AK15" i="18"/>
  <c r="AH15" i="18"/>
  <c r="AI15" i="18" s="1"/>
  <c r="AF15" i="18"/>
  <c r="AG15" i="18" s="1"/>
  <c r="AE15" i="18"/>
  <c r="AD15" i="18"/>
  <c r="Y15" i="18"/>
  <c r="V15" i="18"/>
  <c r="T15" i="18"/>
  <c r="AM14" i="18"/>
  <c r="AK14" i="18"/>
  <c r="AH14" i="18"/>
  <c r="AI14" i="18" s="1"/>
  <c r="AF14" i="18"/>
  <c r="AG14" i="18" s="1"/>
  <c r="AE14" i="18"/>
  <c r="AD14" i="18"/>
  <c r="Y14" i="18"/>
  <c r="V14" i="18"/>
  <c r="T14" i="18"/>
  <c r="AM13" i="18"/>
  <c r="AK13" i="18"/>
  <c r="AH13" i="18"/>
  <c r="AI13" i="18" s="1"/>
  <c r="AF13" i="18"/>
  <c r="AG13" i="18" s="1"/>
  <c r="AE13" i="18"/>
  <c r="AD13" i="18"/>
  <c r="Y13" i="18"/>
  <c r="V13" i="18"/>
  <c r="T13" i="18"/>
  <c r="AM12" i="18"/>
  <c r="AK12" i="18"/>
  <c r="AH12" i="18"/>
  <c r="AI12" i="18" s="1"/>
  <c r="AF12" i="18"/>
  <c r="AG12" i="18" s="1"/>
  <c r="AE12" i="18"/>
  <c r="AD12" i="18"/>
  <c r="Y12" i="18"/>
  <c r="V12" i="18"/>
  <c r="T12" i="18"/>
  <c r="A12" i="18"/>
  <c r="AK11" i="18"/>
  <c r="AH11" i="18"/>
  <c r="AI11" i="18" s="1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U9" i="18" s="1"/>
  <c r="AM8" i="18"/>
  <c r="AK8" i="18"/>
  <c r="AH8" i="18"/>
  <c r="AI8" i="18" s="1"/>
  <c r="AF8" i="18"/>
  <c r="AG8" i="18" s="1"/>
  <c r="Y8" i="18"/>
  <c r="W8" i="18"/>
  <c r="V8" i="18"/>
  <c r="U8" i="18"/>
  <c r="T8" i="18"/>
  <c r="AD8" i="18" s="1"/>
  <c r="AM7" i="18"/>
  <c r="AK7" i="18"/>
  <c r="AH7" i="18"/>
  <c r="AI7" i="18" s="1"/>
  <c r="AF7" i="18"/>
  <c r="AG7" i="18" s="1"/>
  <c r="Y7" i="18"/>
  <c r="W7" i="18"/>
  <c r="V7" i="18"/>
  <c r="T7" i="18"/>
  <c r="AD7" i="18" s="1"/>
  <c r="AK6" i="18"/>
  <c r="AF6" i="18"/>
  <c r="AG6" i="18" s="1"/>
  <c r="Y6" i="18"/>
  <c r="W6" i="18"/>
  <c r="V6" i="18"/>
  <c r="T6" i="18"/>
  <c r="U6" i="18" s="1"/>
  <c r="A6" i="18"/>
  <c r="AM5" i="18"/>
  <c r="AK5" i="18"/>
  <c r="AF5" i="18"/>
  <c r="AG5" i="18" s="1"/>
  <c r="Y5" i="18"/>
  <c r="W5" i="18"/>
  <c r="V5" i="18"/>
  <c r="T5" i="18"/>
  <c r="AH5" i="18" s="1"/>
  <c r="AI5" i="18" s="1"/>
  <c r="F1" i="18"/>
  <c r="AM24" i="74"/>
  <c r="AK24" i="74"/>
  <c r="AI24" i="74"/>
  <c r="AH24" i="74"/>
  <c r="AG24" i="74"/>
  <c r="AL24" i="74" s="1"/>
  <c r="AF24" i="74"/>
  <c r="AE24" i="74"/>
  <c r="AD24" i="74"/>
  <c r="Y24" i="74"/>
  <c r="W24" i="74"/>
  <c r="V24" i="74"/>
  <c r="U24" i="74"/>
  <c r="T24" i="74"/>
  <c r="AM23" i="74"/>
  <c r="AK23" i="74"/>
  <c r="AI23" i="74"/>
  <c r="AH23" i="74"/>
  <c r="AG23" i="74"/>
  <c r="AL23" i="74" s="1"/>
  <c r="AF23" i="74"/>
  <c r="AE23" i="74"/>
  <c r="AD23" i="74"/>
  <c r="Y23" i="74"/>
  <c r="W23" i="74"/>
  <c r="V23" i="74"/>
  <c r="U23" i="74"/>
  <c r="T23" i="74"/>
  <c r="AM22" i="74"/>
  <c r="AK22" i="74"/>
  <c r="AI22" i="74"/>
  <c r="AH22" i="74"/>
  <c r="AG22" i="74"/>
  <c r="AL22" i="74" s="1"/>
  <c r="AF22" i="74"/>
  <c r="AE22" i="74"/>
  <c r="AD22" i="74"/>
  <c r="Y22" i="74"/>
  <c r="W22" i="74"/>
  <c r="V22" i="74"/>
  <c r="U22" i="74"/>
  <c r="T22" i="74"/>
  <c r="AM21" i="74"/>
  <c r="AK21" i="74"/>
  <c r="AI21" i="74"/>
  <c r="AH21" i="74"/>
  <c r="AG21" i="74"/>
  <c r="AL21" i="74" s="1"/>
  <c r="AF21" i="74"/>
  <c r="AE21" i="74"/>
  <c r="AD21" i="74"/>
  <c r="Y21" i="74"/>
  <c r="W21" i="74"/>
  <c r="V21" i="74"/>
  <c r="U21" i="74"/>
  <c r="T21" i="74"/>
  <c r="AM20" i="74"/>
  <c r="AK20" i="74"/>
  <c r="AI20" i="74"/>
  <c r="AH20" i="74"/>
  <c r="AG20" i="74"/>
  <c r="AL20" i="74" s="1"/>
  <c r="AF20" i="74"/>
  <c r="AE20" i="74"/>
  <c r="AD20" i="74"/>
  <c r="Y20" i="74"/>
  <c r="W20" i="74"/>
  <c r="V20" i="74"/>
  <c r="U20" i="74"/>
  <c r="T20" i="74"/>
  <c r="AM19" i="74"/>
  <c r="AK19" i="74"/>
  <c r="AI19" i="74"/>
  <c r="AH19" i="74"/>
  <c r="AG19" i="74"/>
  <c r="AL19" i="74" s="1"/>
  <c r="AF19" i="74"/>
  <c r="AE19" i="74"/>
  <c r="AD19" i="74"/>
  <c r="Y19" i="74"/>
  <c r="W19" i="74"/>
  <c r="V19" i="74"/>
  <c r="U19" i="74"/>
  <c r="T19" i="74"/>
  <c r="AM18" i="74"/>
  <c r="AK18" i="74"/>
  <c r="AI18" i="74"/>
  <c r="AH18" i="74"/>
  <c r="AG18" i="74"/>
  <c r="AL18" i="74" s="1"/>
  <c r="AF18" i="74"/>
  <c r="AE18" i="74"/>
  <c r="AD18" i="74"/>
  <c r="Y18" i="74"/>
  <c r="W18" i="74"/>
  <c r="V18" i="74"/>
  <c r="U18" i="74"/>
  <c r="T18" i="74"/>
  <c r="AM17" i="74"/>
  <c r="AK17" i="74"/>
  <c r="AI17" i="74"/>
  <c r="AH17" i="74"/>
  <c r="AG17" i="74"/>
  <c r="AL17" i="74" s="1"/>
  <c r="AF17" i="74"/>
  <c r="AE17" i="74"/>
  <c r="AD17" i="74"/>
  <c r="Y17" i="74"/>
  <c r="W17" i="74"/>
  <c r="V17" i="74"/>
  <c r="U17" i="74"/>
  <c r="T17" i="74"/>
  <c r="AM16" i="74"/>
  <c r="AK16" i="74"/>
  <c r="AI16" i="74"/>
  <c r="AH16" i="74"/>
  <c r="AG16" i="74"/>
  <c r="AL16" i="74" s="1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F15" i="74"/>
  <c r="AG15" i="74" s="1"/>
  <c r="AE15" i="74"/>
  <c r="AD15" i="74"/>
  <c r="Y15" i="74"/>
  <c r="W15" i="74"/>
  <c r="V15" i="74"/>
  <c r="U15" i="74"/>
  <c r="T15" i="74"/>
  <c r="AM14" i="74"/>
  <c r="AK14" i="74"/>
  <c r="AH14" i="74"/>
  <c r="AI14" i="74" s="1"/>
  <c r="AF14" i="74"/>
  <c r="AG14" i="74" s="1"/>
  <c r="AE14" i="74"/>
  <c r="AD14" i="74"/>
  <c r="AN14" i="74" s="1"/>
  <c r="Y14" i="74"/>
  <c r="W14" i="74"/>
  <c r="V14" i="74"/>
  <c r="U14" i="74"/>
  <c r="T14" i="74"/>
  <c r="A14" i="74"/>
  <c r="AM13" i="74"/>
  <c r="AK13" i="74"/>
  <c r="AI13" i="74"/>
  <c r="AH13" i="74"/>
  <c r="AG13" i="74"/>
  <c r="AL13" i="74" s="1"/>
  <c r="AF13" i="74"/>
  <c r="AE13" i="74"/>
  <c r="AD13" i="74"/>
  <c r="Y13" i="74"/>
  <c r="W13" i="74"/>
  <c r="V13" i="74"/>
  <c r="U13" i="74"/>
  <c r="T13" i="74"/>
  <c r="AM12" i="74"/>
  <c r="AK12" i="74"/>
  <c r="AI12" i="74"/>
  <c r="AH12" i="74"/>
  <c r="AG12" i="74"/>
  <c r="AL12" i="74" s="1"/>
  <c r="AF12" i="74"/>
  <c r="AE12" i="74"/>
  <c r="AD12" i="74"/>
  <c r="Y12" i="74"/>
  <c r="W12" i="74"/>
  <c r="V12" i="74"/>
  <c r="U12" i="74"/>
  <c r="T12" i="74"/>
  <c r="A12" i="74"/>
  <c r="AM11" i="74"/>
  <c r="AK11" i="74"/>
  <c r="AH11" i="74"/>
  <c r="AI11" i="74" s="1"/>
  <c r="AF11" i="74"/>
  <c r="AG11" i="74" s="1"/>
  <c r="AE11" i="74"/>
  <c r="AD11" i="74"/>
  <c r="Y11" i="74"/>
  <c r="W11" i="74"/>
  <c r="V11" i="74"/>
  <c r="U11" i="74"/>
  <c r="T11" i="74"/>
  <c r="AM10" i="74"/>
  <c r="AK10" i="74"/>
  <c r="AH10" i="74"/>
  <c r="AI10" i="74" s="1"/>
  <c r="AF10" i="74"/>
  <c r="AG10" i="74" s="1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G9" i="74"/>
  <c r="AF9" i="74"/>
  <c r="AE9" i="74"/>
  <c r="AD9" i="74"/>
  <c r="Y9" i="74"/>
  <c r="W9" i="74"/>
  <c r="V9" i="74"/>
  <c r="U9" i="74"/>
  <c r="T9" i="74"/>
  <c r="AM8" i="74"/>
  <c r="AK8" i="74"/>
  <c r="AI8" i="74"/>
  <c r="AH8" i="74"/>
  <c r="AG8" i="74"/>
  <c r="AL8" i="74" s="1"/>
  <c r="AF8" i="74"/>
  <c r="AD8" i="74"/>
  <c r="AN8" i="74" s="1"/>
  <c r="Y8" i="74"/>
  <c r="W8" i="74"/>
  <c r="V8" i="74"/>
  <c r="U8" i="74"/>
  <c r="T8" i="74"/>
  <c r="AM7" i="74"/>
  <c r="AK7" i="74"/>
  <c r="AH7" i="74"/>
  <c r="AI7" i="74" s="1"/>
  <c r="AF7" i="74"/>
  <c r="AG7" i="74" s="1"/>
  <c r="AD7" i="74"/>
  <c r="AN7" i="74" s="1"/>
  <c r="Y7" i="74"/>
  <c r="W7" i="74"/>
  <c r="V7" i="74"/>
  <c r="U7" i="74"/>
  <c r="T7" i="74"/>
  <c r="AM6" i="74"/>
  <c r="AK6" i="74"/>
  <c r="AI6" i="74"/>
  <c r="AH6" i="74"/>
  <c r="AF6" i="74"/>
  <c r="AG6" i="74" s="1"/>
  <c r="AD6" i="74"/>
  <c r="Y6" i="74"/>
  <c r="W6" i="74"/>
  <c r="V6" i="74"/>
  <c r="U6" i="74"/>
  <c r="T6" i="74"/>
  <c r="A6" i="74"/>
  <c r="AM5" i="74"/>
  <c r="AK5" i="74"/>
  <c r="AI5" i="74"/>
  <c r="AH5" i="74"/>
  <c r="AG5" i="74"/>
  <c r="AJ5" i="74" s="1"/>
  <c r="AF5" i="74"/>
  <c r="AD5" i="74"/>
  <c r="Y5" i="74"/>
  <c r="W5" i="74"/>
  <c r="V5" i="74"/>
  <c r="U5" i="74"/>
  <c r="T5" i="74"/>
  <c r="F1" i="74"/>
  <c r="AM24" i="16"/>
  <c r="AK24" i="16"/>
  <c r="AI24" i="16"/>
  <c r="AH24" i="16"/>
  <c r="AG24" i="16"/>
  <c r="AL24" i="16" s="1"/>
  <c r="AF24" i="16"/>
  <c r="AE24" i="16"/>
  <c r="AD24" i="16"/>
  <c r="Y24" i="16"/>
  <c r="V24" i="16"/>
  <c r="T24" i="16"/>
  <c r="AM23" i="16"/>
  <c r="AK23" i="16"/>
  <c r="AH23" i="16"/>
  <c r="AI23" i="16" s="1"/>
  <c r="AF23" i="16"/>
  <c r="AG23" i="16" s="1"/>
  <c r="AE23" i="16"/>
  <c r="AD23" i="16"/>
  <c r="AN23" i="16" s="1"/>
  <c r="Y23" i="16"/>
  <c r="V23" i="16"/>
  <c r="T23" i="16"/>
  <c r="AM22" i="16"/>
  <c r="AK22" i="16"/>
  <c r="AH22" i="16"/>
  <c r="AI22" i="16" s="1"/>
  <c r="AF22" i="16"/>
  <c r="AG22" i="16" s="1"/>
  <c r="AE22" i="16"/>
  <c r="AD22" i="16"/>
  <c r="AN22" i="16" s="1"/>
  <c r="Y22" i="16"/>
  <c r="V22" i="16"/>
  <c r="T22" i="16"/>
  <c r="AM21" i="16"/>
  <c r="AK21" i="16"/>
  <c r="AH21" i="16"/>
  <c r="AI21" i="16" s="1"/>
  <c r="AF21" i="16"/>
  <c r="AG21" i="16" s="1"/>
  <c r="AE21" i="16"/>
  <c r="AD21" i="16"/>
  <c r="Y21" i="16"/>
  <c r="V21" i="16"/>
  <c r="T21" i="16"/>
  <c r="AM20" i="16"/>
  <c r="AK20" i="16"/>
  <c r="AI20" i="16"/>
  <c r="AH20" i="16"/>
  <c r="AG20" i="16"/>
  <c r="AL20" i="16" s="1"/>
  <c r="AF20" i="16"/>
  <c r="AE20" i="16"/>
  <c r="AD20" i="16"/>
  <c r="Y20" i="16"/>
  <c r="V20" i="16"/>
  <c r="T20" i="16"/>
  <c r="AM19" i="16"/>
  <c r="AK19" i="16"/>
  <c r="AI19" i="16"/>
  <c r="AH19" i="16"/>
  <c r="AG19" i="16"/>
  <c r="AL19" i="16" s="1"/>
  <c r="AF19" i="16"/>
  <c r="AE19" i="16"/>
  <c r="AD19" i="16"/>
  <c r="Y19" i="16"/>
  <c r="V19" i="16"/>
  <c r="T19" i="16"/>
  <c r="AM18" i="16"/>
  <c r="AK18" i="16"/>
  <c r="AI18" i="16"/>
  <c r="AH18" i="16"/>
  <c r="AG18" i="16"/>
  <c r="AL18" i="16" s="1"/>
  <c r="AF18" i="16"/>
  <c r="AE18" i="16"/>
  <c r="AD18" i="16"/>
  <c r="Y18" i="16"/>
  <c r="V18" i="16"/>
  <c r="T18" i="16"/>
  <c r="AM17" i="16"/>
  <c r="AK17" i="16"/>
  <c r="AH17" i="16"/>
  <c r="AI17" i="16" s="1"/>
  <c r="AF17" i="16"/>
  <c r="AG17" i="16" s="1"/>
  <c r="AE17" i="16"/>
  <c r="AD17" i="16"/>
  <c r="Y17" i="16"/>
  <c r="V17" i="16"/>
  <c r="T17" i="16"/>
  <c r="AM16" i="16"/>
  <c r="AK16" i="16"/>
  <c r="AH16" i="16"/>
  <c r="AI16" i="16" s="1"/>
  <c r="AF16" i="16"/>
  <c r="AG16" i="16" s="1"/>
  <c r="AE16" i="16"/>
  <c r="AD16" i="16"/>
  <c r="AN16" i="16" s="1"/>
  <c r="Y16" i="16"/>
  <c r="V16" i="16"/>
  <c r="T16" i="16"/>
  <c r="AM15" i="16"/>
  <c r="AK15" i="16"/>
  <c r="AI15" i="16"/>
  <c r="AH15" i="16"/>
  <c r="AG15" i="16"/>
  <c r="AL15" i="16" s="1"/>
  <c r="AF15" i="16"/>
  <c r="AE15" i="16"/>
  <c r="AD15" i="16"/>
  <c r="Y15" i="16"/>
  <c r="V15" i="16"/>
  <c r="T15" i="16"/>
  <c r="AM14" i="16"/>
  <c r="AK14" i="16"/>
  <c r="AH14" i="16"/>
  <c r="AI14" i="16" s="1"/>
  <c r="AF14" i="16"/>
  <c r="AG14" i="16" s="1"/>
  <c r="AE14" i="16"/>
  <c r="AD14" i="16"/>
  <c r="Y14" i="16"/>
  <c r="V14" i="16"/>
  <c r="T14" i="16"/>
  <c r="AM13" i="16"/>
  <c r="AK13" i="16"/>
  <c r="AH13" i="16"/>
  <c r="AI13" i="16" s="1"/>
  <c r="AF13" i="16"/>
  <c r="AG13" i="16" s="1"/>
  <c r="AE13" i="16"/>
  <c r="AD13" i="16"/>
  <c r="AN13" i="16" s="1"/>
  <c r="Y13" i="16"/>
  <c r="V13" i="16"/>
  <c r="T13" i="16"/>
  <c r="AM12" i="16"/>
  <c r="AK12" i="16"/>
  <c r="AI12" i="16"/>
  <c r="AH12" i="16"/>
  <c r="AG12" i="16"/>
  <c r="AL12" i="16" s="1"/>
  <c r="AF12" i="16"/>
  <c r="AE12" i="16"/>
  <c r="AD12" i="16"/>
  <c r="Y12" i="16"/>
  <c r="V12" i="16"/>
  <c r="T12" i="16"/>
  <c r="A12" i="16"/>
  <c r="AM11" i="16"/>
  <c r="AK11" i="16"/>
  <c r="AH11" i="16"/>
  <c r="AI11" i="16" s="1"/>
  <c r="AF11" i="16"/>
  <c r="AG11" i="16" s="1"/>
  <c r="AE11" i="16"/>
  <c r="AD11" i="16"/>
  <c r="Y11" i="16"/>
  <c r="V11" i="16"/>
  <c r="T11" i="16"/>
  <c r="AM10" i="16"/>
  <c r="AK10" i="16"/>
  <c r="AH10" i="16"/>
  <c r="AI10" i="16" s="1"/>
  <c r="AF10" i="16"/>
  <c r="AG10" i="16" s="1"/>
  <c r="AE10" i="16"/>
  <c r="AD10" i="16"/>
  <c r="AN10" i="16" s="1"/>
  <c r="Y10" i="16"/>
  <c r="V10" i="16"/>
  <c r="T10" i="16"/>
  <c r="A10" i="16"/>
  <c r="U24" i="16" s="1"/>
  <c r="AM9" i="16"/>
  <c r="AK9" i="16"/>
  <c r="AH9" i="16"/>
  <c r="AI9" i="16" s="1"/>
  <c r="AF9" i="16"/>
  <c r="AG9" i="16" s="1"/>
  <c r="AE9" i="16"/>
  <c r="AD9" i="16"/>
  <c r="Y9" i="16"/>
  <c r="V9" i="16"/>
  <c r="T9" i="16"/>
  <c r="AM8" i="16"/>
  <c r="AK8" i="16"/>
  <c r="AI8" i="16"/>
  <c r="AH8" i="16"/>
  <c r="AG8" i="16"/>
  <c r="AL8" i="16" s="1"/>
  <c r="AF8" i="16"/>
  <c r="AD8" i="16"/>
  <c r="Y8" i="16"/>
  <c r="V8" i="16"/>
  <c r="T8" i="16"/>
  <c r="AM7" i="16"/>
  <c r="AK7" i="16"/>
  <c r="AH7" i="16"/>
  <c r="AI7" i="16" s="1"/>
  <c r="AF7" i="16"/>
  <c r="AG7" i="16" s="1"/>
  <c r="AD7" i="16"/>
  <c r="AN7" i="16" s="1"/>
  <c r="Y7" i="16"/>
  <c r="V7" i="16"/>
  <c r="T7" i="16"/>
  <c r="AM6" i="16"/>
  <c r="AK6" i="16"/>
  <c r="AF6" i="16"/>
  <c r="AG6" i="16" s="1"/>
  <c r="Y6" i="16"/>
  <c r="V6" i="16"/>
  <c r="AD6" i="16"/>
  <c r="AN6" i="16" s="1"/>
  <c r="A6" i="16"/>
  <c r="AM5" i="16"/>
  <c r="AK5" i="16"/>
  <c r="AH5" i="16"/>
  <c r="AI5" i="16" s="1"/>
  <c r="AF5" i="16"/>
  <c r="AG5" i="16" s="1"/>
  <c r="AD5" i="16"/>
  <c r="Y5" i="16"/>
  <c r="A14" i="16" s="1"/>
  <c r="K15" i="68" s="1"/>
  <c r="V5" i="16"/>
  <c r="T5" i="16"/>
  <c r="F1" i="16"/>
  <c r="AM515" i="15"/>
  <c r="AK515" i="15"/>
  <c r="AI515" i="15"/>
  <c r="AH515" i="15"/>
  <c r="AG515" i="15"/>
  <c r="AL515" i="15" s="1"/>
  <c r="AF515" i="15"/>
  <c r="AE515" i="15"/>
  <c r="AD515" i="15"/>
  <c r="Y515" i="15"/>
  <c r="V515" i="15"/>
  <c r="T515" i="15"/>
  <c r="AM514" i="15"/>
  <c r="AK514" i="15"/>
  <c r="AI514" i="15"/>
  <c r="AH514" i="15"/>
  <c r="AG514" i="15"/>
  <c r="AL514" i="15" s="1"/>
  <c r="AF514" i="15"/>
  <c r="AE514" i="15"/>
  <c r="AD514" i="15"/>
  <c r="Y514" i="15"/>
  <c r="V514" i="15"/>
  <c r="T514" i="15"/>
  <c r="AM513" i="15"/>
  <c r="AK513" i="15"/>
  <c r="AI513" i="15"/>
  <c r="AH513" i="15"/>
  <c r="AG513" i="15"/>
  <c r="AL513" i="15" s="1"/>
  <c r="AF513" i="15"/>
  <c r="AE513" i="15"/>
  <c r="AD513" i="15"/>
  <c r="Y513" i="15"/>
  <c r="V513" i="15"/>
  <c r="T513" i="15"/>
  <c r="AM512" i="15"/>
  <c r="AK512" i="15"/>
  <c r="AI512" i="15"/>
  <c r="AH512" i="15"/>
  <c r="AG512" i="15"/>
  <c r="AL512" i="15" s="1"/>
  <c r="AF512" i="15"/>
  <c r="AE512" i="15"/>
  <c r="AD512" i="15"/>
  <c r="Y512" i="15"/>
  <c r="V512" i="15"/>
  <c r="T512" i="15"/>
  <c r="AM511" i="15"/>
  <c r="AK511" i="15"/>
  <c r="AI511" i="15"/>
  <c r="AH511" i="15"/>
  <c r="AG511" i="15"/>
  <c r="AJ511" i="15" s="1"/>
  <c r="AF511" i="15"/>
  <c r="AE511" i="15"/>
  <c r="AD511" i="15"/>
  <c r="Y511" i="15"/>
  <c r="V511" i="15"/>
  <c r="T511" i="15"/>
  <c r="AM510" i="15"/>
  <c r="AK510" i="15"/>
  <c r="AI510" i="15"/>
  <c r="AH510" i="15"/>
  <c r="AG510" i="15"/>
  <c r="AL510" i="15" s="1"/>
  <c r="AF510" i="15"/>
  <c r="AE510" i="15"/>
  <c r="AD510" i="15"/>
  <c r="Y510" i="15"/>
  <c r="V510" i="15"/>
  <c r="T510" i="15"/>
  <c r="AM509" i="15"/>
  <c r="AK509" i="15"/>
  <c r="AI509" i="15"/>
  <c r="AH509" i="15"/>
  <c r="AG509" i="15"/>
  <c r="AL509" i="15" s="1"/>
  <c r="AF509" i="15"/>
  <c r="AE509" i="15"/>
  <c r="AD509" i="15"/>
  <c r="Y509" i="15"/>
  <c r="V509" i="15"/>
  <c r="T509" i="15"/>
  <c r="AM508" i="15"/>
  <c r="AK508" i="15"/>
  <c r="AI508" i="15"/>
  <c r="AH508" i="15"/>
  <c r="AG508" i="15"/>
  <c r="AL508" i="15" s="1"/>
  <c r="AF508" i="15"/>
  <c r="AE508" i="15"/>
  <c r="AD508" i="15"/>
  <c r="Y508" i="15"/>
  <c r="V508" i="15"/>
  <c r="T508" i="15"/>
  <c r="AM507" i="15"/>
  <c r="AK507" i="15"/>
  <c r="AI507" i="15"/>
  <c r="AH507" i="15"/>
  <c r="AG507" i="15"/>
  <c r="AL507" i="15" s="1"/>
  <c r="AF507" i="15"/>
  <c r="AE507" i="15"/>
  <c r="AD507" i="15"/>
  <c r="Y507" i="15"/>
  <c r="V507" i="15"/>
  <c r="T507" i="15"/>
  <c r="AM506" i="15"/>
  <c r="AK506" i="15"/>
  <c r="AI506" i="15"/>
  <c r="AH506" i="15"/>
  <c r="AG506" i="15"/>
  <c r="AL506" i="15" s="1"/>
  <c r="AF506" i="15"/>
  <c r="AE506" i="15"/>
  <c r="AD506" i="15"/>
  <c r="Y506" i="15"/>
  <c r="V506" i="15"/>
  <c r="T506" i="15"/>
  <c r="AM505" i="15"/>
  <c r="AK505" i="15"/>
  <c r="AI505" i="15"/>
  <c r="AH505" i="15"/>
  <c r="AG505" i="15"/>
  <c r="AJ505" i="15" s="1"/>
  <c r="AF505" i="15"/>
  <c r="AE505" i="15"/>
  <c r="AD505" i="15"/>
  <c r="Y505" i="15"/>
  <c r="V505" i="15"/>
  <c r="T505" i="15"/>
  <c r="AM504" i="15"/>
  <c r="AK504" i="15"/>
  <c r="AI504" i="15"/>
  <c r="AH504" i="15"/>
  <c r="AG504" i="15"/>
  <c r="AL504" i="15" s="1"/>
  <c r="AF504" i="15"/>
  <c r="AE504" i="15"/>
  <c r="AD504" i="15"/>
  <c r="Y504" i="15"/>
  <c r="V504" i="15"/>
  <c r="T504" i="15"/>
  <c r="AM503" i="15"/>
  <c r="AK503" i="15"/>
  <c r="AI503" i="15"/>
  <c r="AH503" i="15"/>
  <c r="AG503" i="15"/>
  <c r="AL503" i="15" s="1"/>
  <c r="AF503" i="15"/>
  <c r="AE503" i="15"/>
  <c r="AD503" i="15"/>
  <c r="Y503" i="15"/>
  <c r="V503" i="15"/>
  <c r="T503" i="15"/>
  <c r="AM502" i="15"/>
  <c r="AK502" i="15"/>
  <c r="AI502" i="15"/>
  <c r="AH502" i="15"/>
  <c r="AG502" i="15"/>
  <c r="AL502" i="15" s="1"/>
  <c r="AF502" i="15"/>
  <c r="AE502" i="15"/>
  <c r="AD502" i="15"/>
  <c r="Y502" i="15"/>
  <c r="V502" i="15"/>
  <c r="T502" i="15"/>
  <c r="AM501" i="15"/>
  <c r="AK501" i="15"/>
  <c r="AI501" i="15"/>
  <c r="AH501" i="15"/>
  <c r="AG501" i="15"/>
  <c r="AL501" i="15" s="1"/>
  <c r="AF501" i="15"/>
  <c r="AE501" i="15"/>
  <c r="AD501" i="15"/>
  <c r="Y501" i="15"/>
  <c r="V501" i="15"/>
  <c r="T501" i="15"/>
  <c r="AM500" i="15"/>
  <c r="AK500" i="15"/>
  <c r="AI500" i="15"/>
  <c r="AH500" i="15"/>
  <c r="AG500" i="15"/>
  <c r="AL500" i="15" s="1"/>
  <c r="AF500" i="15"/>
  <c r="AE500" i="15"/>
  <c r="AD500" i="15"/>
  <c r="Y500" i="15"/>
  <c r="V500" i="15"/>
  <c r="T500" i="15"/>
  <c r="AM499" i="15"/>
  <c r="AK499" i="15"/>
  <c r="AI499" i="15"/>
  <c r="AH499" i="15"/>
  <c r="AG499" i="15"/>
  <c r="AJ499" i="15" s="1"/>
  <c r="AF499" i="15"/>
  <c r="AE499" i="15"/>
  <c r="AD499" i="15"/>
  <c r="Y499" i="15"/>
  <c r="V499" i="15"/>
  <c r="T499" i="15"/>
  <c r="AM498" i="15"/>
  <c r="AK498" i="15"/>
  <c r="AI498" i="15"/>
  <c r="AH498" i="15"/>
  <c r="AG498" i="15"/>
  <c r="AL498" i="15" s="1"/>
  <c r="AF498" i="15"/>
  <c r="AE498" i="15"/>
  <c r="AD498" i="15"/>
  <c r="Y498" i="15"/>
  <c r="V498" i="15"/>
  <c r="T498" i="15"/>
  <c r="AM497" i="15"/>
  <c r="AK497" i="15"/>
  <c r="AI497" i="15"/>
  <c r="AH497" i="15"/>
  <c r="AG497" i="15"/>
  <c r="AL497" i="15" s="1"/>
  <c r="AF497" i="15"/>
  <c r="AE497" i="15"/>
  <c r="AD497" i="15"/>
  <c r="Y497" i="15"/>
  <c r="V497" i="15"/>
  <c r="T497" i="15"/>
  <c r="AM496" i="15"/>
  <c r="AK496" i="15"/>
  <c r="AI496" i="15"/>
  <c r="AH496" i="15"/>
  <c r="AG496" i="15"/>
  <c r="AL496" i="15" s="1"/>
  <c r="AF496" i="15"/>
  <c r="AE496" i="15"/>
  <c r="AD496" i="15"/>
  <c r="Y496" i="15"/>
  <c r="V496" i="15"/>
  <c r="T496" i="15"/>
  <c r="AM495" i="15"/>
  <c r="AK495" i="15"/>
  <c r="AI495" i="15"/>
  <c r="AH495" i="15"/>
  <c r="AG495" i="15"/>
  <c r="AL495" i="15" s="1"/>
  <c r="AF495" i="15"/>
  <c r="AE495" i="15"/>
  <c r="AD495" i="15"/>
  <c r="Y495" i="15"/>
  <c r="V495" i="15"/>
  <c r="T495" i="15"/>
  <c r="AM494" i="15"/>
  <c r="AK494" i="15"/>
  <c r="AI494" i="15"/>
  <c r="AH494" i="15"/>
  <c r="AG494" i="15"/>
  <c r="AL494" i="15" s="1"/>
  <c r="AF494" i="15"/>
  <c r="AE494" i="15"/>
  <c r="AD494" i="15"/>
  <c r="Y494" i="15"/>
  <c r="V494" i="15"/>
  <c r="T494" i="15"/>
  <c r="AM493" i="15"/>
  <c r="AK493" i="15"/>
  <c r="AI493" i="15"/>
  <c r="AH493" i="15"/>
  <c r="AG493" i="15"/>
  <c r="AJ493" i="15" s="1"/>
  <c r="AF493" i="15"/>
  <c r="AE493" i="15"/>
  <c r="AD493" i="15"/>
  <c r="Y493" i="15"/>
  <c r="V493" i="15"/>
  <c r="T493" i="15"/>
  <c r="AM492" i="15"/>
  <c r="AK492" i="15"/>
  <c r="AI492" i="15"/>
  <c r="AH492" i="15"/>
  <c r="AG492" i="15"/>
  <c r="AL492" i="15" s="1"/>
  <c r="AF492" i="15"/>
  <c r="AE492" i="15"/>
  <c r="AD492" i="15"/>
  <c r="Y492" i="15"/>
  <c r="V492" i="15"/>
  <c r="T492" i="15"/>
  <c r="AM491" i="15"/>
  <c r="AK491" i="15"/>
  <c r="AI491" i="15"/>
  <c r="AH491" i="15"/>
  <c r="AG491" i="15"/>
  <c r="AL491" i="15" s="1"/>
  <c r="AF491" i="15"/>
  <c r="AE491" i="15"/>
  <c r="AD491" i="15"/>
  <c r="Y491" i="15"/>
  <c r="V491" i="15"/>
  <c r="T491" i="15"/>
  <c r="AM490" i="15"/>
  <c r="AK490" i="15"/>
  <c r="AI490" i="15"/>
  <c r="AH490" i="15"/>
  <c r="AG490" i="15"/>
  <c r="AL490" i="15" s="1"/>
  <c r="AF490" i="15"/>
  <c r="AE490" i="15"/>
  <c r="AD490" i="15"/>
  <c r="Y490" i="15"/>
  <c r="V490" i="15"/>
  <c r="T490" i="15"/>
  <c r="AM489" i="15"/>
  <c r="AK489" i="15"/>
  <c r="AI489" i="15"/>
  <c r="AH489" i="15"/>
  <c r="AG489" i="15"/>
  <c r="AL489" i="15" s="1"/>
  <c r="AF489" i="15"/>
  <c r="AE489" i="15"/>
  <c r="AD489" i="15"/>
  <c r="Y489" i="15"/>
  <c r="V489" i="15"/>
  <c r="T489" i="15"/>
  <c r="AM488" i="15"/>
  <c r="AK488" i="15"/>
  <c r="AI488" i="15"/>
  <c r="AH488" i="15"/>
  <c r="AG488" i="15"/>
  <c r="AL488" i="15" s="1"/>
  <c r="AF488" i="15"/>
  <c r="AE488" i="15"/>
  <c r="AD488" i="15"/>
  <c r="Y488" i="15"/>
  <c r="V488" i="15"/>
  <c r="T488" i="15"/>
  <c r="AM487" i="15"/>
  <c r="AK487" i="15"/>
  <c r="AI487" i="15"/>
  <c r="AH487" i="15"/>
  <c r="AG487" i="15"/>
  <c r="AJ487" i="15" s="1"/>
  <c r="AF487" i="15"/>
  <c r="AE487" i="15"/>
  <c r="AD487" i="15"/>
  <c r="Y487" i="15"/>
  <c r="V487" i="15"/>
  <c r="T487" i="15"/>
  <c r="AM486" i="15"/>
  <c r="AK486" i="15"/>
  <c r="AI486" i="15"/>
  <c r="AH486" i="15"/>
  <c r="AG486" i="15"/>
  <c r="AL486" i="15" s="1"/>
  <c r="AF486" i="15"/>
  <c r="AE486" i="15"/>
  <c r="AD486" i="15"/>
  <c r="Y486" i="15"/>
  <c r="V486" i="15"/>
  <c r="T486" i="15"/>
  <c r="AM485" i="15"/>
  <c r="AK485" i="15"/>
  <c r="AI485" i="15"/>
  <c r="AH485" i="15"/>
  <c r="AG485" i="15"/>
  <c r="AL485" i="15" s="1"/>
  <c r="AF485" i="15"/>
  <c r="AE485" i="15"/>
  <c r="AD485" i="15"/>
  <c r="Y485" i="15"/>
  <c r="V485" i="15"/>
  <c r="T485" i="15"/>
  <c r="AM484" i="15"/>
  <c r="AK484" i="15"/>
  <c r="AI484" i="15"/>
  <c r="AH484" i="15"/>
  <c r="AG484" i="15"/>
  <c r="AL484" i="15" s="1"/>
  <c r="AF484" i="15"/>
  <c r="AE484" i="15"/>
  <c r="AD484" i="15"/>
  <c r="Y484" i="15"/>
  <c r="V484" i="15"/>
  <c r="T484" i="15"/>
  <c r="AM483" i="15"/>
  <c r="AK483" i="15"/>
  <c r="AI483" i="15"/>
  <c r="AH483" i="15"/>
  <c r="AG483" i="15"/>
  <c r="AL483" i="15" s="1"/>
  <c r="AF483" i="15"/>
  <c r="AE483" i="15"/>
  <c r="AD483" i="15"/>
  <c r="Y483" i="15"/>
  <c r="V483" i="15"/>
  <c r="T483" i="15"/>
  <c r="AM482" i="15"/>
  <c r="AK482" i="15"/>
  <c r="AI482" i="15"/>
  <c r="AH482" i="15"/>
  <c r="AG482" i="15"/>
  <c r="AL482" i="15" s="1"/>
  <c r="AF482" i="15"/>
  <c r="AE482" i="15"/>
  <c r="AD482" i="15"/>
  <c r="Y482" i="15"/>
  <c r="V482" i="15"/>
  <c r="T482" i="15"/>
  <c r="AM481" i="15"/>
  <c r="AK481" i="15"/>
  <c r="AI481" i="15"/>
  <c r="AH481" i="15"/>
  <c r="AG481" i="15"/>
  <c r="AJ481" i="15" s="1"/>
  <c r="AF481" i="15"/>
  <c r="AE481" i="15"/>
  <c r="AD481" i="15"/>
  <c r="Y481" i="15"/>
  <c r="V481" i="15"/>
  <c r="T481" i="15"/>
  <c r="AM480" i="15"/>
  <c r="AK480" i="15"/>
  <c r="AI480" i="15"/>
  <c r="AH480" i="15"/>
  <c r="AG480" i="15"/>
  <c r="AL480" i="15" s="1"/>
  <c r="AF480" i="15"/>
  <c r="AE480" i="15"/>
  <c r="AD480" i="15"/>
  <c r="Y480" i="15"/>
  <c r="V480" i="15"/>
  <c r="T480" i="15"/>
  <c r="AM479" i="15"/>
  <c r="AK479" i="15"/>
  <c r="AI479" i="15"/>
  <c r="AH479" i="15"/>
  <c r="AG479" i="15"/>
  <c r="AL479" i="15" s="1"/>
  <c r="AF479" i="15"/>
  <c r="AE479" i="15"/>
  <c r="AD479" i="15"/>
  <c r="Y479" i="15"/>
  <c r="V479" i="15"/>
  <c r="T479" i="15"/>
  <c r="AM478" i="15"/>
  <c r="AK478" i="15"/>
  <c r="AI478" i="15"/>
  <c r="AH478" i="15"/>
  <c r="AG478" i="15"/>
  <c r="AL478" i="15" s="1"/>
  <c r="AF478" i="15"/>
  <c r="AE478" i="15"/>
  <c r="AD478" i="15"/>
  <c r="Y478" i="15"/>
  <c r="V478" i="15"/>
  <c r="T478" i="15"/>
  <c r="AM477" i="15"/>
  <c r="AK477" i="15"/>
  <c r="AI477" i="15"/>
  <c r="AH477" i="15"/>
  <c r="AG477" i="15"/>
  <c r="AL477" i="15" s="1"/>
  <c r="AF477" i="15"/>
  <c r="AE477" i="15"/>
  <c r="AD477" i="15"/>
  <c r="Y477" i="15"/>
  <c r="V477" i="15"/>
  <c r="T477" i="15"/>
  <c r="AM476" i="15"/>
  <c r="AK476" i="15"/>
  <c r="AI476" i="15"/>
  <c r="AH476" i="15"/>
  <c r="AG476" i="15"/>
  <c r="AL476" i="15" s="1"/>
  <c r="AF476" i="15"/>
  <c r="AE476" i="15"/>
  <c r="AD476" i="15"/>
  <c r="Y476" i="15"/>
  <c r="V476" i="15"/>
  <c r="T476" i="15"/>
  <c r="AM475" i="15"/>
  <c r="AK475" i="15"/>
  <c r="AI475" i="15"/>
  <c r="AH475" i="15"/>
  <c r="AG475" i="15"/>
  <c r="AF475" i="15"/>
  <c r="AE475" i="15"/>
  <c r="AD475" i="15"/>
  <c r="Y475" i="15"/>
  <c r="V475" i="15"/>
  <c r="T475" i="15"/>
  <c r="AM474" i="15"/>
  <c r="AK474" i="15"/>
  <c r="AI474" i="15"/>
  <c r="AH474" i="15"/>
  <c r="AG474" i="15"/>
  <c r="AL474" i="15" s="1"/>
  <c r="AF474" i="15"/>
  <c r="AE474" i="15"/>
  <c r="AD474" i="15"/>
  <c r="Y474" i="15"/>
  <c r="V474" i="15"/>
  <c r="T474" i="15"/>
  <c r="AM473" i="15"/>
  <c r="AK473" i="15"/>
  <c r="AI473" i="15"/>
  <c r="AH473" i="15"/>
  <c r="AG473" i="15"/>
  <c r="AF473" i="15"/>
  <c r="AE473" i="15"/>
  <c r="AD473" i="15"/>
  <c r="Y473" i="15"/>
  <c r="V473" i="15"/>
  <c r="T473" i="15"/>
  <c r="AM472" i="15"/>
  <c r="AK472" i="15"/>
  <c r="AI472" i="15"/>
  <c r="AH472" i="15"/>
  <c r="AG472" i="15"/>
  <c r="AF472" i="15"/>
  <c r="AE472" i="15"/>
  <c r="AD472" i="15"/>
  <c r="Y472" i="15"/>
  <c r="V472" i="15"/>
  <c r="T472" i="15"/>
  <c r="AM471" i="15"/>
  <c r="AK471" i="15"/>
  <c r="AI471" i="15"/>
  <c r="AH471" i="15"/>
  <c r="AG471" i="15"/>
  <c r="AL471" i="15" s="1"/>
  <c r="AF471" i="15"/>
  <c r="AE471" i="15"/>
  <c r="AD471" i="15"/>
  <c r="Y471" i="15"/>
  <c r="V471" i="15"/>
  <c r="T471" i="15"/>
  <c r="AM470" i="15"/>
  <c r="AK470" i="15"/>
  <c r="AI470" i="15"/>
  <c r="AH470" i="15"/>
  <c r="AG470" i="15"/>
  <c r="AL470" i="15" s="1"/>
  <c r="AF470" i="15"/>
  <c r="AE470" i="15"/>
  <c r="AD470" i="15"/>
  <c r="Y470" i="15"/>
  <c r="V470" i="15"/>
  <c r="T470" i="15"/>
  <c r="AM469" i="15"/>
  <c r="AK469" i="15"/>
  <c r="AI469" i="15"/>
  <c r="AH469" i="15"/>
  <c r="AG469" i="15"/>
  <c r="AF469" i="15"/>
  <c r="AE469" i="15"/>
  <c r="AD469" i="15"/>
  <c r="Y469" i="15"/>
  <c r="V469" i="15"/>
  <c r="T469" i="15"/>
  <c r="AM468" i="15"/>
  <c r="AK468" i="15"/>
  <c r="AI468" i="15"/>
  <c r="AH468" i="15"/>
  <c r="AG468" i="15"/>
  <c r="AF468" i="15"/>
  <c r="AE468" i="15"/>
  <c r="AD468" i="15"/>
  <c r="Y468" i="15"/>
  <c r="V468" i="15"/>
  <c r="T468" i="15"/>
  <c r="AM467" i="15"/>
  <c r="AK467" i="15"/>
  <c r="AI467" i="15"/>
  <c r="AH467" i="15"/>
  <c r="AG467" i="15"/>
  <c r="AF467" i="15"/>
  <c r="AE467" i="15"/>
  <c r="AD467" i="15"/>
  <c r="Y467" i="15"/>
  <c r="V467" i="15"/>
  <c r="T467" i="15"/>
  <c r="AM466" i="15"/>
  <c r="AK466" i="15"/>
  <c r="AI466" i="15"/>
  <c r="AH466" i="15"/>
  <c r="AG466" i="15"/>
  <c r="AF466" i="15"/>
  <c r="AE466" i="15"/>
  <c r="AD466" i="15"/>
  <c r="Y466" i="15"/>
  <c r="V466" i="15"/>
  <c r="T466" i="15"/>
  <c r="AM465" i="15"/>
  <c r="AK465" i="15"/>
  <c r="AI465" i="15"/>
  <c r="AH465" i="15"/>
  <c r="AG465" i="15"/>
  <c r="AL465" i="15" s="1"/>
  <c r="AF465" i="15"/>
  <c r="AE465" i="15"/>
  <c r="AD465" i="15"/>
  <c r="Y465" i="15"/>
  <c r="V465" i="15"/>
  <c r="T465" i="15"/>
  <c r="AM464" i="15"/>
  <c r="AK464" i="15"/>
  <c r="AI464" i="15"/>
  <c r="AH464" i="15"/>
  <c r="AG464" i="15"/>
  <c r="AL464" i="15" s="1"/>
  <c r="AF464" i="15"/>
  <c r="AE464" i="15"/>
  <c r="AD464" i="15"/>
  <c r="Y464" i="15"/>
  <c r="V464" i="15"/>
  <c r="T464" i="15"/>
  <c r="AM463" i="15"/>
  <c r="AK463" i="15"/>
  <c r="AI463" i="15"/>
  <c r="AH463" i="15"/>
  <c r="AG463" i="15"/>
  <c r="AF463" i="15"/>
  <c r="AE463" i="15"/>
  <c r="AD463" i="15"/>
  <c r="Y463" i="15"/>
  <c r="V463" i="15"/>
  <c r="T463" i="15"/>
  <c r="AM462" i="15"/>
  <c r="AK462" i="15"/>
  <c r="AI462" i="15"/>
  <c r="AH462" i="15"/>
  <c r="AG462" i="15"/>
  <c r="AF462" i="15"/>
  <c r="AE462" i="15"/>
  <c r="AD462" i="15"/>
  <c r="Y462" i="15"/>
  <c r="V462" i="15"/>
  <c r="T462" i="15"/>
  <c r="AM461" i="15"/>
  <c r="AK461" i="15"/>
  <c r="AI461" i="15"/>
  <c r="AH461" i="15"/>
  <c r="AG461" i="15"/>
  <c r="AF461" i="15"/>
  <c r="AE461" i="15"/>
  <c r="AD461" i="15"/>
  <c r="Y461" i="15"/>
  <c r="V461" i="15"/>
  <c r="T461" i="15"/>
  <c r="AM460" i="15"/>
  <c r="AK460" i="15"/>
  <c r="AI460" i="15"/>
  <c r="AH460" i="15"/>
  <c r="AG460" i="15"/>
  <c r="AF460" i="15"/>
  <c r="AE460" i="15"/>
  <c r="AD460" i="15"/>
  <c r="Y460" i="15"/>
  <c r="V460" i="15"/>
  <c r="T460" i="15"/>
  <c r="AM459" i="15"/>
  <c r="AK459" i="15"/>
  <c r="AI459" i="15"/>
  <c r="AH459" i="15"/>
  <c r="AF459" i="15"/>
  <c r="AG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AN458" i="15" s="1"/>
  <c r="Y458" i="15"/>
  <c r="V458" i="15"/>
  <c r="T458" i="15"/>
  <c r="AM457" i="15"/>
  <c r="AK457" i="15"/>
  <c r="AH457" i="15"/>
  <c r="AI457" i="15" s="1"/>
  <c r="AJ457" i="15" s="1"/>
  <c r="AG457" i="15"/>
  <c r="AF457" i="15"/>
  <c r="AE457" i="15"/>
  <c r="AD457" i="15"/>
  <c r="Y457" i="15"/>
  <c r="V457" i="15"/>
  <c r="T457" i="15"/>
  <c r="AM456" i="15"/>
  <c r="AK456" i="15"/>
  <c r="AI456" i="15"/>
  <c r="AH456" i="15"/>
  <c r="AF456" i="15"/>
  <c r="AG456" i="15" s="1"/>
  <c r="AE456" i="15"/>
  <c r="AD456" i="15"/>
  <c r="Y456" i="15"/>
  <c r="V456" i="15"/>
  <c r="T456" i="15"/>
  <c r="AM455" i="15"/>
  <c r="AK455" i="15"/>
  <c r="AH455" i="15"/>
  <c r="AI455" i="15" s="1"/>
  <c r="AG455" i="15"/>
  <c r="AL455" i="15" s="1"/>
  <c r="AF455" i="15"/>
  <c r="AE455" i="15"/>
  <c r="AD455" i="15"/>
  <c r="Y455" i="15"/>
  <c r="V455" i="15"/>
  <c r="T455" i="15"/>
  <c r="AM454" i="15"/>
  <c r="AK454" i="15"/>
  <c r="AH454" i="15"/>
  <c r="AI454" i="15" s="1"/>
  <c r="AG454" i="15"/>
  <c r="AF454" i="15"/>
  <c r="AE454" i="15"/>
  <c r="AD454" i="15"/>
  <c r="Y454" i="15"/>
  <c r="V454" i="15"/>
  <c r="T454" i="15"/>
  <c r="AM453" i="15"/>
  <c r="AK453" i="15"/>
  <c r="AI453" i="15"/>
  <c r="AH453" i="15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F452" i="15"/>
  <c r="AG452" i="15" s="1"/>
  <c r="AE452" i="15"/>
  <c r="AD452" i="15"/>
  <c r="Y452" i="15"/>
  <c r="V452" i="15"/>
  <c r="T452" i="15"/>
  <c r="AM451" i="15"/>
  <c r="AK451" i="15"/>
  <c r="AH451" i="15"/>
  <c r="AI451" i="15" s="1"/>
  <c r="AJ451" i="15" s="1"/>
  <c r="AG451" i="15"/>
  <c r="AL451" i="15" s="1"/>
  <c r="AF451" i="15"/>
  <c r="AE451" i="15"/>
  <c r="AD451" i="15"/>
  <c r="Y451" i="15"/>
  <c r="V451" i="15"/>
  <c r="T451" i="15"/>
  <c r="AM450" i="15"/>
  <c r="AK450" i="15"/>
  <c r="AI450" i="15"/>
  <c r="AH450" i="15"/>
  <c r="AF450" i="15"/>
  <c r="AG450" i="15" s="1"/>
  <c r="AE450" i="15"/>
  <c r="AD450" i="15"/>
  <c r="Y450" i="15"/>
  <c r="V450" i="15"/>
  <c r="T450" i="15"/>
  <c r="AM449" i="15"/>
  <c r="AK449" i="15"/>
  <c r="AH449" i="15"/>
  <c r="AI449" i="15" s="1"/>
  <c r="AL449" i="15" s="1"/>
  <c r="AG449" i="15"/>
  <c r="AF449" i="15"/>
  <c r="AE449" i="15"/>
  <c r="AD449" i="15"/>
  <c r="AN449" i="15" s="1"/>
  <c r="Y449" i="15"/>
  <c r="V449" i="15"/>
  <c r="T449" i="15"/>
  <c r="AM448" i="15"/>
  <c r="AK448" i="15"/>
  <c r="AH448" i="15"/>
  <c r="AI448" i="15" s="1"/>
  <c r="AG448" i="15"/>
  <c r="AF448" i="15"/>
  <c r="AE448" i="15"/>
  <c r="AD448" i="15"/>
  <c r="Y448" i="15"/>
  <c r="V448" i="15"/>
  <c r="T448" i="15"/>
  <c r="AM447" i="15"/>
  <c r="AK447" i="15"/>
  <c r="AI447" i="15"/>
  <c r="AH447" i="15"/>
  <c r="AF447" i="15"/>
  <c r="AG447" i="15" s="1"/>
  <c r="AE447" i="15"/>
  <c r="AD447" i="15"/>
  <c r="Y447" i="15"/>
  <c r="V447" i="15"/>
  <c r="T447" i="15"/>
  <c r="AN446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H445" i="15"/>
  <c r="AI445" i="15" s="1"/>
  <c r="AJ445" i="15" s="1"/>
  <c r="AG445" i="15"/>
  <c r="AL445" i="15" s="1"/>
  <c r="AF445" i="15"/>
  <c r="AE445" i="15"/>
  <c r="AD445" i="15"/>
  <c r="Y445" i="15"/>
  <c r="V445" i="15"/>
  <c r="T445" i="15"/>
  <c r="AM444" i="15"/>
  <c r="AK444" i="15"/>
  <c r="AI444" i="15"/>
  <c r="AH444" i="15"/>
  <c r="AF444" i="15"/>
  <c r="AG444" i="15" s="1"/>
  <c r="AE444" i="15"/>
  <c r="AD444" i="15"/>
  <c r="Y444" i="15"/>
  <c r="V444" i="15"/>
  <c r="T444" i="15"/>
  <c r="AM443" i="15"/>
  <c r="AK443" i="15"/>
  <c r="AH443" i="15"/>
  <c r="AI443" i="15" s="1"/>
  <c r="AL443" i="15" s="1"/>
  <c r="AG443" i="15"/>
  <c r="AJ443" i="15" s="1"/>
  <c r="AF443" i="15"/>
  <c r="AE443" i="15"/>
  <c r="AD443" i="15"/>
  <c r="AN443" i="15" s="1"/>
  <c r="Y443" i="15"/>
  <c r="V443" i="15"/>
  <c r="T443" i="15"/>
  <c r="AM442" i="15"/>
  <c r="AK442" i="15"/>
  <c r="AH442" i="15"/>
  <c r="AI442" i="15" s="1"/>
  <c r="AG442" i="15"/>
  <c r="AF442" i="15"/>
  <c r="AE442" i="15"/>
  <c r="AD442" i="15"/>
  <c r="Y442" i="15"/>
  <c r="V442" i="15"/>
  <c r="T442" i="15"/>
  <c r="AM441" i="15"/>
  <c r="AK441" i="15"/>
  <c r="AI441" i="15"/>
  <c r="AH441" i="15"/>
  <c r="AF441" i="15"/>
  <c r="AG441" i="15" s="1"/>
  <c r="AE441" i="15"/>
  <c r="AD441" i="15"/>
  <c r="Y441" i="15"/>
  <c r="V441" i="15"/>
  <c r="T441" i="15"/>
  <c r="AM440" i="15"/>
  <c r="AK440" i="15"/>
  <c r="AH440" i="15"/>
  <c r="AI440" i="15" s="1"/>
  <c r="AF440" i="15"/>
  <c r="AG440" i="15" s="1"/>
  <c r="AE440" i="15"/>
  <c r="AD440" i="15"/>
  <c r="AN440" i="15" s="1"/>
  <c r="Y440" i="15"/>
  <c r="V440" i="15"/>
  <c r="T440" i="15"/>
  <c r="AM439" i="15"/>
  <c r="AK439" i="15"/>
  <c r="AH439" i="15"/>
  <c r="AI439" i="15" s="1"/>
  <c r="AJ439" i="15" s="1"/>
  <c r="AG439" i="15"/>
  <c r="AL439" i="15" s="1"/>
  <c r="AF439" i="15"/>
  <c r="AE439" i="15"/>
  <c r="AD439" i="15"/>
  <c r="Y439" i="15"/>
  <c r="V439" i="15"/>
  <c r="T439" i="15"/>
  <c r="AM438" i="15"/>
  <c r="AK438" i="15"/>
  <c r="AI438" i="15"/>
  <c r="AH438" i="15"/>
  <c r="AF438" i="15"/>
  <c r="AG438" i="15" s="1"/>
  <c r="AE438" i="15"/>
  <c r="AD438" i="15"/>
  <c r="Y438" i="15"/>
  <c r="V438" i="15"/>
  <c r="T438" i="15"/>
  <c r="AM437" i="15"/>
  <c r="AK437" i="15"/>
  <c r="AH437" i="15"/>
  <c r="AI437" i="15" s="1"/>
  <c r="AF437" i="15"/>
  <c r="AG437" i="15" s="1"/>
  <c r="AE437" i="15"/>
  <c r="AD437" i="15"/>
  <c r="Y437" i="15"/>
  <c r="V437" i="15"/>
  <c r="T437" i="15"/>
  <c r="AM436" i="15"/>
  <c r="AK436" i="15"/>
  <c r="AH436" i="15"/>
  <c r="AI436" i="15" s="1"/>
  <c r="AG436" i="15"/>
  <c r="AF436" i="15"/>
  <c r="AE436" i="15"/>
  <c r="AD436" i="15"/>
  <c r="Y436" i="15"/>
  <c r="V436" i="15"/>
  <c r="T436" i="15"/>
  <c r="AM435" i="15"/>
  <c r="AK435" i="15"/>
  <c r="AI435" i="15"/>
  <c r="AH435" i="15"/>
  <c r="AF435" i="15"/>
  <c r="AG435" i="15" s="1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AN434" i="15" s="1"/>
  <c r="Y434" i="15"/>
  <c r="V434" i="15"/>
  <c r="T434" i="15"/>
  <c r="AM433" i="15"/>
  <c r="AK433" i="15"/>
  <c r="AH433" i="15"/>
  <c r="AI433" i="15" s="1"/>
  <c r="AJ433" i="15" s="1"/>
  <c r="AG433" i="15"/>
  <c r="AL433" i="15" s="1"/>
  <c r="AF433" i="15"/>
  <c r="AE433" i="15"/>
  <c r="AD433" i="15"/>
  <c r="Y433" i="15"/>
  <c r="V433" i="15"/>
  <c r="T433" i="15"/>
  <c r="AM432" i="15"/>
  <c r="AK432" i="15"/>
  <c r="AI432" i="15"/>
  <c r="AH432" i="15"/>
  <c r="AF432" i="15"/>
  <c r="AG432" i="15" s="1"/>
  <c r="AE432" i="15"/>
  <c r="AD432" i="15"/>
  <c r="Y432" i="15"/>
  <c r="V432" i="15"/>
  <c r="T432" i="15"/>
  <c r="AM431" i="15"/>
  <c r="AK431" i="15"/>
  <c r="AH431" i="15"/>
  <c r="AI431" i="15" s="1"/>
  <c r="AF431" i="15"/>
  <c r="AG431" i="15" s="1"/>
  <c r="AE431" i="15"/>
  <c r="AD431" i="15"/>
  <c r="AN431" i="15" s="1"/>
  <c r="Y431" i="15"/>
  <c r="V431" i="15"/>
  <c r="T431" i="15"/>
  <c r="AM430" i="15"/>
  <c r="AK430" i="15"/>
  <c r="AH430" i="15"/>
  <c r="AI430" i="15" s="1"/>
  <c r="AG430" i="15"/>
  <c r="AF430" i="15"/>
  <c r="AE430" i="15"/>
  <c r="AD430" i="15"/>
  <c r="Y430" i="15"/>
  <c r="V430" i="15"/>
  <c r="T430" i="15"/>
  <c r="AM429" i="15"/>
  <c r="AK429" i="15"/>
  <c r="AI429" i="15"/>
  <c r="AH429" i="15"/>
  <c r="AF429" i="15"/>
  <c r="AG429" i="15" s="1"/>
  <c r="AE429" i="15"/>
  <c r="AD429" i="15"/>
  <c r="Y429" i="15"/>
  <c r="V429" i="15"/>
  <c r="T429" i="15"/>
  <c r="AM428" i="15"/>
  <c r="AK428" i="15"/>
  <c r="AH428" i="15"/>
  <c r="AI428" i="15" s="1"/>
  <c r="AF428" i="15"/>
  <c r="AG428" i="15" s="1"/>
  <c r="AE428" i="15"/>
  <c r="AD428" i="15"/>
  <c r="Y428" i="15"/>
  <c r="V428" i="15"/>
  <c r="T428" i="15"/>
  <c r="AM427" i="15"/>
  <c r="AK427" i="15"/>
  <c r="AH427" i="15"/>
  <c r="AI427" i="15" s="1"/>
  <c r="AJ427" i="15" s="1"/>
  <c r="AG427" i="15"/>
  <c r="AL427" i="15" s="1"/>
  <c r="AF427" i="15"/>
  <c r="AE427" i="15"/>
  <c r="AD427" i="15"/>
  <c r="Y427" i="15"/>
  <c r="V427" i="15"/>
  <c r="T427" i="15"/>
  <c r="AM426" i="15"/>
  <c r="AK426" i="15"/>
  <c r="AI426" i="15"/>
  <c r="AH426" i="15"/>
  <c r="AF426" i="15"/>
  <c r="AG426" i="15" s="1"/>
  <c r="AE426" i="15"/>
  <c r="AD426" i="15"/>
  <c r="Y426" i="15"/>
  <c r="V426" i="15"/>
  <c r="T426" i="15"/>
  <c r="AM425" i="15"/>
  <c r="AK425" i="15"/>
  <c r="AH425" i="15"/>
  <c r="AI425" i="15" s="1"/>
  <c r="AF425" i="15"/>
  <c r="AG425" i="15" s="1"/>
  <c r="AE425" i="15"/>
  <c r="AD425" i="15"/>
  <c r="AN425" i="15" s="1"/>
  <c r="Y425" i="15"/>
  <c r="V425" i="15"/>
  <c r="T425" i="15"/>
  <c r="AM424" i="15"/>
  <c r="AK424" i="15"/>
  <c r="AH424" i="15"/>
  <c r="AI424" i="15" s="1"/>
  <c r="AG424" i="15"/>
  <c r="AF424" i="15"/>
  <c r="AE424" i="15"/>
  <c r="AD424" i="15"/>
  <c r="Y424" i="15"/>
  <c r="V424" i="15"/>
  <c r="T424" i="15"/>
  <c r="AM423" i="15"/>
  <c r="AK423" i="15"/>
  <c r="AI423" i="15"/>
  <c r="AH423" i="15"/>
  <c r="AF423" i="15"/>
  <c r="AG423" i="15" s="1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H421" i="15"/>
  <c r="AI421" i="15" s="1"/>
  <c r="AJ421" i="15" s="1"/>
  <c r="AG421" i="15"/>
  <c r="AL421" i="15" s="1"/>
  <c r="AF421" i="15"/>
  <c r="AE421" i="15"/>
  <c r="AD421" i="15"/>
  <c r="Y421" i="15"/>
  <c r="V421" i="15"/>
  <c r="T421" i="15"/>
  <c r="AM420" i="15"/>
  <c r="AK420" i="15"/>
  <c r="AI420" i="15"/>
  <c r="AH420" i="15"/>
  <c r="AF420" i="15"/>
  <c r="AG420" i="15" s="1"/>
  <c r="AE420" i="15"/>
  <c r="AD420" i="15"/>
  <c r="Y420" i="15"/>
  <c r="V420" i="15"/>
  <c r="T420" i="15"/>
  <c r="AM419" i="15"/>
  <c r="AK419" i="15"/>
  <c r="AH419" i="15"/>
  <c r="AI419" i="15" s="1"/>
  <c r="AF419" i="15"/>
  <c r="AG419" i="15" s="1"/>
  <c r="AE419" i="15"/>
  <c r="AD419" i="15"/>
  <c r="AN419" i="15" s="1"/>
  <c r="Y419" i="15"/>
  <c r="V419" i="15"/>
  <c r="T419" i="15"/>
  <c r="AM418" i="15"/>
  <c r="AK418" i="15"/>
  <c r="AH418" i="15"/>
  <c r="AI418" i="15" s="1"/>
  <c r="AG418" i="15"/>
  <c r="AF418" i="15"/>
  <c r="AE418" i="15"/>
  <c r="AD418" i="15"/>
  <c r="Y418" i="15"/>
  <c r="V418" i="15"/>
  <c r="T418" i="15"/>
  <c r="AM417" i="15"/>
  <c r="AK417" i="15"/>
  <c r="AI417" i="15"/>
  <c r="AH417" i="15"/>
  <c r="AF417" i="15"/>
  <c r="AG417" i="15" s="1"/>
  <c r="AE417" i="15"/>
  <c r="AD417" i="15"/>
  <c r="Y417" i="15"/>
  <c r="V417" i="15"/>
  <c r="T417" i="15"/>
  <c r="AM416" i="15"/>
  <c r="AK416" i="15"/>
  <c r="AH416" i="15"/>
  <c r="AI416" i="15" s="1"/>
  <c r="AF416" i="15"/>
  <c r="AG416" i="15" s="1"/>
  <c r="AE416" i="15"/>
  <c r="AD416" i="15"/>
  <c r="AN416" i="15" s="1"/>
  <c r="Y416" i="15"/>
  <c r="V416" i="15"/>
  <c r="T416" i="15"/>
  <c r="AM415" i="15"/>
  <c r="AK415" i="15"/>
  <c r="AH415" i="15"/>
  <c r="AI415" i="15" s="1"/>
  <c r="AJ415" i="15" s="1"/>
  <c r="AG415" i="15"/>
  <c r="AL415" i="15" s="1"/>
  <c r="AF415" i="15"/>
  <c r="AE415" i="15"/>
  <c r="AD415" i="15"/>
  <c r="Y415" i="15"/>
  <c r="V415" i="15"/>
  <c r="T415" i="15"/>
  <c r="AM414" i="15"/>
  <c r="AK414" i="15"/>
  <c r="AI414" i="15"/>
  <c r="AH414" i="15"/>
  <c r="AF414" i="15"/>
  <c r="AG414" i="15" s="1"/>
  <c r="AE414" i="15"/>
  <c r="AD414" i="15"/>
  <c r="Y414" i="15"/>
  <c r="V414" i="15"/>
  <c r="T414" i="15"/>
  <c r="AM413" i="15"/>
  <c r="AK413" i="15"/>
  <c r="AH413" i="15"/>
  <c r="AI413" i="15" s="1"/>
  <c r="AF413" i="15"/>
  <c r="AG413" i="15" s="1"/>
  <c r="AE413" i="15"/>
  <c r="AD413" i="15"/>
  <c r="Y413" i="15"/>
  <c r="V413" i="15"/>
  <c r="T413" i="15"/>
  <c r="AM412" i="15"/>
  <c r="AK412" i="15"/>
  <c r="AH412" i="15"/>
  <c r="AI412" i="15" s="1"/>
  <c r="AG412" i="15"/>
  <c r="AF412" i="15"/>
  <c r="AE412" i="15"/>
  <c r="AD412" i="15"/>
  <c r="Y412" i="15"/>
  <c r="V412" i="15"/>
  <c r="T412" i="15"/>
  <c r="AM411" i="15"/>
  <c r="AK411" i="15"/>
  <c r="AI411" i="15"/>
  <c r="AH411" i="15"/>
  <c r="AF411" i="15"/>
  <c r="AG411" i="15" s="1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AN410" i="15" s="1"/>
  <c r="Y410" i="15"/>
  <c r="V410" i="15"/>
  <c r="T410" i="15"/>
  <c r="AM409" i="15"/>
  <c r="AK409" i="15"/>
  <c r="AH409" i="15"/>
  <c r="AI409" i="15" s="1"/>
  <c r="AJ409" i="15" s="1"/>
  <c r="AG409" i="15"/>
  <c r="AF409" i="15"/>
  <c r="AE409" i="15"/>
  <c r="AD409" i="15"/>
  <c r="Y409" i="15"/>
  <c r="V409" i="15"/>
  <c r="T409" i="15"/>
  <c r="AM408" i="15"/>
  <c r="AK408" i="15"/>
  <c r="AI408" i="15"/>
  <c r="AH408" i="15"/>
  <c r="AF408" i="15"/>
  <c r="AG408" i="15" s="1"/>
  <c r="AE408" i="15"/>
  <c r="AD408" i="15"/>
  <c r="AN408" i="15" s="1"/>
  <c r="Y408" i="15"/>
  <c r="V408" i="15"/>
  <c r="T408" i="15"/>
  <c r="AM407" i="15"/>
  <c r="AK407" i="15"/>
  <c r="AH407" i="15"/>
  <c r="AI407" i="15" s="1"/>
  <c r="AF407" i="15"/>
  <c r="AG407" i="15" s="1"/>
  <c r="AE407" i="15"/>
  <c r="AD407" i="15"/>
  <c r="Y407" i="15"/>
  <c r="V407" i="15"/>
  <c r="T407" i="15"/>
  <c r="AM406" i="15"/>
  <c r="AK406" i="15"/>
  <c r="AH406" i="15"/>
  <c r="AI406" i="15" s="1"/>
  <c r="AG406" i="15"/>
  <c r="AF406" i="15"/>
  <c r="AE406" i="15"/>
  <c r="AD406" i="15"/>
  <c r="Y406" i="15"/>
  <c r="V406" i="15"/>
  <c r="T406" i="15"/>
  <c r="AM405" i="15"/>
  <c r="AK405" i="15"/>
  <c r="AI405" i="15"/>
  <c r="AH405" i="15"/>
  <c r="AF405" i="15"/>
  <c r="AG405" i="15" s="1"/>
  <c r="AE405" i="15"/>
  <c r="AD405" i="15"/>
  <c r="AN405" i="15" s="1"/>
  <c r="Y405" i="15"/>
  <c r="V405" i="15"/>
  <c r="T405" i="15"/>
  <c r="AM404" i="15"/>
  <c r="AK404" i="15"/>
  <c r="AH404" i="15"/>
  <c r="AI404" i="15" s="1"/>
  <c r="AF404" i="15"/>
  <c r="AG404" i="15" s="1"/>
  <c r="AE404" i="15"/>
  <c r="AD404" i="15"/>
  <c r="Y404" i="15"/>
  <c r="V404" i="15"/>
  <c r="T404" i="15"/>
  <c r="AM403" i="15"/>
  <c r="AK403" i="15"/>
  <c r="AH403" i="15"/>
  <c r="AI403" i="15" s="1"/>
  <c r="AJ403" i="15" s="1"/>
  <c r="AG403" i="15"/>
  <c r="AL403" i="15" s="1"/>
  <c r="AF403" i="15"/>
  <c r="AE403" i="15"/>
  <c r="AD403" i="15"/>
  <c r="Y403" i="15"/>
  <c r="V403" i="15"/>
  <c r="T403" i="15"/>
  <c r="AM402" i="15"/>
  <c r="AK402" i="15"/>
  <c r="AI402" i="15"/>
  <c r="AH402" i="15"/>
  <c r="AF402" i="15"/>
  <c r="AG402" i="15" s="1"/>
  <c r="AE402" i="15"/>
  <c r="AD402" i="15"/>
  <c r="Y402" i="15"/>
  <c r="V402" i="15"/>
  <c r="T402" i="15"/>
  <c r="AM401" i="15"/>
  <c r="AK401" i="15"/>
  <c r="AH401" i="15"/>
  <c r="AI401" i="15" s="1"/>
  <c r="AF401" i="15"/>
  <c r="AG401" i="15" s="1"/>
  <c r="AE401" i="15"/>
  <c r="AD401" i="15"/>
  <c r="Y401" i="15"/>
  <c r="V401" i="15"/>
  <c r="T401" i="15"/>
  <c r="AM400" i="15"/>
  <c r="AK400" i="15"/>
  <c r="AH400" i="15"/>
  <c r="AI400" i="15" s="1"/>
  <c r="AG400" i="15"/>
  <c r="AF400" i="15"/>
  <c r="AE400" i="15"/>
  <c r="AD400" i="15"/>
  <c r="Y400" i="15"/>
  <c r="V400" i="15"/>
  <c r="T400" i="15"/>
  <c r="AM399" i="15"/>
  <c r="AK399" i="15"/>
  <c r="AI399" i="15"/>
  <c r="AH399" i="15"/>
  <c r="AF399" i="15"/>
  <c r="AG399" i="15" s="1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H397" i="15"/>
  <c r="AI397" i="15" s="1"/>
  <c r="AJ397" i="15" s="1"/>
  <c r="AG397" i="15"/>
  <c r="AF397" i="15"/>
  <c r="AE397" i="15"/>
  <c r="AD397" i="15"/>
  <c r="Y397" i="15"/>
  <c r="V397" i="15"/>
  <c r="T397" i="15"/>
  <c r="AM396" i="15"/>
  <c r="AK396" i="15"/>
  <c r="AI396" i="15"/>
  <c r="AH396" i="15"/>
  <c r="AF396" i="15"/>
  <c r="AG396" i="15" s="1"/>
  <c r="AE396" i="15"/>
  <c r="AD396" i="15"/>
  <c r="AN396" i="15" s="1"/>
  <c r="Y396" i="15"/>
  <c r="V396" i="15"/>
  <c r="T396" i="15"/>
  <c r="AM395" i="15"/>
  <c r="AK395" i="15"/>
  <c r="AH395" i="15"/>
  <c r="AI395" i="15" s="1"/>
  <c r="AF395" i="15"/>
  <c r="AG395" i="15" s="1"/>
  <c r="AE395" i="15"/>
  <c r="AD395" i="15"/>
  <c r="AN395" i="15" s="1"/>
  <c r="Y395" i="15"/>
  <c r="V395" i="15"/>
  <c r="T395" i="15"/>
  <c r="AM394" i="15"/>
  <c r="AK394" i="15"/>
  <c r="AH394" i="15"/>
  <c r="AI394" i="15" s="1"/>
  <c r="AG394" i="15"/>
  <c r="AF394" i="15"/>
  <c r="AE394" i="15"/>
  <c r="AD394" i="15"/>
  <c r="Y394" i="15"/>
  <c r="V394" i="15"/>
  <c r="T394" i="15"/>
  <c r="AM393" i="15"/>
  <c r="AK393" i="15"/>
  <c r="AI393" i="15"/>
  <c r="AH393" i="15"/>
  <c r="AF393" i="15"/>
  <c r="AG393" i="15" s="1"/>
  <c r="AE393" i="15"/>
  <c r="AD393" i="15"/>
  <c r="AN393" i="15" s="1"/>
  <c r="Y393" i="15"/>
  <c r="V393" i="15"/>
  <c r="T393" i="15"/>
  <c r="AM392" i="15"/>
  <c r="AK392" i="15"/>
  <c r="AH392" i="15"/>
  <c r="AI392" i="15" s="1"/>
  <c r="AF392" i="15"/>
  <c r="AG392" i="15" s="1"/>
  <c r="AE392" i="15"/>
  <c r="AD392" i="15"/>
  <c r="Y392" i="15"/>
  <c r="V392" i="15"/>
  <c r="T392" i="15"/>
  <c r="AM391" i="15"/>
  <c r="AK391" i="15"/>
  <c r="AH391" i="15"/>
  <c r="AI391" i="15" s="1"/>
  <c r="AJ391" i="15" s="1"/>
  <c r="AG391" i="15"/>
  <c r="AF391" i="15"/>
  <c r="AE391" i="15"/>
  <c r="AD391" i="15"/>
  <c r="Y391" i="15"/>
  <c r="V391" i="15"/>
  <c r="T391" i="15"/>
  <c r="AM390" i="15"/>
  <c r="AK390" i="15"/>
  <c r="AI390" i="15"/>
  <c r="AH390" i="15"/>
  <c r="AF390" i="15"/>
  <c r="AG390" i="15" s="1"/>
  <c r="AE390" i="15"/>
  <c r="AD390" i="15"/>
  <c r="AN390" i="15" s="1"/>
  <c r="Y390" i="15"/>
  <c r="V390" i="15"/>
  <c r="T390" i="15"/>
  <c r="AM389" i="15"/>
  <c r="AK389" i="15"/>
  <c r="AH389" i="15"/>
  <c r="AI389" i="15" s="1"/>
  <c r="AF389" i="15"/>
  <c r="AG389" i="15" s="1"/>
  <c r="AE389" i="15"/>
  <c r="AD389" i="15"/>
  <c r="Y389" i="15"/>
  <c r="V389" i="15"/>
  <c r="T389" i="15"/>
  <c r="AM388" i="15"/>
  <c r="AK388" i="15"/>
  <c r="AH388" i="15"/>
  <c r="AI388" i="15" s="1"/>
  <c r="AG388" i="15"/>
  <c r="AF388" i="15"/>
  <c r="AE388" i="15"/>
  <c r="AD388" i="15"/>
  <c r="Y388" i="15"/>
  <c r="V388" i="15"/>
  <c r="T388" i="15"/>
  <c r="AM387" i="15"/>
  <c r="AK387" i="15"/>
  <c r="AI387" i="15"/>
  <c r="AH387" i="15"/>
  <c r="AF387" i="15"/>
  <c r="AG387" i="15" s="1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AN386" i="15" s="1"/>
  <c r="Y386" i="15"/>
  <c r="V386" i="15"/>
  <c r="T386" i="15"/>
  <c r="AM385" i="15"/>
  <c r="AK385" i="15"/>
  <c r="AH385" i="15"/>
  <c r="AI385" i="15" s="1"/>
  <c r="AJ385" i="15" s="1"/>
  <c r="AG385" i="15"/>
  <c r="AF385" i="15"/>
  <c r="AE385" i="15"/>
  <c r="AD385" i="15"/>
  <c r="Y385" i="15"/>
  <c r="V385" i="15"/>
  <c r="T385" i="15"/>
  <c r="AM384" i="15"/>
  <c r="AK384" i="15"/>
  <c r="AI384" i="15"/>
  <c r="AH384" i="15"/>
  <c r="AF384" i="15"/>
  <c r="AG384" i="15" s="1"/>
  <c r="AE384" i="15"/>
  <c r="AD384" i="15"/>
  <c r="Y384" i="15"/>
  <c r="V384" i="15"/>
  <c r="T384" i="15"/>
  <c r="AM383" i="15"/>
  <c r="AK383" i="15"/>
  <c r="AH383" i="15"/>
  <c r="AI383" i="15" s="1"/>
  <c r="AF383" i="15"/>
  <c r="AG383" i="15" s="1"/>
  <c r="AE383" i="15"/>
  <c r="AD383" i="15"/>
  <c r="AN383" i="15" s="1"/>
  <c r="Y383" i="15"/>
  <c r="V383" i="15"/>
  <c r="T383" i="15"/>
  <c r="AM382" i="15"/>
  <c r="AK382" i="15"/>
  <c r="AH382" i="15"/>
  <c r="AI382" i="15" s="1"/>
  <c r="AG382" i="15"/>
  <c r="AF382" i="15"/>
  <c r="AE382" i="15"/>
  <c r="AD382" i="15"/>
  <c r="Y382" i="15"/>
  <c r="V382" i="15"/>
  <c r="T382" i="15"/>
  <c r="AM381" i="15"/>
  <c r="AK381" i="15"/>
  <c r="AI381" i="15"/>
  <c r="AH381" i="15"/>
  <c r="AF381" i="15"/>
  <c r="AG381" i="15" s="1"/>
  <c r="AE381" i="15"/>
  <c r="AD381" i="15"/>
  <c r="Y381" i="15"/>
  <c r="V381" i="15"/>
  <c r="T381" i="15"/>
  <c r="AM380" i="15"/>
  <c r="AK380" i="15"/>
  <c r="AH380" i="15"/>
  <c r="AI380" i="15" s="1"/>
  <c r="AF380" i="15"/>
  <c r="AG380" i="15" s="1"/>
  <c r="AE380" i="15"/>
  <c r="AD380" i="15"/>
  <c r="AN380" i="15" s="1"/>
  <c r="Y380" i="15"/>
  <c r="V380" i="15"/>
  <c r="T380" i="15"/>
  <c r="AM379" i="15"/>
  <c r="AK379" i="15"/>
  <c r="AH379" i="15"/>
  <c r="AI379" i="15" s="1"/>
  <c r="AJ379" i="15" s="1"/>
  <c r="AG379" i="15"/>
  <c r="AF379" i="15"/>
  <c r="AE379" i="15"/>
  <c r="AD379" i="15"/>
  <c r="Y379" i="15"/>
  <c r="V379" i="15"/>
  <c r="T379" i="15"/>
  <c r="AM378" i="15"/>
  <c r="AK378" i="15"/>
  <c r="AI378" i="15"/>
  <c r="AH378" i="15"/>
  <c r="AF378" i="15"/>
  <c r="AG378" i="15" s="1"/>
  <c r="AE378" i="15"/>
  <c r="AD378" i="15"/>
  <c r="Y378" i="15"/>
  <c r="V378" i="15"/>
  <c r="T378" i="15"/>
  <c r="AM377" i="15"/>
  <c r="AK377" i="15"/>
  <c r="AH377" i="15"/>
  <c r="AI377" i="15" s="1"/>
  <c r="AF377" i="15"/>
  <c r="AG377" i="15" s="1"/>
  <c r="AE377" i="15"/>
  <c r="AD377" i="15"/>
  <c r="Y377" i="15"/>
  <c r="V377" i="15"/>
  <c r="T377" i="15"/>
  <c r="AM376" i="15"/>
  <c r="AK376" i="15"/>
  <c r="AH376" i="15"/>
  <c r="AI376" i="15" s="1"/>
  <c r="AG376" i="15"/>
  <c r="AF376" i="15"/>
  <c r="AE376" i="15"/>
  <c r="AD376" i="15"/>
  <c r="Y376" i="15"/>
  <c r="V376" i="15"/>
  <c r="T376" i="15"/>
  <c r="AM375" i="15"/>
  <c r="AK375" i="15"/>
  <c r="AI375" i="15"/>
  <c r="AH375" i="15"/>
  <c r="AF375" i="15"/>
  <c r="AG375" i="15" s="1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H373" i="15"/>
  <c r="AI373" i="15" s="1"/>
  <c r="AJ373" i="15" s="1"/>
  <c r="AG373" i="15"/>
  <c r="AF373" i="15"/>
  <c r="AE373" i="15"/>
  <c r="AD373" i="15"/>
  <c r="Y373" i="15"/>
  <c r="V373" i="15"/>
  <c r="T373" i="15"/>
  <c r="AM372" i="15"/>
  <c r="AK372" i="15"/>
  <c r="AI372" i="15"/>
  <c r="AH372" i="15"/>
  <c r="AF372" i="15"/>
  <c r="AG372" i="15" s="1"/>
  <c r="AE372" i="15"/>
  <c r="AD372" i="15"/>
  <c r="Y372" i="15"/>
  <c r="V372" i="15"/>
  <c r="T372" i="15"/>
  <c r="AM371" i="15"/>
  <c r="AK371" i="15"/>
  <c r="AH371" i="15"/>
  <c r="AI371" i="15" s="1"/>
  <c r="AF371" i="15"/>
  <c r="AG371" i="15" s="1"/>
  <c r="AE371" i="15"/>
  <c r="AD371" i="15"/>
  <c r="Y371" i="15"/>
  <c r="V371" i="15"/>
  <c r="T371" i="15"/>
  <c r="AM370" i="15"/>
  <c r="AK370" i="15"/>
  <c r="AH370" i="15"/>
  <c r="AI370" i="15" s="1"/>
  <c r="AG370" i="15"/>
  <c r="AF370" i="15"/>
  <c r="AE370" i="15"/>
  <c r="AD370" i="15"/>
  <c r="Y370" i="15"/>
  <c r="V370" i="15"/>
  <c r="T370" i="15"/>
  <c r="AM369" i="15"/>
  <c r="AK369" i="15"/>
  <c r="AI369" i="15"/>
  <c r="AH369" i="15"/>
  <c r="AF369" i="15"/>
  <c r="AG369" i="15" s="1"/>
  <c r="AE369" i="15"/>
  <c r="AD369" i="15"/>
  <c r="Y369" i="15"/>
  <c r="V369" i="15"/>
  <c r="T369" i="15"/>
  <c r="AM368" i="15"/>
  <c r="AK368" i="15"/>
  <c r="AH368" i="15"/>
  <c r="AI368" i="15" s="1"/>
  <c r="AF368" i="15"/>
  <c r="AG368" i="15" s="1"/>
  <c r="AE368" i="15"/>
  <c r="AD368" i="15"/>
  <c r="Y368" i="15"/>
  <c r="V368" i="15"/>
  <c r="T368" i="15"/>
  <c r="AM367" i="15"/>
  <c r="AK367" i="15"/>
  <c r="AH367" i="15"/>
  <c r="AI367" i="15" s="1"/>
  <c r="AJ367" i="15" s="1"/>
  <c r="AG367" i="15"/>
  <c r="AF367" i="15"/>
  <c r="AE367" i="15"/>
  <c r="AD367" i="15"/>
  <c r="Y367" i="15"/>
  <c r="V367" i="15"/>
  <c r="T367" i="15"/>
  <c r="AM366" i="15"/>
  <c r="AK366" i="15"/>
  <c r="AI366" i="15"/>
  <c r="AH366" i="15"/>
  <c r="AF366" i="15"/>
  <c r="AG366" i="15" s="1"/>
  <c r="AE366" i="15"/>
  <c r="AD366" i="15"/>
  <c r="Y366" i="15"/>
  <c r="V366" i="15"/>
  <c r="T366" i="15"/>
  <c r="AM365" i="15"/>
  <c r="AK365" i="15"/>
  <c r="AH365" i="15"/>
  <c r="AI365" i="15" s="1"/>
  <c r="AF365" i="15"/>
  <c r="AG365" i="15" s="1"/>
  <c r="AE365" i="15"/>
  <c r="AD365" i="15"/>
  <c r="Y365" i="15"/>
  <c r="V365" i="15"/>
  <c r="T365" i="15"/>
  <c r="AM364" i="15"/>
  <c r="AK364" i="15"/>
  <c r="AH364" i="15"/>
  <c r="AI364" i="15" s="1"/>
  <c r="AG364" i="15"/>
  <c r="AF364" i="15"/>
  <c r="AE364" i="15"/>
  <c r="AD364" i="15"/>
  <c r="Y364" i="15"/>
  <c r="V364" i="15"/>
  <c r="T364" i="15"/>
  <c r="AM363" i="15"/>
  <c r="AK363" i="15"/>
  <c r="AI363" i="15"/>
  <c r="AH363" i="15"/>
  <c r="AF363" i="15"/>
  <c r="AG363" i="15" s="1"/>
  <c r="AE363" i="15"/>
  <c r="AD363" i="15"/>
  <c r="AN363" i="15" s="1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AN362" i="15" s="1"/>
  <c r="Y362" i="15"/>
  <c r="V362" i="15"/>
  <c r="T362" i="15"/>
  <c r="AM361" i="15"/>
  <c r="AK361" i="15"/>
  <c r="AH361" i="15"/>
  <c r="AI361" i="15" s="1"/>
  <c r="AJ361" i="15" s="1"/>
  <c r="AG361" i="15"/>
  <c r="AF361" i="15"/>
  <c r="AE361" i="15"/>
  <c r="AD361" i="15"/>
  <c r="Y361" i="15"/>
  <c r="V361" i="15"/>
  <c r="T361" i="15"/>
  <c r="AM360" i="15"/>
  <c r="AK360" i="15"/>
  <c r="AI360" i="15"/>
  <c r="AH360" i="15"/>
  <c r="AF360" i="15"/>
  <c r="AG360" i="15" s="1"/>
  <c r="AE360" i="15"/>
  <c r="AD360" i="15"/>
  <c r="AN360" i="15" s="1"/>
  <c r="Y360" i="15"/>
  <c r="V360" i="15"/>
  <c r="T360" i="15"/>
  <c r="AM359" i="15"/>
  <c r="AK359" i="15"/>
  <c r="AH359" i="15"/>
  <c r="AI359" i="15" s="1"/>
  <c r="AF359" i="15"/>
  <c r="AG359" i="15" s="1"/>
  <c r="AE359" i="15"/>
  <c r="AD359" i="15"/>
  <c r="AN359" i="15" s="1"/>
  <c r="Y359" i="15"/>
  <c r="V359" i="15"/>
  <c r="T359" i="15"/>
  <c r="AM358" i="15"/>
  <c r="AK358" i="15"/>
  <c r="AH358" i="15"/>
  <c r="AI358" i="15" s="1"/>
  <c r="AG358" i="15"/>
  <c r="AF358" i="15"/>
  <c r="AE358" i="15"/>
  <c r="AD358" i="15"/>
  <c r="Y358" i="15"/>
  <c r="V358" i="15"/>
  <c r="T358" i="15"/>
  <c r="AM357" i="15"/>
  <c r="AK357" i="15"/>
  <c r="AI357" i="15"/>
  <c r="AH357" i="15"/>
  <c r="AF357" i="15"/>
  <c r="AG357" i="15" s="1"/>
  <c r="AE357" i="15"/>
  <c r="AD357" i="15"/>
  <c r="AN357" i="15" s="1"/>
  <c r="Y357" i="15"/>
  <c r="V357" i="15"/>
  <c r="T357" i="15"/>
  <c r="AM356" i="15"/>
  <c r="AK356" i="15"/>
  <c r="AH356" i="15"/>
  <c r="AI356" i="15" s="1"/>
  <c r="AF356" i="15"/>
  <c r="AG356" i="15" s="1"/>
  <c r="AE356" i="15"/>
  <c r="AD356" i="15"/>
  <c r="Y356" i="15"/>
  <c r="V356" i="15"/>
  <c r="T356" i="15"/>
  <c r="AM355" i="15"/>
  <c r="AK355" i="15"/>
  <c r="AH355" i="15"/>
  <c r="AI355" i="15" s="1"/>
  <c r="AJ355" i="15" s="1"/>
  <c r="AG355" i="15"/>
  <c r="AF355" i="15"/>
  <c r="AE355" i="15"/>
  <c r="AD355" i="15"/>
  <c r="Y355" i="15"/>
  <c r="V355" i="15"/>
  <c r="T355" i="15"/>
  <c r="AM354" i="15"/>
  <c r="AK354" i="15"/>
  <c r="AI354" i="15"/>
  <c r="AH354" i="15"/>
  <c r="AF354" i="15"/>
  <c r="AG354" i="15" s="1"/>
  <c r="AE354" i="15"/>
  <c r="AD354" i="15"/>
  <c r="AN354" i="15" s="1"/>
  <c r="Y354" i="15"/>
  <c r="V354" i="15"/>
  <c r="T354" i="15"/>
  <c r="AM353" i="15"/>
  <c r="AK353" i="15"/>
  <c r="AH353" i="15"/>
  <c r="AI353" i="15" s="1"/>
  <c r="AF353" i="15"/>
  <c r="AG353" i="15" s="1"/>
  <c r="AE353" i="15"/>
  <c r="AD353" i="15"/>
  <c r="Y353" i="15"/>
  <c r="V353" i="15"/>
  <c r="T353" i="15"/>
  <c r="AM352" i="15"/>
  <c r="AK352" i="15"/>
  <c r="AH352" i="15"/>
  <c r="AI352" i="15" s="1"/>
  <c r="AG352" i="15"/>
  <c r="AF352" i="15"/>
  <c r="AE352" i="15"/>
  <c r="AD352" i="15"/>
  <c r="Y352" i="15"/>
  <c r="V352" i="15"/>
  <c r="T352" i="15"/>
  <c r="AM351" i="15"/>
  <c r="AK351" i="15"/>
  <c r="AI351" i="15"/>
  <c r="AH351" i="15"/>
  <c r="AF351" i="15"/>
  <c r="AG351" i="15" s="1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H349" i="15"/>
  <c r="AI349" i="15" s="1"/>
  <c r="AJ349" i="15" s="1"/>
  <c r="AG349" i="15"/>
  <c r="AF349" i="15"/>
  <c r="AE349" i="15"/>
  <c r="AD349" i="15"/>
  <c r="Y349" i="15"/>
  <c r="V349" i="15"/>
  <c r="T349" i="15"/>
  <c r="AM348" i="15"/>
  <c r="AK348" i="15"/>
  <c r="AI348" i="15"/>
  <c r="AH348" i="15"/>
  <c r="AF348" i="15"/>
  <c r="AG348" i="15" s="1"/>
  <c r="AE348" i="15"/>
  <c r="AD348" i="15"/>
  <c r="Y348" i="15"/>
  <c r="V348" i="15"/>
  <c r="T348" i="15"/>
  <c r="AM347" i="15"/>
  <c r="AK347" i="15"/>
  <c r="AH347" i="15"/>
  <c r="AI347" i="15" s="1"/>
  <c r="AF347" i="15"/>
  <c r="AG347" i="15" s="1"/>
  <c r="AE347" i="15"/>
  <c r="AD347" i="15"/>
  <c r="AN347" i="15" s="1"/>
  <c r="Y347" i="15"/>
  <c r="V347" i="15"/>
  <c r="T347" i="15"/>
  <c r="AM346" i="15"/>
  <c r="AK346" i="15"/>
  <c r="AH346" i="15"/>
  <c r="AI346" i="15" s="1"/>
  <c r="AG346" i="15"/>
  <c r="AF346" i="15"/>
  <c r="AE346" i="15"/>
  <c r="AD346" i="15"/>
  <c r="Y346" i="15"/>
  <c r="V346" i="15"/>
  <c r="T346" i="15"/>
  <c r="AM345" i="15"/>
  <c r="AK345" i="15"/>
  <c r="AI345" i="15"/>
  <c r="AH345" i="15"/>
  <c r="AF345" i="15"/>
  <c r="AG345" i="15" s="1"/>
  <c r="AE345" i="15"/>
  <c r="AD345" i="15"/>
  <c r="Y345" i="15"/>
  <c r="V345" i="15"/>
  <c r="T345" i="15"/>
  <c r="AM344" i="15"/>
  <c r="AK344" i="15"/>
  <c r="AH344" i="15"/>
  <c r="AI344" i="15" s="1"/>
  <c r="AF344" i="15"/>
  <c r="AG344" i="15" s="1"/>
  <c r="AE344" i="15"/>
  <c r="AD344" i="15"/>
  <c r="Y344" i="15"/>
  <c r="V344" i="15"/>
  <c r="T344" i="15"/>
  <c r="AM343" i="15"/>
  <c r="AK343" i="15"/>
  <c r="AH343" i="15"/>
  <c r="AI343" i="15" s="1"/>
  <c r="AJ343" i="15" s="1"/>
  <c r="AG343" i="15"/>
  <c r="AF343" i="15"/>
  <c r="AE343" i="15"/>
  <c r="AD343" i="15"/>
  <c r="Y343" i="15"/>
  <c r="V343" i="15"/>
  <c r="T343" i="15"/>
  <c r="AM342" i="15"/>
  <c r="AK342" i="15"/>
  <c r="AI342" i="15"/>
  <c r="AH342" i="15"/>
  <c r="AF342" i="15"/>
  <c r="AG342" i="15" s="1"/>
  <c r="AE342" i="15"/>
  <c r="AD342" i="15"/>
  <c r="Y342" i="15"/>
  <c r="V342" i="15"/>
  <c r="T342" i="15"/>
  <c r="AM341" i="15"/>
  <c r="AK341" i="15"/>
  <c r="AH341" i="15"/>
  <c r="AI341" i="15" s="1"/>
  <c r="AF341" i="15"/>
  <c r="AG341" i="15" s="1"/>
  <c r="AE341" i="15"/>
  <c r="AD341" i="15"/>
  <c r="Y341" i="15"/>
  <c r="V341" i="15"/>
  <c r="T341" i="15"/>
  <c r="AM340" i="15"/>
  <c r="AK340" i="15"/>
  <c r="AH340" i="15"/>
  <c r="AI340" i="15" s="1"/>
  <c r="AG340" i="15"/>
  <c r="AF340" i="15"/>
  <c r="AE340" i="15"/>
  <c r="AD340" i="15"/>
  <c r="Y340" i="15"/>
  <c r="V340" i="15"/>
  <c r="T340" i="15"/>
  <c r="AM339" i="15"/>
  <c r="AK339" i="15"/>
  <c r="AI339" i="15"/>
  <c r="AH339" i="15"/>
  <c r="AF339" i="15"/>
  <c r="AG339" i="15" s="1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H337" i="15"/>
  <c r="AI337" i="15" s="1"/>
  <c r="AJ337" i="15" s="1"/>
  <c r="AG337" i="15"/>
  <c r="AF337" i="15"/>
  <c r="AE337" i="15"/>
  <c r="AD337" i="15"/>
  <c r="Y337" i="15"/>
  <c r="V337" i="15"/>
  <c r="T337" i="15"/>
  <c r="AM336" i="15"/>
  <c r="AK336" i="15"/>
  <c r="AI336" i="15"/>
  <c r="AH336" i="15"/>
  <c r="AF336" i="15"/>
  <c r="AG336" i="15" s="1"/>
  <c r="AE336" i="15"/>
  <c r="AD336" i="15"/>
  <c r="Y336" i="15"/>
  <c r="V336" i="15"/>
  <c r="T336" i="15"/>
  <c r="AM335" i="15"/>
  <c r="AK335" i="15"/>
  <c r="AH335" i="15"/>
  <c r="AI335" i="15" s="1"/>
  <c r="AF335" i="15"/>
  <c r="AG335" i="15" s="1"/>
  <c r="AE335" i="15"/>
  <c r="AD335" i="15"/>
  <c r="Y335" i="15"/>
  <c r="V335" i="15"/>
  <c r="T335" i="15"/>
  <c r="AM334" i="15"/>
  <c r="AK334" i="15"/>
  <c r="AH334" i="15"/>
  <c r="AI334" i="15" s="1"/>
  <c r="AG334" i="15"/>
  <c r="AF334" i="15"/>
  <c r="AE334" i="15"/>
  <c r="AD334" i="15"/>
  <c r="Y334" i="15"/>
  <c r="V334" i="15"/>
  <c r="T334" i="15"/>
  <c r="AM333" i="15"/>
  <c r="AK333" i="15"/>
  <c r="AI333" i="15"/>
  <c r="AH333" i="15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F332" i="15"/>
  <c r="AG332" i="15" s="1"/>
  <c r="AE332" i="15"/>
  <c r="AD332" i="15"/>
  <c r="Y332" i="15"/>
  <c r="V332" i="15"/>
  <c r="T332" i="15"/>
  <c r="AM331" i="15"/>
  <c r="AK331" i="15"/>
  <c r="AH331" i="15"/>
  <c r="AI331" i="15" s="1"/>
  <c r="AJ331" i="15" s="1"/>
  <c r="AG331" i="15"/>
  <c r="AF331" i="15"/>
  <c r="AE331" i="15"/>
  <c r="AD331" i="15"/>
  <c r="Y331" i="15"/>
  <c r="V331" i="15"/>
  <c r="T331" i="15"/>
  <c r="AM330" i="15"/>
  <c r="AK330" i="15"/>
  <c r="AI330" i="15"/>
  <c r="AH330" i="15"/>
  <c r="AF330" i="15"/>
  <c r="AG330" i="15" s="1"/>
  <c r="AE330" i="15"/>
  <c r="AD330" i="15"/>
  <c r="Y330" i="15"/>
  <c r="V330" i="15"/>
  <c r="T330" i="15"/>
  <c r="AM329" i="15"/>
  <c r="AK329" i="15"/>
  <c r="AH329" i="15"/>
  <c r="AI329" i="15" s="1"/>
  <c r="AF329" i="15"/>
  <c r="AG329" i="15" s="1"/>
  <c r="AE329" i="15"/>
  <c r="AD329" i="15"/>
  <c r="Y329" i="15"/>
  <c r="V329" i="15"/>
  <c r="T329" i="15"/>
  <c r="AM328" i="15"/>
  <c r="AK328" i="15"/>
  <c r="AH328" i="15"/>
  <c r="AI328" i="15" s="1"/>
  <c r="AG328" i="15"/>
  <c r="AF328" i="15"/>
  <c r="AE328" i="15"/>
  <c r="AD328" i="15"/>
  <c r="Y328" i="15"/>
  <c r="V328" i="15"/>
  <c r="T328" i="15"/>
  <c r="AM327" i="15"/>
  <c r="AK327" i="15"/>
  <c r="AI327" i="15"/>
  <c r="AH327" i="15"/>
  <c r="AF327" i="15"/>
  <c r="AG327" i="15" s="1"/>
  <c r="AE327" i="15"/>
  <c r="AD327" i="15"/>
  <c r="AN327" i="15" s="1"/>
  <c r="Y327" i="15"/>
  <c r="V327" i="15"/>
  <c r="T327" i="15"/>
  <c r="AM326" i="15"/>
  <c r="AK326" i="15"/>
  <c r="AH326" i="15"/>
  <c r="AI326" i="15" s="1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J325" i="15" s="1"/>
  <c r="AG325" i="15"/>
  <c r="AF325" i="15"/>
  <c r="AE325" i="15"/>
  <c r="AD325" i="15"/>
  <c r="Y325" i="15"/>
  <c r="V325" i="15"/>
  <c r="T325" i="15"/>
  <c r="AM324" i="15"/>
  <c r="AK324" i="15"/>
  <c r="AI324" i="15"/>
  <c r="AH324" i="15"/>
  <c r="AF324" i="15"/>
  <c r="AG324" i="15" s="1"/>
  <c r="AE324" i="15"/>
  <c r="AD324" i="15"/>
  <c r="Y324" i="15"/>
  <c r="V324" i="15"/>
  <c r="T324" i="15"/>
  <c r="AM323" i="15"/>
  <c r="AK323" i="15"/>
  <c r="AH323" i="15"/>
  <c r="AI323" i="15" s="1"/>
  <c r="AG323" i="15"/>
  <c r="AF323" i="15"/>
  <c r="AE323" i="15"/>
  <c r="AD323" i="15"/>
  <c r="AN323" i="15" s="1"/>
  <c r="Y323" i="15"/>
  <c r="V323" i="15"/>
  <c r="T323" i="15"/>
  <c r="AM322" i="15"/>
  <c r="AK322" i="15"/>
  <c r="AI322" i="15"/>
  <c r="AH322" i="15"/>
  <c r="AG322" i="15"/>
  <c r="AF322" i="15"/>
  <c r="AE322" i="15"/>
  <c r="AD322" i="15"/>
  <c r="Y322" i="15"/>
  <c r="V322" i="15"/>
  <c r="T322" i="15"/>
  <c r="AM321" i="15"/>
  <c r="AK321" i="15"/>
  <c r="AI321" i="15"/>
  <c r="AH321" i="15"/>
  <c r="AF321" i="15"/>
  <c r="AG321" i="15" s="1"/>
  <c r="AE321" i="15"/>
  <c r="AD321" i="15"/>
  <c r="AN321" i="15" s="1"/>
  <c r="Y321" i="15"/>
  <c r="V321" i="15"/>
  <c r="T321" i="15"/>
  <c r="AM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H319" i="15"/>
  <c r="AI319" i="15" s="1"/>
  <c r="AJ319" i="15" s="1"/>
  <c r="AG319" i="15"/>
  <c r="AL319" i="15" s="1"/>
  <c r="AF319" i="15"/>
  <c r="AE319" i="15"/>
  <c r="AD319" i="15"/>
  <c r="Y319" i="15"/>
  <c r="V319" i="15"/>
  <c r="T319" i="15"/>
  <c r="AM318" i="15"/>
  <c r="AK318" i="15"/>
  <c r="AI318" i="15"/>
  <c r="AH318" i="15"/>
  <c r="AF318" i="15"/>
  <c r="AG318" i="15" s="1"/>
  <c r="AE318" i="15"/>
  <c r="AD318" i="15"/>
  <c r="Y318" i="15"/>
  <c r="V318" i="15"/>
  <c r="T318" i="15"/>
  <c r="AM317" i="15"/>
  <c r="AK317" i="15"/>
  <c r="AH317" i="15"/>
  <c r="AI317" i="15" s="1"/>
  <c r="AG317" i="15"/>
  <c r="AL317" i="15" s="1"/>
  <c r="AF317" i="15"/>
  <c r="AE317" i="15"/>
  <c r="AD317" i="15"/>
  <c r="Y317" i="15"/>
  <c r="V317" i="15"/>
  <c r="T317" i="15"/>
  <c r="AM316" i="15"/>
  <c r="AK316" i="15"/>
  <c r="AI316" i="15"/>
  <c r="AH316" i="15"/>
  <c r="AG316" i="15"/>
  <c r="AF316" i="15"/>
  <c r="AE316" i="15"/>
  <c r="AD316" i="15"/>
  <c r="Y316" i="15"/>
  <c r="V316" i="15"/>
  <c r="T316" i="15"/>
  <c r="AM315" i="15"/>
  <c r="AK315" i="15"/>
  <c r="AI315" i="15"/>
  <c r="AH315" i="15"/>
  <c r="AF315" i="15"/>
  <c r="AG315" i="15" s="1"/>
  <c r="AE315" i="15"/>
  <c r="AD315" i="15"/>
  <c r="AN315" i="15" s="1"/>
  <c r="Y315" i="15"/>
  <c r="V315" i="15"/>
  <c r="T315" i="15"/>
  <c r="AM314" i="15"/>
  <c r="AK314" i="15"/>
  <c r="AH314" i="15"/>
  <c r="AI314" i="15" s="1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J313" i="15" s="1"/>
  <c r="AG313" i="15"/>
  <c r="AF313" i="15"/>
  <c r="AE313" i="15"/>
  <c r="AD313" i="15"/>
  <c r="Y313" i="15"/>
  <c r="V313" i="15"/>
  <c r="T313" i="15"/>
  <c r="AM312" i="15"/>
  <c r="AK312" i="15"/>
  <c r="AI312" i="15"/>
  <c r="AH312" i="15"/>
  <c r="AF312" i="15"/>
  <c r="AG312" i="15" s="1"/>
  <c r="AE312" i="15"/>
  <c r="AD312" i="15"/>
  <c r="Y312" i="15"/>
  <c r="V312" i="15"/>
  <c r="T312" i="15"/>
  <c r="AM311" i="15"/>
  <c r="AK311" i="15"/>
  <c r="AH311" i="15"/>
  <c r="AI311" i="15" s="1"/>
  <c r="AG311" i="15"/>
  <c r="AF311" i="15"/>
  <c r="AE311" i="15"/>
  <c r="AD311" i="15"/>
  <c r="Y311" i="15"/>
  <c r="V311" i="15"/>
  <c r="T311" i="15"/>
  <c r="AM310" i="15"/>
  <c r="AK310" i="15"/>
  <c r="AI310" i="15"/>
  <c r="AH310" i="15"/>
  <c r="AG310" i="15"/>
  <c r="AF310" i="15"/>
  <c r="AE310" i="15"/>
  <c r="AD310" i="15"/>
  <c r="Y310" i="15"/>
  <c r="V310" i="15"/>
  <c r="T310" i="15"/>
  <c r="AM309" i="15"/>
  <c r="AK309" i="15"/>
  <c r="AI309" i="15"/>
  <c r="AH309" i="15"/>
  <c r="AF309" i="15"/>
  <c r="AG309" i="15" s="1"/>
  <c r="AE309" i="15"/>
  <c r="AD309" i="15"/>
  <c r="AN309" i="15" s="1"/>
  <c r="Y309" i="15"/>
  <c r="V309" i="15"/>
  <c r="T309" i="15"/>
  <c r="AM308" i="15"/>
  <c r="AK308" i="15"/>
  <c r="AH308" i="15"/>
  <c r="AI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J307" i="15" s="1"/>
  <c r="AG307" i="15"/>
  <c r="AL307" i="15" s="1"/>
  <c r="AF307" i="15"/>
  <c r="AE307" i="15"/>
  <c r="AD307" i="15"/>
  <c r="Y307" i="15"/>
  <c r="V307" i="15"/>
  <c r="T307" i="15"/>
  <c r="AM306" i="15"/>
  <c r="AK306" i="15"/>
  <c r="AI306" i="15"/>
  <c r="AH306" i="15"/>
  <c r="AF306" i="15"/>
  <c r="AG306" i="15" s="1"/>
  <c r="AE306" i="15"/>
  <c r="AD306" i="15"/>
  <c r="Y306" i="15"/>
  <c r="V306" i="15"/>
  <c r="T306" i="15"/>
  <c r="AM305" i="15"/>
  <c r="AK305" i="15"/>
  <c r="AH305" i="15"/>
  <c r="AI305" i="15" s="1"/>
  <c r="AG305" i="15"/>
  <c r="AL305" i="15" s="1"/>
  <c r="AF305" i="15"/>
  <c r="AE305" i="15"/>
  <c r="AD305" i="15"/>
  <c r="Y305" i="15"/>
  <c r="V305" i="15"/>
  <c r="T305" i="15"/>
  <c r="AM304" i="15"/>
  <c r="AK304" i="15"/>
  <c r="AI304" i="15"/>
  <c r="AH304" i="15"/>
  <c r="AG304" i="15"/>
  <c r="AF304" i="15"/>
  <c r="AE304" i="15"/>
  <c r="AD304" i="15"/>
  <c r="Y304" i="15"/>
  <c r="V304" i="15"/>
  <c r="T304" i="15"/>
  <c r="AM303" i="15"/>
  <c r="AK303" i="15"/>
  <c r="AI303" i="15"/>
  <c r="AH303" i="15"/>
  <c r="AF303" i="15"/>
  <c r="AG303" i="15" s="1"/>
  <c r="AE303" i="15"/>
  <c r="AD303" i="15"/>
  <c r="AN303" i="15" s="1"/>
  <c r="Y303" i="15"/>
  <c r="V303" i="15"/>
  <c r="T303" i="15"/>
  <c r="AM302" i="15"/>
  <c r="AK302" i="15"/>
  <c r="AH302" i="15"/>
  <c r="AI302" i="15" s="1"/>
  <c r="AF302" i="15"/>
  <c r="AG302" i="15" s="1"/>
  <c r="AE302" i="15"/>
  <c r="AD302" i="15"/>
  <c r="Y302" i="15"/>
  <c r="V302" i="15"/>
  <c r="T302" i="15"/>
  <c r="AM301" i="15"/>
  <c r="AK301" i="15"/>
  <c r="AH301" i="15"/>
  <c r="AI301" i="15" s="1"/>
  <c r="AJ301" i="15" s="1"/>
  <c r="AG301" i="15"/>
  <c r="AF301" i="15"/>
  <c r="AE301" i="15"/>
  <c r="AD301" i="15"/>
  <c r="Y301" i="15"/>
  <c r="V301" i="15"/>
  <c r="T301" i="15"/>
  <c r="AM300" i="15"/>
  <c r="AK300" i="15"/>
  <c r="AI300" i="15"/>
  <c r="AH300" i="15"/>
  <c r="AF300" i="15"/>
  <c r="AG300" i="15" s="1"/>
  <c r="AE300" i="15"/>
  <c r="AD300" i="15"/>
  <c r="Y300" i="15"/>
  <c r="V300" i="15"/>
  <c r="T300" i="15"/>
  <c r="AM299" i="15"/>
  <c r="AK299" i="15"/>
  <c r="AH299" i="15"/>
  <c r="AI299" i="15" s="1"/>
  <c r="AG299" i="15"/>
  <c r="AF299" i="15"/>
  <c r="AE299" i="15"/>
  <c r="AD299" i="15"/>
  <c r="Y299" i="15"/>
  <c r="V299" i="15"/>
  <c r="T299" i="15"/>
  <c r="AM298" i="15"/>
  <c r="AK298" i="15"/>
  <c r="AI298" i="15"/>
  <c r="AH298" i="15"/>
  <c r="AG298" i="15"/>
  <c r="AF298" i="15"/>
  <c r="AE298" i="15"/>
  <c r="AD298" i="15"/>
  <c r="Y298" i="15"/>
  <c r="V298" i="15"/>
  <c r="T298" i="15"/>
  <c r="AM297" i="15"/>
  <c r="AK297" i="15"/>
  <c r="AI297" i="15"/>
  <c r="AH297" i="15"/>
  <c r="AF297" i="15"/>
  <c r="AG297" i="15" s="1"/>
  <c r="AE297" i="15"/>
  <c r="AD297" i="15"/>
  <c r="AN297" i="15" s="1"/>
  <c r="Y297" i="15"/>
  <c r="V297" i="15"/>
  <c r="T297" i="15"/>
  <c r="AM296" i="15"/>
  <c r="AK296" i="15"/>
  <c r="AH296" i="15"/>
  <c r="AI296" i="15" s="1"/>
  <c r="AF296" i="15"/>
  <c r="AG296" i="15" s="1"/>
  <c r="AE296" i="15"/>
  <c r="AD296" i="15"/>
  <c r="Y296" i="15"/>
  <c r="V296" i="15"/>
  <c r="T296" i="15"/>
  <c r="AM295" i="15"/>
  <c r="AK295" i="15"/>
  <c r="AH295" i="15"/>
  <c r="AI295" i="15" s="1"/>
  <c r="AJ295" i="15" s="1"/>
  <c r="AG295" i="15"/>
  <c r="AL295" i="15" s="1"/>
  <c r="AF295" i="15"/>
  <c r="AE295" i="15"/>
  <c r="AD295" i="15"/>
  <c r="Y295" i="15"/>
  <c r="V295" i="15"/>
  <c r="T295" i="15"/>
  <c r="AM294" i="15"/>
  <c r="AK294" i="15"/>
  <c r="AI294" i="15"/>
  <c r="AH294" i="15"/>
  <c r="AF294" i="15"/>
  <c r="AG294" i="15" s="1"/>
  <c r="AE294" i="15"/>
  <c r="AD294" i="15"/>
  <c r="Y294" i="15"/>
  <c r="V294" i="15"/>
  <c r="T294" i="15"/>
  <c r="AM293" i="15"/>
  <c r="AK293" i="15"/>
  <c r="AH293" i="15"/>
  <c r="AI293" i="15" s="1"/>
  <c r="AG293" i="15"/>
  <c r="AF293" i="15"/>
  <c r="AE293" i="15"/>
  <c r="AD293" i="15"/>
  <c r="Y293" i="15"/>
  <c r="V293" i="15"/>
  <c r="T293" i="15"/>
  <c r="AM292" i="15"/>
  <c r="AK292" i="15"/>
  <c r="AI292" i="15"/>
  <c r="AH292" i="15"/>
  <c r="AG292" i="15"/>
  <c r="AF292" i="15"/>
  <c r="AE292" i="15"/>
  <c r="AD292" i="15"/>
  <c r="Y292" i="15"/>
  <c r="V292" i="15"/>
  <c r="T292" i="15"/>
  <c r="AM291" i="15"/>
  <c r="AK291" i="15"/>
  <c r="AI291" i="15"/>
  <c r="AH291" i="15"/>
  <c r="AF291" i="15"/>
  <c r="AG291" i="15" s="1"/>
  <c r="AE291" i="15"/>
  <c r="AD291" i="15"/>
  <c r="AN291" i="15" s="1"/>
  <c r="Y291" i="15"/>
  <c r="V291" i="15"/>
  <c r="T291" i="15"/>
  <c r="AM290" i="15"/>
  <c r="AK290" i="15"/>
  <c r="AH290" i="15"/>
  <c r="AI290" i="15" s="1"/>
  <c r="AF290" i="15"/>
  <c r="AG290" i="15" s="1"/>
  <c r="AE290" i="15"/>
  <c r="AD290" i="15"/>
  <c r="Y290" i="15"/>
  <c r="V290" i="15"/>
  <c r="T290" i="15"/>
  <c r="AM289" i="15"/>
  <c r="AK289" i="15"/>
  <c r="AJ289" i="15"/>
  <c r="AH289" i="15"/>
  <c r="AI289" i="15" s="1"/>
  <c r="AG289" i="15"/>
  <c r="AL289" i="15" s="1"/>
  <c r="AF289" i="15"/>
  <c r="AE289" i="15"/>
  <c r="AD289" i="15"/>
  <c r="Y289" i="15"/>
  <c r="V289" i="15"/>
  <c r="T289" i="15"/>
  <c r="AM288" i="15"/>
  <c r="AK288" i="15"/>
  <c r="AI288" i="15"/>
  <c r="AH288" i="15"/>
  <c r="AF288" i="15"/>
  <c r="AG288" i="15" s="1"/>
  <c r="AJ288" i="15" s="1"/>
  <c r="AE288" i="15"/>
  <c r="AD288" i="15"/>
  <c r="Y288" i="15"/>
  <c r="V288" i="15"/>
  <c r="T288" i="15"/>
  <c r="AM287" i="15"/>
  <c r="AK287" i="15"/>
  <c r="AH287" i="15"/>
  <c r="AI287" i="15" s="1"/>
  <c r="AG287" i="15"/>
  <c r="AF287" i="15"/>
  <c r="AE287" i="15"/>
  <c r="AD287" i="15"/>
  <c r="Y287" i="15"/>
  <c r="V287" i="15"/>
  <c r="T287" i="15"/>
  <c r="AM286" i="15"/>
  <c r="AK286" i="15"/>
  <c r="AI286" i="15"/>
  <c r="AH286" i="15"/>
  <c r="AG286" i="15"/>
  <c r="AF286" i="15"/>
  <c r="AE286" i="15"/>
  <c r="AD286" i="15"/>
  <c r="Y286" i="15"/>
  <c r="V286" i="15"/>
  <c r="T286" i="15"/>
  <c r="AM285" i="15"/>
  <c r="AK285" i="15"/>
  <c r="AI285" i="15"/>
  <c r="AH285" i="15"/>
  <c r="AF285" i="15"/>
  <c r="AG285" i="15" s="1"/>
  <c r="AE285" i="15"/>
  <c r="AD285" i="15"/>
  <c r="Y285" i="15"/>
  <c r="V285" i="15"/>
  <c r="T285" i="15"/>
  <c r="AM284" i="15"/>
  <c r="AK284" i="15"/>
  <c r="AH284" i="15"/>
  <c r="AI284" i="15" s="1"/>
  <c r="AF284" i="15"/>
  <c r="AG284" i="15" s="1"/>
  <c r="AE284" i="15"/>
  <c r="AD284" i="15"/>
  <c r="Y284" i="15"/>
  <c r="V284" i="15"/>
  <c r="T284" i="15"/>
  <c r="AM283" i="15"/>
  <c r="AK283" i="15"/>
  <c r="AH283" i="15"/>
  <c r="AI283" i="15" s="1"/>
  <c r="AJ283" i="15" s="1"/>
  <c r="AG283" i="15"/>
  <c r="AF283" i="15"/>
  <c r="AE283" i="15"/>
  <c r="AD283" i="15"/>
  <c r="Y283" i="15"/>
  <c r="V283" i="15"/>
  <c r="T283" i="15"/>
  <c r="AM282" i="15"/>
  <c r="AL282" i="15"/>
  <c r="AK282" i="15"/>
  <c r="AI282" i="15"/>
  <c r="AH282" i="15"/>
  <c r="AF282" i="15"/>
  <c r="AG282" i="15" s="1"/>
  <c r="AJ282" i="15" s="1"/>
  <c r="AE282" i="15"/>
  <c r="AD282" i="15"/>
  <c r="Y282" i="15"/>
  <c r="V282" i="15"/>
  <c r="T282" i="15"/>
  <c r="AM281" i="15"/>
  <c r="AK281" i="15"/>
  <c r="AH281" i="15"/>
  <c r="AI281" i="15" s="1"/>
  <c r="AG281" i="15"/>
  <c r="AF281" i="15"/>
  <c r="AE281" i="15"/>
  <c r="AD281" i="15"/>
  <c r="Y281" i="15"/>
  <c r="V281" i="15"/>
  <c r="T281" i="15"/>
  <c r="AM280" i="15"/>
  <c r="AK280" i="15"/>
  <c r="AI280" i="15"/>
  <c r="AH280" i="15"/>
  <c r="AG280" i="15"/>
  <c r="AF280" i="15"/>
  <c r="AE280" i="15"/>
  <c r="AD280" i="15"/>
  <c r="Y280" i="15"/>
  <c r="V280" i="15"/>
  <c r="T280" i="15"/>
  <c r="AM279" i="15"/>
  <c r="AK279" i="15"/>
  <c r="AI279" i="15"/>
  <c r="AH279" i="15"/>
  <c r="AF279" i="15"/>
  <c r="AG279" i="15" s="1"/>
  <c r="AE279" i="15"/>
  <c r="AD279" i="15"/>
  <c r="AN279" i="15" s="1"/>
  <c r="Y279" i="15"/>
  <c r="V279" i="15"/>
  <c r="T279" i="15"/>
  <c r="AM278" i="15"/>
  <c r="AK278" i="15"/>
  <c r="AH278" i="15"/>
  <c r="AI278" i="15" s="1"/>
  <c r="AF278" i="15"/>
  <c r="AG278" i="15" s="1"/>
  <c r="AE278" i="15"/>
  <c r="AD278" i="15"/>
  <c r="Y278" i="15"/>
  <c r="V278" i="15"/>
  <c r="T278" i="15"/>
  <c r="AM277" i="15"/>
  <c r="AK277" i="15"/>
  <c r="AJ277" i="15"/>
  <c r="AH277" i="15"/>
  <c r="AI277" i="15" s="1"/>
  <c r="AG277" i="15"/>
  <c r="AL277" i="15" s="1"/>
  <c r="AF277" i="15"/>
  <c r="AE277" i="15"/>
  <c r="AD277" i="15"/>
  <c r="Y277" i="15"/>
  <c r="V277" i="15"/>
  <c r="T277" i="15"/>
  <c r="AM276" i="15"/>
  <c r="AL276" i="15"/>
  <c r="AK276" i="15"/>
  <c r="AI276" i="15"/>
  <c r="AH276" i="15"/>
  <c r="AF276" i="15"/>
  <c r="AG276" i="15" s="1"/>
  <c r="AJ276" i="15" s="1"/>
  <c r="AE276" i="15"/>
  <c r="AD276" i="15"/>
  <c r="AN276" i="15" s="1"/>
  <c r="Y276" i="15"/>
  <c r="V276" i="15"/>
  <c r="T276" i="15"/>
  <c r="AM275" i="15"/>
  <c r="AK275" i="15"/>
  <c r="AH275" i="15"/>
  <c r="AI275" i="15" s="1"/>
  <c r="AG275" i="15"/>
  <c r="AF275" i="15"/>
  <c r="AE275" i="15"/>
  <c r="AD275" i="15"/>
  <c r="Y275" i="15"/>
  <c r="V275" i="15"/>
  <c r="T275" i="15"/>
  <c r="AM274" i="15"/>
  <c r="AK274" i="15"/>
  <c r="AI274" i="15"/>
  <c r="AH274" i="15"/>
  <c r="AG274" i="15"/>
  <c r="AF274" i="15"/>
  <c r="AE274" i="15"/>
  <c r="AD274" i="15"/>
  <c r="Y274" i="15"/>
  <c r="V274" i="15"/>
  <c r="T274" i="15"/>
  <c r="AM273" i="15"/>
  <c r="AK273" i="15"/>
  <c r="AI273" i="15"/>
  <c r="AH273" i="15"/>
  <c r="AF273" i="15"/>
  <c r="AG273" i="15" s="1"/>
  <c r="AE273" i="15"/>
  <c r="AD273" i="15"/>
  <c r="Y273" i="15"/>
  <c r="V273" i="15"/>
  <c r="T273" i="15"/>
  <c r="AM272" i="15"/>
  <c r="AK272" i="15"/>
  <c r="AH272" i="15"/>
  <c r="AI272" i="15" s="1"/>
  <c r="AF272" i="15"/>
  <c r="AG272" i="15" s="1"/>
  <c r="AE272" i="15"/>
  <c r="AD272" i="15"/>
  <c r="Y272" i="15"/>
  <c r="V272" i="15"/>
  <c r="T272" i="15"/>
  <c r="AM271" i="15"/>
  <c r="AK271" i="15"/>
  <c r="AH271" i="15"/>
  <c r="AI271" i="15" s="1"/>
  <c r="AJ271" i="15" s="1"/>
  <c r="AG271" i="15"/>
  <c r="AF271" i="15"/>
  <c r="AE271" i="15"/>
  <c r="AD271" i="15"/>
  <c r="Y271" i="15"/>
  <c r="V271" i="15"/>
  <c r="T271" i="15"/>
  <c r="AM270" i="15"/>
  <c r="AL270" i="15"/>
  <c r="AK270" i="15"/>
  <c r="AI270" i="15"/>
  <c r="AH270" i="15"/>
  <c r="AF270" i="15"/>
  <c r="AG270" i="15" s="1"/>
  <c r="AJ270" i="15" s="1"/>
  <c r="AE270" i="15"/>
  <c r="AD270" i="15"/>
  <c r="AN270" i="15" s="1"/>
  <c r="Y270" i="15"/>
  <c r="V270" i="15"/>
  <c r="T270" i="15"/>
  <c r="AM269" i="15"/>
  <c r="AK269" i="15"/>
  <c r="AH269" i="15"/>
  <c r="AI269" i="15" s="1"/>
  <c r="AG269" i="15"/>
  <c r="AF269" i="15"/>
  <c r="AE269" i="15"/>
  <c r="AD269" i="15"/>
  <c r="Y269" i="15"/>
  <c r="V269" i="15"/>
  <c r="T269" i="15"/>
  <c r="AM268" i="15"/>
  <c r="AK268" i="15"/>
  <c r="AI268" i="15"/>
  <c r="AH268" i="15"/>
  <c r="AG268" i="15"/>
  <c r="AF268" i="15"/>
  <c r="AE268" i="15"/>
  <c r="AD268" i="15"/>
  <c r="Y268" i="15"/>
  <c r="V268" i="15"/>
  <c r="T268" i="15"/>
  <c r="AM267" i="15"/>
  <c r="AK267" i="15"/>
  <c r="AI267" i="15"/>
  <c r="AH267" i="15"/>
  <c r="AF267" i="15"/>
  <c r="AG267" i="15" s="1"/>
  <c r="AE267" i="15"/>
  <c r="AD267" i="15"/>
  <c r="Y267" i="15"/>
  <c r="V267" i="15"/>
  <c r="T267" i="15"/>
  <c r="AM266" i="15"/>
  <c r="AK266" i="15"/>
  <c r="AH266" i="15"/>
  <c r="AI266" i="15" s="1"/>
  <c r="AF266" i="15"/>
  <c r="AG266" i="15" s="1"/>
  <c r="AE266" i="15"/>
  <c r="AD266" i="15"/>
  <c r="Y266" i="15"/>
  <c r="V266" i="15"/>
  <c r="T266" i="15"/>
  <c r="AM265" i="15"/>
  <c r="AK265" i="15"/>
  <c r="AJ265" i="15"/>
  <c r="AH265" i="15"/>
  <c r="AI265" i="15" s="1"/>
  <c r="AG265" i="15"/>
  <c r="AL265" i="15" s="1"/>
  <c r="AF265" i="15"/>
  <c r="AE265" i="15"/>
  <c r="AD265" i="15"/>
  <c r="Y265" i="15"/>
  <c r="V265" i="15"/>
  <c r="T265" i="15"/>
  <c r="AM264" i="15"/>
  <c r="AL264" i="15"/>
  <c r="AK264" i="15"/>
  <c r="AI264" i="15"/>
  <c r="AH264" i="15"/>
  <c r="AF264" i="15"/>
  <c r="AG264" i="15" s="1"/>
  <c r="AJ264" i="15" s="1"/>
  <c r="AE264" i="15"/>
  <c r="AD264" i="15"/>
  <c r="AN264" i="15" s="1"/>
  <c r="Y264" i="15"/>
  <c r="V264" i="15"/>
  <c r="T264" i="15"/>
  <c r="AM263" i="15"/>
  <c r="AK263" i="15"/>
  <c r="AH263" i="15"/>
  <c r="AI263" i="15" s="1"/>
  <c r="AG263" i="15"/>
  <c r="AF263" i="15"/>
  <c r="AE263" i="15"/>
  <c r="AD263" i="15"/>
  <c r="AN263" i="15" s="1"/>
  <c r="Y263" i="15"/>
  <c r="V263" i="15"/>
  <c r="T263" i="15"/>
  <c r="AM262" i="15"/>
  <c r="AK262" i="15"/>
  <c r="AI262" i="15"/>
  <c r="AH262" i="15"/>
  <c r="AG262" i="15"/>
  <c r="AF262" i="15"/>
  <c r="AE262" i="15"/>
  <c r="AD262" i="15"/>
  <c r="Y262" i="15"/>
  <c r="V262" i="15"/>
  <c r="T262" i="15"/>
  <c r="AM261" i="15"/>
  <c r="AK261" i="15"/>
  <c r="AI261" i="15"/>
  <c r="AH261" i="15"/>
  <c r="AF261" i="15"/>
  <c r="AG261" i="15" s="1"/>
  <c r="AE261" i="15"/>
  <c r="AD261" i="15"/>
  <c r="Y261" i="15"/>
  <c r="V261" i="15"/>
  <c r="T261" i="15"/>
  <c r="AM260" i="15"/>
  <c r="AK260" i="15"/>
  <c r="AH260" i="15"/>
  <c r="AI260" i="15" s="1"/>
  <c r="AF260" i="15"/>
  <c r="AG260" i="15" s="1"/>
  <c r="AE260" i="15"/>
  <c r="AD260" i="15"/>
  <c r="Y260" i="15"/>
  <c r="V260" i="15"/>
  <c r="T260" i="15"/>
  <c r="AM259" i="15"/>
  <c r="AK259" i="15"/>
  <c r="AH259" i="15"/>
  <c r="AI259" i="15" s="1"/>
  <c r="AJ259" i="15" s="1"/>
  <c r="AG259" i="15"/>
  <c r="AF259" i="15"/>
  <c r="AE259" i="15"/>
  <c r="AD259" i="15"/>
  <c r="Y259" i="15"/>
  <c r="V259" i="15"/>
  <c r="T259" i="15"/>
  <c r="AM258" i="15"/>
  <c r="AK258" i="15"/>
  <c r="AI258" i="15"/>
  <c r="AH258" i="15"/>
  <c r="AF258" i="15"/>
  <c r="AG258" i="15" s="1"/>
  <c r="AJ258" i="15" s="1"/>
  <c r="AE258" i="15"/>
  <c r="AD258" i="15"/>
  <c r="AN258" i="15" s="1"/>
  <c r="Y258" i="15"/>
  <c r="V258" i="15"/>
  <c r="T258" i="15"/>
  <c r="AM257" i="15"/>
  <c r="AK257" i="15"/>
  <c r="AH257" i="15"/>
  <c r="AI257" i="15" s="1"/>
  <c r="AG257" i="15"/>
  <c r="AF257" i="15"/>
  <c r="AE257" i="15"/>
  <c r="AD257" i="15"/>
  <c r="AN257" i="15" s="1"/>
  <c r="Y257" i="15"/>
  <c r="V257" i="15"/>
  <c r="T257" i="15"/>
  <c r="AM256" i="15"/>
  <c r="AK256" i="15"/>
  <c r="AI256" i="15"/>
  <c r="AH256" i="15"/>
  <c r="AG256" i="15"/>
  <c r="AL256" i="15" s="1"/>
  <c r="AF256" i="15"/>
  <c r="AE256" i="15"/>
  <c r="AD256" i="15"/>
  <c r="Y256" i="15"/>
  <c r="V256" i="15"/>
  <c r="T256" i="15"/>
  <c r="AM255" i="15"/>
  <c r="AK255" i="15"/>
  <c r="AI255" i="15"/>
  <c r="AH255" i="15"/>
  <c r="AF255" i="15"/>
  <c r="AG255" i="15" s="1"/>
  <c r="AJ255" i="15" s="1"/>
  <c r="AE255" i="15"/>
  <c r="AD255" i="15"/>
  <c r="Y255" i="15"/>
  <c r="V255" i="15"/>
  <c r="T255" i="15"/>
  <c r="AM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H253" i="15"/>
  <c r="AI253" i="15" s="1"/>
  <c r="AJ253" i="15" s="1"/>
  <c r="AG253" i="15"/>
  <c r="AF253" i="15"/>
  <c r="AE253" i="15"/>
  <c r="AD253" i="15"/>
  <c r="Y253" i="15"/>
  <c r="V253" i="15"/>
  <c r="T253" i="15"/>
  <c r="AM252" i="15"/>
  <c r="AL252" i="15"/>
  <c r="AK252" i="15"/>
  <c r="AI252" i="15"/>
  <c r="AH252" i="15"/>
  <c r="AF252" i="15"/>
  <c r="AG252" i="15" s="1"/>
  <c r="AJ252" i="15" s="1"/>
  <c r="AE252" i="15"/>
  <c r="AD252" i="15"/>
  <c r="Y252" i="15"/>
  <c r="V252" i="15"/>
  <c r="T252" i="15"/>
  <c r="AM251" i="15"/>
  <c r="AK251" i="15"/>
  <c r="AH251" i="15"/>
  <c r="AI251" i="15" s="1"/>
  <c r="AG251" i="15"/>
  <c r="AF251" i="15"/>
  <c r="AE251" i="15"/>
  <c r="AD251" i="15"/>
  <c r="Y251" i="15"/>
  <c r="V251" i="15"/>
  <c r="T251" i="15"/>
  <c r="AM250" i="15"/>
  <c r="AK250" i="15"/>
  <c r="AI250" i="15"/>
  <c r="AH250" i="15"/>
  <c r="AG250" i="15"/>
  <c r="AL250" i="15" s="1"/>
  <c r="AF250" i="15"/>
  <c r="AE250" i="15"/>
  <c r="AD250" i="15"/>
  <c r="Y250" i="15"/>
  <c r="V250" i="15"/>
  <c r="T250" i="15"/>
  <c r="AM249" i="15"/>
  <c r="AK249" i="15"/>
  <c r="AI249" i="15"/>
  <c r="AH249" i="15"/>
  <c r="AF249" i="15"/>
  <c r="AG249" i="15" s="1"/>
  <c r="AE249" i="15"/>
  <c r="AD249" i="15"/>
  <c r="Y249" i="15"/>
  <c r="V249" i="15"/>
  <c r="T249" i="15"/>
  <c r="AM248" i="15"/>
  <c r="AK248" i="15"/>
  <c r="AH248" i="15"/>
  <c r="AI248" i="15" s="1"/>
  <c r="AF248" i="15"/>
  <c r="AG248" i="15" s="1"/>
  <c r="AE248" i="15"/>
  <c r="AD248" i="15"/>
  <c r="Y248" i="15"/>
  <c r="V248" i="15"/>
  <c r="T248" i="15"/>
  <c r="AM247" i="15"/>
  <c r="AK247" i="15"/>
  <c r="AH247" i="15"/>
  <c r="AI247" i="15" s="1"/>
  <c r="AG247" i="15"/>
  <c r="AF247" i="15"/>
  <c r="AE247" i="15"/>
  <c r="AD247" i="15"/>
  <c r="Y247" i="15"/>
  <c r="V247" i="15"/>
  <c r="T247" i="15"/>
  <c r="AM246" i="15"/>
  <c r="AK246" i="15"/>
  <c r="AI246" i="15"/>
  <c r="AH246" i="15"/>
  <c r="AF246" i="15"/>
  <c r="AG246" i="15" s="1"/>
  <c r="AJ246" i="15" s="1"/>
  <c r="AE246" i="15"/>
  <c r="AD246" i="15"/>
  <c r="Y246" i="15"/>
  <c r="V246" i="15"/>
  <c r="T246" i="15"/>
  <c r="AM245" i="15"/>
  <c r="AK245" i="15"/>
  <c r="AH245" i="15"/>
  <c r="AI245" i="15" s="1"/>
  <c r="AG245" i="15"/>
  <c r="AF245" i="15"/>
  <c r="AE245" i="15"/>
  <c r="AD245" i="15"/>
  <c r="Y245" i="15"/>
  <c r="V245" i="15"/>
  <c r="T245" i="15"/>
  <c r="AM244" i="15"/>
  <c r="AK244" i="15"/>
  <c r="AI244" i="15"/>
  <c r="AJ244" i="15" s="1"/>
  <c r="AH244" i="15"/>
  <c r="AG244" i="15"/>
  <c r="AF244" i="15"/>
  <c r="AE244" i="15"/>
  <c r="AD244" i="15"/>
  <c r="Y244" i="15"/>
  <c r="V244" i="15"/>
  <c r="T244" i="15"/>
  <c r="AM243" i="15"/>
  <c r="AK243" i="15"/>
  <c r="AL243" i="15" s="1"/>
  <c r="AI243" i="15"/>
  <c r="AH243" i="15"/>
  <c r="AF243" i="15"/>
  <c r="AG243" i="15" s="1"/>
  <c r="AJ243" i="15" s="1"/>
  <c r="AE243" i="15"/>
  <c r="AD243" i="15"/>
  <c r="Y243" i="15"/>
  <c r="V243" i="15"/>
  <c r="T243" i="15"/>
  <c r="AM242" i="15"/>
  <c r="AK242" i="15"/>
  <c r="AH242" i="15"/>
  <c r="AI242" i="15" s="1"/>
  <c r="AF242" i="15"/>
  <c r="AG242" i="15" s="1"/>
  <c r="AE242" i="15"/>
  <c r="AD242" i="15"/>
  <c r="Y242" i="15"/>
  <c r="V242" i="15"/>
  <c r="T242" i="15"/>
  <c r="AM241" i="15"/>
  <c r="AK241" i="15"/>
  <c r="AH241" i="15"/>
  <c r="AI241" i="15" s="1"/>
  <c r="AG241" i="15"/>
  <c r="AF241" i="15"/>
  <c r="AE241" i="15"/>
  <c r="AD241" i="15"/>
  <c r="Y241" i="15"/>
  <c r="V241" i="15"/>
  <c r="T241" i="15"/>
  <c r="AM240" i="15"/>
  <c r="AK240" i="15"/>
  <c r="AI240" i="15"/>
  <c r="AH240" i="15"/>
  <c r="AF240" i="15"/>
  <c r="AG240" i="15" s="1"/>
  <c r="AJ240" i="15" s="1"/>
  <c r="AE240" i="15"/>
  <c r="AD240" i="15"/>
  <c r="Y240" i="15"/>
  <c r="V240" i="15"/>
  <c r="T240" i="15"/>
  <c r="AM239" i="15"/>
  <c r="AK239" i="15"/>
  <c r="AH239" i="15"/>
  <c r="AI239" i="15" s="1"/>
  <c r="AG239" i="15"/>
  <c r="AF239" i="15"/>
  <c r="AE239" i="15"/>
  <c r="AD239" i="15"/>
  <c r="Y239" i="15"/>
  <c r="V239" i="15"/>
  <c r="T239" i="15"/>
  <c r="AM238" i="15"/>
  <c r="AK238" i="15"/>
  <c r="AI238" i="15"/>
  <c r="AH238" i="15"/>
  <c r="AG238" i="15"/>
  <c r="AL238" i="15" s="1"/>
  <c r="AF238" i="15"/>
  <c r="AE238" i="15"/>
  <c r="AD238" i="15"/>
  <c r="Y238" i="15"/>
  <c r="V238" i="15"/>
  <c r="T238" i="15"/>
  <c r="AM237" i="15"/>
  <c r="AK237" i="15"/>
  <c r="AI237" i="15"/>
  <c r="AH237" i="15"/>
  <c r="AF237" i="15"/>
  <c r="AG237" i="15" s="1"/>
  <c r="AJ237" i="15" s="1"/>
  <c r="AE237" i="15"/>
  <c r="AD237" i="15"/>
  <c r="Y237" i="15"/>
  <c r="V237" i="15"/>
  <c r="T237" i="15"/>
  <c r="AM236" i="15"/>
  <c r="AK236" i="15"/>
  <c r="AH236" i="15"/>
  <c r="AI236" i="15" s="1"/>
  <c r="AF236" i="15"/>
  <c r="AG236" i="15" s="1"/>
  <c r="AE236" i="15"/>
  <c r="AD236" i="15"/>
  <c r="Y236" i="15"/>
  <c r="V236" i="15"/>
  <c r="T236" i="15"/>
  <c r="AM235" i="15"/>
  <c r="AK235" i="15"/>
  <c r="AH235" i="15"/>
  <c r="AI235" i="15" s="1"/>
  <c r="AJ235" i="15" s="1"/>
  <c r="AG235" i="15"/>
  <c r="AF235" i="15"/>
  <c r="AE235" i="15"/>
  <c r="AD235" i="15"/>
  <c r="Y235" i="15"/>
  <c r="V235" i="15"/>
  <c r="T235" i="15"/>
  <c r="AM234" i="15"/>
  <c r="AK234" i="15"/>
  <c r="AI234" i="15"/>
  <c r="AH234" i="15"/>
  <c r="AF234" i="15"/>
  <c r="AG234" i="15" s="1"/>
  <c r="AJ234" i="15" s="1"/>
  <c r="AE234" i="15"/>
  <c r="AD234" i="15"/>
  <c r="AN234" i="15" s="1"/>
  <c r="Y234" i="15"/>
  <c r="V234" i="15"/>
  <c r="T234" i="15"/>
  <c r="AM233" i="15"/>
  <c r="AK233" i="15"/>
  <c r="AH233" i="15"/>
  <c r="AI233" i="15" s="1"/>
  <c r="AJ233" i="15" s="1"/>
  <c r="AG233" i="15"/>
  <c r="AF233" i="15"/>
  <c r="AE233" i="15"/>
  <c r="AD233" i="15"/>
  <c r="Y233" i="15"/>
  <c r="V233" i="15"/>
  <c r="T233" i="15"/>
  <c r="AM232" i="15"/>
  <c r="AK232" i="15"/>
  <c r="AI232" i="15"/>
  <c r="AH232" i="15"/>
  <c r="AG232" i="15"/>
  <c r="AL232" i="15" s="1"/>
  <c r="AF232" i="15"/>
  <c r="AE232" i="15"/>
  <c r="AD232" i="15"/>
  <c r="Y232" i="15"/>
  <c r="V232" i="15"/>
  <c r="T232" i="15"/>
  <c r="AM231" i="15"/>
  <c r="AK231" i="15"/>
  <c r="AH231" i="15"/>
  <c r="AI231" i="15" s="1"/>
  <c r="AL231" i="15" s="1"/>
  <c r="AF231" i="15"/>
  <c r="AG231" i="15" s="1"/>
  <c r="AE231" i="15"/>
  <c r="AD231" i="15"/>
  <c r="Y231" i="15"/>
  <c r="V231" i="15"/>
  <c r="T231" i="15"/>
  <c r="AM230" i="15"/>
  <c r="AK230" i="15"/>
  <c r="AH230" i="15"/>
  <c r="AI230" i="15" s="1"/>
  <c r="AF230" i="15"/>
  <c r="AG230" i="15" s="1"/>
  <c r="AL230" i="15" s="1"/>
  <c r="AE230" i="15"/>
  <c r="AD230" i="15"/>
  <c r="Y230" i="15"/>
  <c r="V230" i="15"/>
  <c r="T230" i="15"/>
  <c r="AM229" i="15"/>
  <c r="AK229" i="15"/>
  <c r="AH229" i="15"/>
  <c r="AI229" i="15" s="1"/>
  <c r="AF229" i="15"/>
  <c r="AG229" i="15" s="1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J228" i="15" s="1"/>
  <c r="AE228" i="15"/>
  <c r="AD228" i="15"/>
  <c r="Y228" i="15"/>
  <c r="V228" i="15"/>
  <c r="T228" i="15"/>
  <c r="AM227" i="15"/>
  <c r="AK227" i="15"/>
  <c r="AH227" i="15"/>
  <c r="AI227" i="15" s="1"/>
  <c r="AJ227" i="15" s="1"/>
  <c r="AG227" i="15"/>
  <c r="AF227" i="15"/>
  <c r="AE227" i="15"/>
  <c r="AD227" i="15"/>
  <c r="AN227" i="15" s="1"/>
  <c r="Y227" i="15"/>
  <c r="V227" i="15"/>
  <c r="T227" i="15"/>
  <c r="AM226" i="15"/>
  <c r="AK226" i="15"/>
  <c r="AI226" i="15"/>
  <c r="AH226" i="15"/>
  <c r="AG226" i="15"/>
  <c r="AL226" i="15" s="1"/>
  <c r="AF226" i="15"/>
  <c r="AE226" i="15"/>
  <c r="AD226" i="15"/>
  <c r="Y226" i="15"/>
  <c r="V226" i="15"/>
  <c r="T226" i="15"/>
  <c r="AM225" i="15"/>
  <c r="AK225" i="15"/>
  <c r="AI225" i="15"/>
  <c r="AH225" i="15"/>
  <c r="AF225" i="15"/>
  <c r="AG225" i="15" s="1"/>
  <c r="AL225" i="15" s="1"/>
  <c r="AE225" i="15"/>
  <c r="AD225" i="15"/>
  <c r="Y225" i="15"/>
  <c r="V225" i="15"/>
  <c r="T225" i="15"/>
  <c r="AM224" i="15"/>
  <c r="AL224" i="15"/>
  <c r="AK224" i="15"/>
  <c r="AJ224" i="15"/>
  <c r="AH224" i="15"/>
  <c r="AI224" i="15" s="1"/>
  <c r="AF224" i="15"/>
  <c r="AG224" i="15" s="1"/>
  <c r="AE224" i="15"/>
  <c r="AD224" i="15"/>
  <c r="Y224" i="15"/>
  <c r="V224" i="15"/>
  <c r="T224" i="15"/>
  <c r="AM223" i="15"/>
  <c r="AL223" i="15"/>
  <c r="AK223" i="15"/>
  <c r="AJ223" i="15"/>
  <c r="AH223" i="15"/>
  <c r="AI223" i="15" s="1"/>
  <c r="AG223" i="15"/>
  <c r="AF223" i="15"/>
  <c r="AE223" i="15"/>
  <c r="AD223" i="15"/>
  <c r="Y223" i="15"/>
  <c r="V223" i="15"/>
  <c r="T223" i="15"/>
  <c r="AM222" i="15"/>
  <c r="AK222" i="15"/>
  <c r="AI222" i="15"/>
  <c r="AH222" i="15"/>
  <c r="AF222" i="15"/>
  <c r="AG222" i="15" s="1"/>
  <c r="AL222" i="15" s="1"/>
  <c r="AE222" i="15"/>
  <c r="AD222" i="15"/>
  <c r="AN222" i="15" s="1"/>
  <c r="Y222" i="15"/>
  <c r="V222" i="15"/>
  <c r="T222" i="15"/>
  <c r="AM221" i="15"/>
  <c r="AL221" i="15"/>
  <c r="AK221" i="15"/>
  <c r="AH221" i="15"/>
  <c r="AI221" i="15" s="1"/>
  <c r="AG221" i="15"/>
  <c r="AJ221" i="15" s="1"/>
  <c r="AF221" i="15"/>
  <c r="AE221" i="15"/>
  <c r="AD221" i="15"/>
  <c r="AN221" i="15" s="1"/>
  <c r="Y221" i="15"/>
  <c r="V221" i="15"/>
  <c r="T221" i="15"/>
  <c r="AM220" i="15"/>
  <c r="AK220" i="15"/>
  <c r="AI220" i="15"/>
  <c r="AL220" i="15" s="1"/>
  <c r="AH220" i="15"/>
  <c r="AG220" i="15"/>
  <c r="AF220" i="15"/>
  <c r="AE220" i="15"/>
  <c r="AD220" i="15"/>
  <c r="Y220" i="15"/>
  <c r="V220" i="15"/>
  <c r="T220" i="15"/>
  <c r="AM219" i="15"/>
  <c r="AK219" i="15"/>
  <c r="AI219" i="15"/>
  <c r="AH219" i="15"/>
  <c r="AF219" i="15"/>
  <c r="AG219" i="15" s="1"/>
  <c r="AJ219" i="15" s="1"/>
  <c r="AE219" i="15"/>
  <c r="AD219" i="15"/>
  <c r="AN219" i="15" s="1"/>
  <c r="Y219" i="15"/>
  <c r="V219" i="15"/>
  <c r="T219" i="15"/>
  <c r="AM218" i="15"/>
  <c r="AK218" i="15"/>
  <c r="AH218" i="15"/>
  <c r="AI218" i="15" s="1"/>
  <c r="AF218" i="15"/>
  <c r="AG218" i="15" s="1"/>
  <c r="AL218" i="15" s="1"/>
  <c r="AE218" i="15"/>
  <c r="AD218" i="15"/>
  <c r="Y218" i="15"/>
  <c r="V218" i="15"/>
  <c r="T218" i="15"/>
  <c r="AM217" i="15"/>
  <c r="AK217" i="15"/>
  <c r="AH217" i="15"/>
  <c r="AI217" i="15" s="1"/>
  <c r="AG217" i="15"/>
  <c r="AL217" i="15" s="1"/>
  <c r="AF217" i="15"/>
  <c r="AE217" i="15"/>
  <c r="AD217" i="15"/>
  <c r="Y217" i="15"/>
  <c r="V217" i="15"/>
  <c r="T217" i="15"/>
  <c r="AM216" i="15"/>
  <c r="AK216" i="15"/>
  <c r="AI216" i="15"/>
  <c r="AH216" i="15"/>
  <c r="AF216" i="15"/>
  <c r="AG216" i="15" s="1"/>
  <c r="AL216" i="15" s="1"/>
  <c r="AE216" i="15"/>
  <c r="AD216" i="15"/>
  <c r="Y216" i="15"/>
  <c r="V216" i="15"/>
  <c r="T216" i="15"/>
  <c r="AM215" i="15"/>
  <c r="AK215" i="15"/>
  <c r="AH215" i="15"/>
  <c r="AI215" i="15" s="1"/>
  <c r="AG215" i="15"/>
  <c r="AL215" i="15" s="1"/>
  <c r="AF215" i="15"/>
  <c r="AE215" i="15"/>
  <c r="AD215" i="15"/>
  <c r="Y215" i="15"/>
  <c r="V215" i="15"/>
  <c r="T215" i="15"/>
  <c r="AM214" i="15"/>
  <c r="AK214" i="15"/>
  <c r="AI214" i="15"/>
  <c r="AH214" i="15"/>
  <c r="AG214" i="15"/>
  <c r="AL214" i="15" s="1"/>
  <c r="AF214" i="15"/>
  <c r="AE214" i="15"/>
  <c r="AD214" i="15"/>
  <c r="Y214" i="15"/>
  <c r="V214" i="15"/>
  <c r="T214" i="15"/>
  <c r="AM213" i="15"/>
  <c r="AK213" i="15"/>
  <c r="AI213" i="15"/>
  <c r="AH213" i="15"/>
  <c r="AF213" i="15"/>
  <c r="AG213" i="15" s="1"/>
  <c r="AL213" i="15" s="1"/>
  <c r="AE213" i="15"/>
  <c r="AD213" i="15"/>
  <c r="Y213" i="15"/>
  <c r="V213" i="15"/>
  <c r="T213" i="15"/>
  <c r="AM212" i="15"/>
  <c r="AL212" i="15"/>
  <c r="AK212" i="15"/>
  <c r="AJ212" i="15"/>
  <c r="AH212" i="15"/>
  <c r="AI212" i="15" s="1"/>
  <c r="AG212" i="15"/>
  <c r="AF212" i="15"/>
  <c r="AE212" i="15"/>
  <c r="AD212" i="15"/>
  <c r="AN212" i="15" s="1"/>
  <c r="Y212" i="15"/>
  <c r="V212" i="15"/>
  <c r="T212" i="15"/>
  <c r="AM211" i="15"/>
  <c r="AK211" i="15"/>
  <c r="AI211" i="15"/>
  <c r="AH211" i="15"/>
  <c r="AG211" i="15"/>
  <c r="AL211" i="15" s="1"/>
  <c r="AF211" i="15"/>
  <c r="AE211" i="15"/>
  <c r="AD211" i="15"/>
  <c r="Y211" i="15"/>
  <c r="V211" i="15"/>
  <c r="T211" i="15"/>
  <c r="AM210" i="15"/>
  <c r="AK210" i="15"/>
  <c r="AI210" i="15"/>
  <c r="AH210" i="15"/>
  <c r="AF210" i="15"/>
  <c r="AG210" i="15" s="1"/>
  <c r="AE210" i="15"/>
  <c r="AD210" i="15"/>
  <c r="Y210" i="15"/>
  <c r="V210" i="15"/>
  <c r="T210" i="15"/>
  <c r="AM209" i="15"/>
  <c r="AK209" i="15"/>
  <c r="AH209" i="15"/>
  <c r="AI209" i="15" s="1"/>
  <c r="AG209" i="15"/>
  <c r="AF209" i="15"/>
  <c r="AE209" i="15"/>
  <c r="AD209" i="15"/>
  <c r="Y209" i="15"/>
  <c r="V209" i="15"/>
  <c r="T209" i="15"/>
  <c r="AM208" i="15"/>
  <c r="AK208" i="15"/>
  <c r="AI208" i="15"/>
  <c r="AH208" i="15"/>
  <c r="AG208" i="15"/>
  <c r="AL208" i="15" s="1"/>
  <c r="AF208" i="15"/>
  <c r="AE208" i="15"/>
  <c r="AD208" i="15"/>
  <c r="Y208" i="15"/>
  <c r="V208" i="15"/>
  <c r="T208" i="15"/>
  <c r="AM207" i="15"/>
  <c r="AK207" i="15"/>
  <c r="AI207" i="15"/>
  <c r="AH207" i="15"/>
  <c r="AG207" i="15"/>
  <c r="AL207" i="15" s="1"/>
  <c r="AF207" i="15"/>
  <c r="AE207" i="15"/>
  <c r="AD207" i="15"/>
  <c r="Y207" i="15"/>
  <c r="V207" i="15"/>
  <c r="T207" i="15"/>
  <c r="AM206" i="15"/>
  <c r="AK206" i="15"/>
  <c r="AI206" i="15"/>
  <c r="AH206" i="15"/>
  <c r="AG206" i="15"/>
  <c r="AL206" i="15" s="1"/>
  <c r="AF206" i="15"/>
  <c r="AE206" i="15"/>
  <c r="AD206" i="15"/>
  <c r="Y206" i="15"/>
  <c r="V206" i="15"/>
  <c r="T206" i="15"/>
  <c r="AM205" i="15"/>
  <c r="AK205" i="15"/>
  <c r="AI205" i="15"/>
  <c r="AH205" i="15"/>
  <c r="AG205" i="15"/>
  <c r="AL205" i="15" s="1"/>
  <c r="AF205" i="15"/>
  <c r="AE205" i="15"/>
  <c r="AD205" i="15"/>
  <c r="Y205" i="15"/>
  <c r="V205" i="15"/>
  <c r="T205" i="15"/>
  <c r="AM204" i="15"/>
  <c r="AK204" i="15"/>
  <c r="AI204" i="15"/>
  <c r="AH204" i="15"/>
  <c r="AF204" i="15"/>
  <c r="AG204" i="15" s="1"/>
  <c r="AE204" i="15"/>
  <c r="AD204" i="15"/>
  <c r="Y204" i="15"/>
  <c r="V204" i="15"/>
  <c r="T204" i="15"/>
  <c r="AM203" i="15"/>
  <c r="AK203" i="15"/>
  <c r="AH203" i="15"/>
  <c r="AI203" i="15" s="1"/>
  <c r="AG203" i="15"/>
  <c r="AJ203" i="15" s="1"/>
  <c r="AF203" i="15"/>
  <c r="AE203" i="15"/>
  <c r="AD203" i="15"/>
  <c r="Y203" i="15"/>
  <c r="V203" i="15"/>
  <c r="T203" i="15"/>
  <c r="AM202" i="15"/>
  <c r="AK202" i="15"/>
  <c r="AI202" i="15"/>
  <c r="AH202" i="15"/>
  <c r="AG202" i="15"/>
  <c r="AL202" i="15" s="1"/>
  <c r="AF202" i="15"/>
  <c r="AE202" i="15"/>
  <c r="AD202" i="15"/>
  <c r="Y202" i="15"/>
  <c r="V202" i="15"/>
  <c r="T202" i="15"/>
  <c r="AM201" i="15"/>
  <c r="AK201" i="15"/>
  <c r="AI201" i="15"/>
  <c r="AH201" i="15"/>
  <c r="AG201" i="15"/>
  <c r="AL201" i="15" s="1"/>
  <c r="AF201" i="15"/>
  <c r="AE201" i="15"/>
  <c r="AD201" i="15"/>
  <c r="Y201" i="15"/>
  <c r="V201" i="15"/>
  <c r="T201" i="15"/>
  <c r="AM200" i="15"/>
  <c r="AK200" i="15"/>
  <c r="AI200" i="15"/>
  <c r="AH200" i="15"/>
  <c r="AG200" i="15"/>
  <c r="AL200" i="15" s="1"/>
  <c r="AF200" i="15"/>
  <c r="AE200" i="15"/>
  <c r="AD200" i="15"/>
  <c r="Y200" i="15"/>
  <c r="V200" i="15"/>
  <c r="T200" i="15"/>
  <c r="AM199" i="15"/>
  <c r="AK199" i="15"/>
  <c r="AI199" i="15"/>
  <c r="AH199" i="15"/>
  <c r="AG199" i="15"/>
  <c r="AL199" i="15" s="1"/>
  <c r="AF199" i="15"/>
  <c r="AE199" i="15"/>
  <c r="AD199" i="15"/>
  <c r="Y199" i="15"/>
  <c r="V199" i="15"/>
  <c r="T199" i="15"/>
  <c r="AM198" i="15"/>
  <c r="AK198" i="15"/>
  <c r="AI198" i="15"/>
  <c r="AH198" i="15"/>
  <c r="AF198" i="15"/>
  <c r="AG198" i="15" s="1"/>
  <c r="AE198" i="15"/>
  <c r="AD198" i="15"/>
  <c r="Y198" i="15"/>
  <c r="V198" i="15"/>
  <c r="T198" i="15"/>
  <c r="AM197" i="15"/>
  <c r="AK197" i="15"/>
  <c r="AH197" i="15"/>
  <c r="AI197" i="15" s="1"/>
  <c r="AG197" i="15"/>
  <c r="AF197" i="15"/>
  <c r="AE197" i="15"/>
  <c r="AD197" i="15"/>
  <c r="Y197" i="15"/>
  <c r="V197" i="15"/>
  <c r="T197" i="15"/>
  <c r="AM196" i="15"/>
  <c r="AK196" i="15"/>
  <c r="AI196" i="15"/>
  <c r="AH196" i="15"/>
  <c r="AG196" i="15"/>
  <c r="AL196" i="15" s="1"/>
  <c r="AF196" i="15"/>
  <c r="AE196" i="15"/>
  <c r="AD196" i="15"/>
  <c r="Y196" i="15"/>
  <c r="V196" i="15"/>
  <c r="T196" i="15"/>
  <c r="AM195" i="15"/>
  <c r="AK195" i="15"/>
  <c r="AI195" i="15"/>
  <c r="AH195" i="15"/>
  <c r="AG195" i="15"/>
  <c r="AL195" i="15" s="1"/>
  <c r="AF195" i="15"/>
  <c r="AE195" i="15"/>
  <c r="AD195" i="15"/>
  <c r="Y195" i="15"/>
  <c r="V195" i="15"/>
  <c r="T195" i="15"/>
  <c r="AM194" i="15"/>
  <c r="AK194" i="15"/>
  <c r="AI194" i="15"/>
  <c r="AH194" i="15"/>
  <c r="AG194" i="15"/>
  <c r="AL194" i="15" s="1"/>
  <c r="AF194" i="15"/>
  <c r="AE194" i="15"/>
  <c r="AD194" i="15"/>
  <c r="Y194" i="15"/>
  <c r="V194" i="15"/>
  <c r="T194" i="15"/>
  <c r="AM193" i="15"/>
  <c r="AK193" i="15"/>
  <c r="AI193" i="15"/>
  <c r="AH193" i="15"/>
  <c r="AG193" i="15"/>
  <c r="AL193" i="15" s="1"/>
  <c r="AF193" i="15"/>
  <c r="AE193" i="15"/>
  <c r="AD193" i="15"/>
  <c r="Y193" i="15"/>
  <c r="V193" i="15"/>
  <c r="T193" i="15"/>
  <c r="AM192" i="15"/>
  <c r="AK192" i="15"/>
  <c r="AI192" i="15"/>
  <c r="AH192" i="15"/>
  <c r="AF192" i="15"/>
  <c r="AG192" i="15" s="1"/>
  <c r="AE192" i="15"/>
  <c r="AD192" i="15"/>
  <c r="Y192" i="15"/>
  <c r="V192" i="15"/>
  <c r="T192" i="15"/>
  <c r="AM191" i="15"/>
  <c r="AK191" i="15"/>
  <c r="AH191" i="15"/>
  <c r="AI191" i="15" s="1"/>
  <c r="AG191" i="15"/>
  <c r="AF191" i="15"/>
  <c r="AE191" i="15"/>
  <c r="AD191" i="15"/>
  <c r="Y191" i="15"/>
  <c r="V191" i="15"/>
  <c r="T191" i="15"/>
  <c r="AM190" i="15"/>
  <c r="AK190" i="15"/>
  <c r="AI190" i="15"/>
  <c r="AH190" i="15"/>
  <c r="AG190" i="15"/>
  <c r="AL190" i="15" s="1"/>
  <c r="AF190" i="15"/>
  <c r="AE190" i="15"/>
  <c r="AD190" i="15"/>
  <c r="Y190" i="15"/>
  <c r="V190" i="15"/>
  <c r="T190" i="15"/>
  <c r="AM189" i="15"/>
  <c r="AK189" i="15"/>
  <c r="AI189" i="15"/>
  <c r="AH189" i="15"/>
  <c r="AG189" i="15"/>
  <c r="AL189" i="15" s="1"/>
  <c r="AF189" i="15"/>
  <c r="AE189" i="15"/>
  <c r="AD189" i="15"/>
  <c r="Y189" i="15"/>
  <c r="V189" i="15"/>
  <c r="T189" i="15"/>
  <c r="AM188" i="15"/>
  <c r="AK188" i="15"/>
  <c r="AI188" i="15"/>
  <c r="AH188" i="15"/>
  <c r="AG188" i="15"/>
  <c r="AL188" i="15" s="1"/>
  <c r="AF188" i="15"/>
  <c r="AE188" i="15"/>
  <c r="AD188" i="15"/>
  <c r="Y188" i="15"/>
  <c r="V188" i="15"/>
  <c r="T188" i="15"/>
  <c r="AM187" i="15"/>
  <c r="AK187" i="15"/>
  <c r="AI187" i="15"/>
  <c r="AH187" i="15"/>
  <c r="AG187" i="15"/>
  <c r="AL187" i="15" s="1"/>
  <c r="AF187" i="15"/>
  <c r="AE187" i="15"/>
  <c r="AD187" i="15"/>
  <c r="Y187" i="15"/>
  <c r="V187" i="15"/>
  <c r="T187" i="15"/>
  <c r="AM186" i="15"/>
  <c r="AK186" i="15"/>
  <c r="AI186" i="15"/>
  <c r="AH186" i="15"/>
  <c r="AF186" i="15"/>
  <c r="AG186" i="15" s="1"/>
  <c r="AE186" i="15"/>
  <c r="AD186" i="15"/>
  <c r="Y186" i="15"/>
  <c r="V186" i="15"/>
  <c r="T186" i="15"/>
  <c r="AM185" i="15"/>
  <c r="AK185" i="15"/>
  <c r="AH185" i="15"/>
  <c r="AI185" i="15" s="1"/>
  <c r="AG185" i="15"/>
  <c r="AJ185" i="15" s="1"/>
  <c r="AF185" i="15"/>
  <c r="AE185" i="15"/>
  <c r="AD185" i="15"/>
  <c r="Y185" i="15"/>
  <c r="V185" i="15"/>
  <c r="T185" i="15"/>
  <c r="AM184" i="15"/>
  <c r="AK184" i="15"/>
  <c r="AI184" i="15"/>
  <c r="AH184" i="15"/>
  <c r="AG184" i="15"/>
  <c r="AL184" i="15" s="1"/>
  <c r="AF184" i="15"/>
  <c r="AE184" i="15"/>
  <c r="AD184" i="15"/>
  <c r="Y184" i="15"/>
  <c r="V184" i="15"/>
  <c r="T184" i="15"/>
  <c r="AM183" i="15"/>
  <c r="AK183" i="15"/>
  <c r="AI183" i="15"/>
  <c r="AH183" i="15"/>
  <c r="AG183" i="15"/>
  <c r="AL183" i="15" s="1"/>
  <c r="AF183" i="15"/>
  <c r="AE183" i="15"/>
  <c r="AD183" i="15"/>
  <c r="Y183" i="15"/>
  <c r="V183" i="15"/>
  <c r="T183" i="15"/>
  <c r="AM182" i="15"/>
  <c r="AK182" i="15"/>
  <c r="AI182" i="15"/>
  <c r="AH182" i="15"/>
  <c r="AG182" i="15"/>
  <c r="AL182" i="15" s="1"/>
  <c r="AF182" i="15"/>
  <c r="AE182" i="15"/>
  <c r="AD182" i="15"/>
  <c r="Y182" i="15"/>
  <c r="V182" i="15"/>
  <c r="T182" i="15"/>
  <c r="AM181" i="15"/>
  <c r="AK181" i="15"/>
  <c r="AI181" i="15"/>
  <c r="AH181" i="15"/>
  <c r="AG181" i="15"/>
  <c r="AL181" i="15" s="1"/>
  <c r="AF181" i="15"/>
  <c r="AE181" i="15"/>
  <c r="AD181" i="15"/>
  <c r="Y181" i="15"/>
  <c r="V181" i="15"/>
  <c r="T181" i="15"/>
  <c r="AM180" i="15"/>
  <c r="AK180" i="15"/>
  <c r="AI180" i="15"/>
  <c r="AH180" i="15"/>
  <c r="AF180" i="15"/>
  <c r="AG180" i="15" s="1"/>
  <c r="AE180" i="15"/>
  <c r="AD180" i="15"/>
  <c r="Y180" i="15"/>
  <c r="V180" i="15"/>
  <c r="T180" i="15"/>
  <c r="AM179" i="15"/>
  <c r="AK179" i="15"/>
  <c r="AH179" i="15"/>
  <c r="AI179" i="15" s="1"/>
  <c r="AG179" i="15"/>
  <c r="AF179" i="15"/>
  <c r="AE179" i="15"/>
  <c r="AD179" i="15"/>
  <c r="Y179" i="15"/>
  <c r="V179" i="15"/>
  <c r="T179" i="15"/>
  <c r="AM178" i="15"/>
  <c r="AK178" i="15"/>
  <c r="AI178" i="15"/>
  <c r="AH178" i="15"/>
  <c r="AG178" i="15"/>
  <c r="AL178" i="15" s="1"/>
  <c r="AF178" i="15"/>
  <c r="AE178" i="15"/>
  <c r="AD178" i="15"/>
  <c r="Y178" i="15"/>
  <c r="V178" i="15"/>
  <c r="T178" i="15"/>
  <c r="AM177" i="15"/>
  <c r="AK177" i="15"/>
  <c r="AI177" i="15"/>
  <c r="AH177" i="15"/>
  <c r="AG177" i="15"/>
  <c r="AL177" i="15" s="1"/>
  <c r="AF177" i="15"/>
  <c r="AE177" i="15"/>
  <c r="AD177" i="15"/>
  <c r="Y177" i="15"/>
  <c r="V177" i="15"/>
  <c r="T177" i="15"/>
  <c r="AM176" i="15"/>
  <c r="AK176" i="15"/>
  <c r="AI176" i="15"/>
  <c r="AH176" i="15"/>
  <c r="AG176" i="15"/>
  <c r="AL176" i="15" s="1"/>
  <c r="AF176" i="15"/>
  <c r="AE176" i="15"/>
  <c r="AD176" i="15"/>
  <c r="Y176" i="15"/>
  <c r="V176" i="15"/>
  <c r="T176" i="15"/>
  <c r="AM175" i="15"/>
  <c r="AK175" i="15"/>
  <c r="AI175" i="15"/>
  <c r="AH175" i="15"/>
  <c r="AG175" i="15"/>
  <c r="AL175" i="15" s="1"/>
  <c r="AF175" i="15"/>
  <c r="AE175" i="15"/>
  <c r="AD175" i="15"/>
  <c r="Y175" i="15"/>
  <c r="V175" i="15"/>
  <c r="T175" i="15"/>
  <c r="AM174" i="15"/>
  <c r="AK174" i="15"/>
  <c r="AI174" i="15"/>
  <c r="AH174" i="15"/>
  <c r="AF174" i="15"/>
  <c r="AG174" i="15" s="1"/>
  <c r="AE174" i="15"/>
  <c r="AD174" i="15"/>
  <c r="Y174" i="15"/>
  <c r="V174" i="15"/>
  <c r="T174" i="15"/>
  <c r="AM173" i="15"/>
  <c r="AK173" i="15"/>
  <c r="AH173" i="15"/>
  <c r="AI173" i="15" s="1"/>
  <c r="AG173" i="15"/>
  <c r="AF173" i="15"/>
  <c r="AE173" i="15"/>
  <c r="AD173" i="15"/>
  <c r="Y173" i="15"/>
  <c r="V173" i="15"/>
  <c r="T173" i="15"/>
  <c r="AM172" i="15"/>
  <c r="AK172" i="15"/>
  <c r="AI172" i="15"/>
  <c r="AH172" i="15"/>
  <c r="AG172" i="15"/>
  <c r="AL172" i="15" s="1"/>
  <c r="AF172" i="15"/>
  <c r="AE172" i="15"/>
  <c r="AD172" i="15"/>
  <c r="Y172" i="15"/>
  <c r="V172" i="15"/>
  <c r="T172" i="15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I170" i="15"/>
  <c r="AH170" i="15"/>
  <c r="AF170" i="15"/>
  <c r="AG170" i="15" s="1"/>
  <c r="AL170" i="15" s="1"/>
  <c r="AE170" i="15"/>
  <c r="Y170" i="15"/>
  <c r="V170" i="15"/>
  <c r="T170" i="15"/>
  <c r="AD170" i="15" s="1"/>
  <c r="AM169" i="15"/>
  <c r="AK169" i="15"/>
  <c r="AH169" i="15"/>
  <c r="AI169" i="15" s="1"/>
  <c r="AG169" i="15"/>
  <c r="AF169" i="15"/>
  <c r="AE169" i="15"/>
  <c r="AD169" i="15"/>
  <c r="Y169" i="15"/>
  <c r="V169" i="15"/>
  <c r="T169" i="15"/>
  <c r="AM168" i="15"/>
  <c r="AK168" i="15"/>
  <c r="AI168" i="15"/>
  <c r="AH168" i="15"/>
  <c r="AF168" i="15"/>
  <c r="AG168" i="15" s="1"/>
  <c r="AE168" i="15"/>
  <c r="AD168" i="15"/>
  <c r="Y168" i="15"/>
  <c r="V168" i="15"/>
  <c r="T168" i="15"/>
  <c r="AK167" i="15"/>
  <c r="AF167" i="15"/>
  <c r="AG167" i="15" s="1"/>
  <c r="AD167" i="15"/>
  <c r="Y167" i="15"/>
  <c r="V167" i="15"/>
  <c r="T167" i="15"/>
  <c r="AM167" i="15" s="1"/>
  <c r="AM166" i="15"/>
  <c r="AK166" i="15"/>
  <c r="AF166" i="15"/>
  <c r="AG166" i="15" s="1"/>
  <c r="AE166" i="15"/>
  <c r="AD166" i="15"/>
  <c r="Y166" i="15"/>
  <c r="V166" i="15"/>
  <c r="T166" i="15"/>
  <c r="AH166" i="15" s="1"/>
  <c r="AI166" i="15" s="1"/>
  <c r="AK165" i="15"/>
  <c r="AF165" i="15"/>
  <c r="AG165" i="15" s="1"/>
  <c r="AD165" i="15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H163" i="15"/>
  <c r="AI163" i="15" s="1"/>
  <c r="AG163" i="15"/>
  <c r="AF163" i="15"/>
  <c r="Y163" i="15"/>
  <c r="V163" i="15"/>
  <c r="T163" i="15"/>
  <c r="AE163" i="15" s="1"/>
  <c r="AM162" i="15"/>
  <c r="AK162" i="15"/>
  <c r="AH162" i="15"/>
  <c r="AI162" i="15" s="1"/>
  <c r="AF162" i="15"/>
  <c r="AG162" i="15" s="1"/>
  <c r="Y162" i="15"/>
  <c r="V162" i="15"/>
  <c r="T162" i="15"/>
  <c r="AE162" i="15" s="1"/>
  <c r="AM161" i="15"/>
  <c r="AK161" i="15"/>
  <c r="AH161" i="15"/>
  <c r="AI161" i="15" s="1"/>
  <c r="AG161" i="15"/>
  <c r="AF161" i="15"/>
  <c r="AE161" i="15"/>
  <c r="AD161" i="15"/>
  <c r="Y161" i="15"/>
  <c r="V161" i="15"/>
  <c r="T161" i="15"/>
  <c r="AM160" i="15"/>
  <c r="AK160" i="15"/>
  <c r="AI160" i="15"/>
  <c r="AH160" i="15"/>
  <c r="AG160" i="15"/>
  <c r="AL160" i="15" s="1"/>
  <c r="AF160" i="15"/>
  <c r="AE160" i="15"/>
  <c r="AD160" i="15"/>
  <c r="Y160" i="15"/>
  <c r="V160" i="15"/>
  <c r="T160" i="15"/>
  <c r="AK159" i="15"/>
  <c r="AH159" i="15"/>
  <c r="AI159" i="15" s="1"/>
  <c r="AF159" i="15"/>
  <c r="AG159" i="15" s="1"/>
  <c r="AL159" i="15" s="1"/>
  <c r="AE159" i="15"/>
  <c r="AD159" i="15"/>
  <c r="Y159" i="15"/>
  <c r="V159" i="15"/>
  <c r="T159" i="15"/>
  <c r="AM159" i="15" s="1"/>
  <c r="AN159" i="15" s="1"/>
  <c r="AK158" i="15"/>
  <c r="AG158" i="15"/>
  <c r="AF158" i="15"/>
  <c r="AE158" i="15"/>
  <c r="AD158" i="15"/>
  <c r="Y158" i="15"/>
  <c r="V158" i="15"/>
  <c r="T158" i="15"/>
  <c r="AM158" i="15" s="1"/>
  <c r="AK157" i="15"/>
  <c r="AF157" i="15"/>
  <c r="AG157" i="15" s="1"/>
  <c r="AD157" i="15"/>
  <c r="Y157" i="15"/>
  <c r="V157" i="15"/>
  <c r="T157" i="15"/>
  <c r="AM157" i="15" s="1"/>
  <c r="AK156" i="15"/>
  <c r="AF156" i="15"/>
  <c r="AG156" i="15" s="1"/>
  <c r="AD156" i="15"/>
  <c r="Y156" i="15"/>
  <c r="V156" i="15"/>
  <c r="T156" i="15"/>
  <c r="AM156" i="15" s="1"/>
  <c r="AM155" i="15"/>
  <c r="AK155" i="15"/>
  <c r="AH155" i="15"/>
  <c r="AI155" i="15" s="1"/>
  <c r="AF155" i="15"/>
  <c r="AG155" i="15" s="1"/>
  <c r="Y155" i="15"/>
  <c r="V155" i="15"/>
  <c r="T155" i="15"/>
  <c r="AE155" i="15" s="1"/>
  <c r="AM154" i="15"/>
  <c r="AK154" i="15"/>
  <c r="AG154" i="15"/>
  <c r="AF154" i="15"/>
  <c r="Y154" i="15"/>
  <c r="V154" i="15"/>
  <c r="T154" i="15"/>
  <c r="AH154" i="15" s="1"/>
  <c r="AI154" i="15" s="1"/>
  <c r="AM153" i="15"/>
  <c r="AK153" i="15"/>
  <c r="AI153" i="15"/>
  <c r="AH153" i="15"/>
  <c r="AF153" i="15"/>
  <c r="AG153" i="15" s="1"/>
  <c r="AL153" i="15" s="1"/>
  <c r="AE153" i="15"/>
  <c r="AD153" i="15"/>
  <c r="Y153" i="15"/>
  <c r="V153" i="15"/>
  <c r="T153" i="15"/>
  <c r="AM152" i="15"/>
  <c r="AK152" i="15"/>
  <c r="AI152" i="15"/>
  <c r="AH152" i="15"/>
  <c r="AG152" i="15"/>
  <c r="AF152" i="15"/>
  <c r="AE152" i="15"/>
  <c r="Y152" i="15"/>
  <c r="V152" i="15"/>
  <c r="T152" i="15"/>
  <c r="AD152" i="15" s="1"/>
  <c r="AM151" i="15"/>
  <c r="AK151" i="15"/>
  <c r="AH151" i="15"/>
  <c r="AI151" i="15" s="1"/>
  <c r="AG151" i="15"/>
  <c r="AF151" i="15"/>
  <c r="AE151" i="15"/>
  <c r="AD151" i="15"/>
  <c r="Y151" i="15"/>
  <c r="V151" i="15"/>
  <c r="T151" i="15"/>
  <c r="AM150" i="15"/>
  <c r="AK150" i="15"/>
  <c r="AI150" i="15"/>
  <c r="AH150" i="15"/>
  <c r="AF150" i="15"/>
  <c r="AG150" i="15" s="1"/>
  <c r="AE150" i="15"/>
  <c r="AD150" i="15"/>
  <c r="Y150" i="15"/>
  <c r="V150" i="15"/>
  <c r="T150" i="15"/>
  <c r="AK149" i="15"/>
  <c r="AF149" i="15"/>
  <c r="AG149" i="15" s="1"/>
  <c r="AD149" i="15"/>
  <c r="Y149" i="15"/>
  <c r="V149" i="15"/>
  <c r="T149" i="15"/>
  <c r="AM149" i="15" s="1"/>
  <c r="AM148" i="15"/>
  <c r="AK148" i="15"/>
  <c r="AF148" i="15"/>
  <c r="AG148" i="15" s="1"/>
  <c r="AE148" i="15"/>
  <c r="Y148" i="15"/>
  <c r="V148" i="15"/>
  <c r="T148" i="15"/>
  <c r="AH148" i="15" s="1"/>
  <c r="AI148" i="15" s="1"/>
  <c r="AK147" i="15"/>
  <c r="AF147" i="15"/>
  <c r="AG147" i="15" s="1"/>
  <c r="AD147" i="15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H145" i="15"/>
  <c r="AI145" i="15" s="1"/>
  <c r="AF145" i="15"/>
  <c r="AG145" i="15" s="1"/>
  <c r="AL145" i="15" s="1"/>
  <c r="Y145" i="15"/>
  <c r="V145" i="15"/>
  <c r="T145" i="15"/>
  <c r="AE145" i="15" s="1"/>
  <c r="AM144" i="15"/>
  <c r="AK144" i="15"/>
  <c r="AI144" i="15"/>
  <c r="AH144" i="15"/>
  <c r="AF144" i="15"/>
  <c r="AG144" i="15" s="1"/>
  <c r="Y144" i="15"/>
  <c r="V144" i="15"/>
  <c r="T144" i="15"/>
  <c r="AE144" i="15" s="1"/>
  <c r="AM143" i="15"/>
  <c r="AK143" i="15"/>
  <c r="AH143" i="15"/>
  <c r="AI143" i="15" s="1"/>
  <c r="AG143" i="15"/>
  <c r="AF143" i="15"/>
  <c r="AE143" i="15"/>
  <c r="AD143" i="15"/>
  <c r="Y143" i="15"/>
  <c r="V143" i="15"/>
  <c r="T143" i="15"/>
  <c r="AM142" i="15"/>
  <c r="AK142" i="15"/>
  <c r="AI142" i="15"/>
  <c r="AH142" i="15"/>
  <c r="AG142" i="15"/>
  <c r="AL142" i="15" s="1"/>
  <c r="AF142" i="15"/>
  <c r="AE142" i="15"/>
  <c r="AD142" i="15"/>
  <c r="Y142" i="15"/>
  <c r="V142" i="15"/>
  <c r="T142" i="15"/>
  <c r="AM141" i="15"/>
  <c r="AK141" i="15"/>
  <c r="AH141" i="15"/>
  <c r="AI141" i="15" s="1"/>
  <c r="AF141" i="15"/>
  <c r="AG141" i="15" s="1"/>
  <c r="AL141" i="15" s="1"/>
  <c r="AE141" i="15"/>
  <c r="AD141" i="15"/>
  <c r="Y141" i="15"/>
  <c r="V141" i="15"/>
  <c r="T141" i="15"/>
  <c r="AM140" i="15"/>
  <c r="AK140" i="15"/>
  <c r="AG140" i="15"/>
  <c r="AF140" i="15"/>
  <c r="AE140" i="15"/>
  <c r="AD140" i="15"/>
  <c r="Y140" i="15"/>
  <c r="V140" i="15"/>
  <c r="T140" i="15"/>
  <c r="AH140" i="15" s="1"/>
  <c r="AI140" i="15" s="1"/>
  <c r="AK139" i="15"/>
  <c r="AF139" i="15"/>
  <c r="AG139" i="15" s="1"/>
  <c r="AD139" i="15"/>
  <c r="Y139" i="15"/>
  <c r="V139" i="15"/>
  <c r="T139" i="15"/>
  <c r="AM139" i="15" s="1"/>
  <c r="AK138" i="15"/>
  <c r="AF138" i="15"/>
  <c r="AG138" i="15" s="1"/>
  <c r="AD138" i="15"/>
  <c r="Y138" i="15"/>
  <c r="V138" i="15"/>
  <c r="T138" i="15"/>
  <c r="AM138" i="15" s="1"/>
  <c r="AM137" i="15"/>
  <c r="AK137" i="15"/>
  <c r="AH137" i="15"/>
  <c r="AI137" i="15" s="1"/>
  <c r="AF137" i="15"/>
  <c r="AG137" i="15" s="1"/>
  <c r="Y137" i="15"/>
  <c r="V137" i="15"/>
  <c r="T137" i="15"/>
  <c r="AE137" i="15" s="1"/>
  <c r="AM136" i="15"/>
  <c r="AK136" i="15"/>
  <c r="AG136" i="15"/>
  <c r="AF136" i="15"/>
  <c r="Y136" i="15"/>
  <c r="V136" i="15"/>
  <c r="T136" i="15"/>
  <c r="AH136" i="15" s="1"/>
  <c r="AI136" i="15" s="1"/>
  <c r="AM135" i="15"/>
  <c r="AK135" i="15"/>
  <c r="AI135" i="15"/>
  <c r="AH135" i="15"/>
  <c r="AF135" i="15"/>
  <c r="AG135" i="15" s="1"/>
  <c r="AL135" i="15" s="1"/>
  <c r="AE135" i="15"/>
  <c r="AD135" i="15"/>
  <c r="Y135" i="15"/>
  <c r="V135" i="15"/>
  <c r="T135" i="15"/>
  <c r="AM134" i="15"/>
  <c r="AK134" i="15"/>
  <c r="AI134" i="15"/>
  <c r="AH134" i="15"/>
  <c r="AG134" i="15"/>
  <c r="AF134" i="15"/>
  <c r="AE134" i="15"/>
  <c r="Y134" i="15"/>
  <c r="V134" i="15"/>
  <c r="T134" i="15"/>
  <c r="AD134" i="15" s="1"/>
  <c r="AK133" i="15"/>
  <c r="AH133" i="15"/>
  <c r="AI133" i="15" s="1"/>
  <c r="AG133" i="15"/>
  <c r="AF133" i="15"/>
  <c r="AE133" i="15"/>
  <c r="AD133" i="15"/>
  <c r="Y133" i="15"/>
  <c r="V133" i="15"/>
  <c r="T133" i="15"/>
  <c r="AM133" i="15" s="1"/>
  <c r="AM132" i="15"/>
  <c r="AK132" i="15"/>
  <c r="AI132" i="15"/>
  <c r="AH132" i="15"/>
  <c r="AF132" i="15"/>
  <c r="AG132" i="15" s="1"/>
  <c r="AE132" i="15"/>
  <c r="AD132" i="15"/>
  <c r="Y132" i="15"/>
  <c r="V132" i="15"/>
  <c r="T132" i="15"/>
  <c r="AK131" i="15"/>
  <c r="AF131" i="15"/>
  <c r="AG131" i="15" s="1"/>
  <c r="AD131" i="15"/>
  <c r="Y131" i="15"/>
  <c r="V131" i="15"/>
  <c r="T131" i="15"/>
  <c r="AM131" i="15" s="1"/>
  <c r="AM130" i="15"/>
  <c r="AK130" i="15"/>
  <c r="AG130" i="15"/>
  <c r="AF130" i="15"/>
  <c r="AE130" i="15"/>
  <c r="Y130" i="15"/>
  <c r="V130" i="15"/>
  <c r="T130" i="15"/>
  <c r="AH130" i="15" s="1"/>
  <c r="AI130" i="15" s="1"/>
  <c r="AK129" i="15"/>
  <c r="AF129" i="15"/>
  <c r="AG129" i="15" s="1"/>
  <c r="AD129" i="15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H127" i="15"/>
  <c r="AI127" i="15" s="1"/>
  <c r="AF127" i="15"/>
  <c r="AG127" i="15" s="1"/>
  <c r="AL127" i="15" s="1"/>
  <c r="Y127" i="15"/>
  <c r="V127" i="15"/>
  <c r="T127" i="15"/>
  <c r="AE127" i="15" s="1"/>
  <c r="AM126" i="15"/>
  <c r="AK126" i="15"/>
  <c r="AI126" i="15"/>
  <c r="AH126" i="15"/>
  <c r="AF126" i="15"/>
  <c r="AG126" i="15" s="1"/>
  <c r="Y126" i="15"/>
  <c r="V126" i="15"/>
  <c r="T126" i="15"/>
  <c r="AE126" i="15" s="1"/>
  <c r="AM125" i="15"/>
  <c r="AK125" i="15"/>
  <c r="AH125" i="15"/>
  <c r="AI125" i="15" s="1"/>
  <c r="AG125" i="15"/>
  <c r="AF125" i="15"/>
  <c r="AE125" i="15"/>
  <c r="AD125" i="15"/>
  <c r="Y125" i="15"/>
  <c r="V125" i="15"/>
  <c r="T125" i="15"/>
  <c r="AM124" i="15"/>
  <c r="AK124" i="15"/>
  <c r="AI124" i="15"/>
  <c r="AH124" i="15"/>
  <c r="AG124" i="15"/>
  <c r="AL124" i="15" s="1"/>
  <c r="AF124" i="15"/>
  <c r="AE124" i="15"/>
  <c r="AD124" i="15"/>
  <c r="Y124" i="15"/>
  <c r="V124" i="15"/>
  <c r="T124" i="15"/>
  <c r="AM123" i="15"/>
  <c r="AK123" i="15"/>
  <c r="AH123" i="15"/>
  <c r="AI123" i="15" s="1"/>
  <c r="AF123" i="15"/>
  <c r="AG123" i="15" s="1"/>
  <c r="AL123" i="15" s="1"/>
  <c r="AE123" i="15"/>
  <c r="AD123" i="15"/>
  <c r="Y123" i="15"/>
  <c r="V123" i="15"/>
  <c r="T123" i="15"/>
  <c r="AM122" i="15"/>
  <c r="AK122" i="15"/>
  <c r="AG122" i="15"/>
  <c r="AF122" i="15"/>
  <c r="AE122" i="15"/>
  <c r="AD122" i="15"/>
  <c r="Y122" i="15"/>
  <c r="V122" i="15"/>
  <c r="T122" i="15"/>
  <c r="AH122" i="15" s="1"/>
  <c r="AI122" i="15" s="1"/>
  <c r="AK121" i="15"/>
  <c r="AF121" i="15"/>
  <c r="AG121" i="15" s="1"/>
  <c r="AE121" i="15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W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AE115" i="15"/>
  <c r="Y115" i="15"/>
  <c r="V115" i="15"/>
  <c r="T115" i="15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G107" i="15"/>
  <c r="AF107" i="15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AE97" i="15"/>
  <c r="Y97" i="15"/>
  <c r="V97" i="15"/>
  <c r="T97" i="15"/>
  <c r="AH97" i="15" s="1"/>
  <c r="AI97" i="15" s="1"/>
  <c r="AM96" i="15"/>
  <c r="AK96" i="15"/>
  <c r="AI96" i="15"/>
  <c r="AH96" i="15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AE94" i="15"/>
  <c r="Y94" i="15"/>
  <c r="V94" i="15"/>
  <c r="T94" i="15"/>
  <c r="AH94" i="15" s="1"/>
  <c r="AI94" i="15" s="1"/>
  <c r="AM93" i="15"/>
  <c r="AK93" i="15"/>
  <c r="AH93" i="15"/>
  <c r="AI93" i="15" s="1"/>
  <c r="AF93" i="15"/>
  <c r="AG93" i="15" s="1"/>
  <c r="AD93" i="15"/>
  <c r="Y93" i="15"/>
  <c r="V93" i="15"/>
  <c r="T93" i="15"/>
  <c r="AE93" i="15" s="1"/>
  <c r="AK92" i="15"/>
  <c r="AF92" i="15"/>
  <c r="AG92" i="15" s="1"/>
  <c r="AE92" i="15"/>
  <c r="Y92" i="15"/>
  <c r="V92" i="15"/>
  <c r="T92" i="15"/>
  <c r="AD92" i="15" s="1"/>
  <c r="AM91" i="15"/>
  <c r="AK91" i="15"/>
  <c r="AF91" i="15"/>
  <c r="AG91" i="15" s="1"/>
  <c r="AL91" i="15" s="1"/>
  <c r="AE91" i="15"/>
  <c r="Y91" i="15"/>
  <c r="V91" i="15"/>
  <c r="T91" i="15"/>
  <c r="AH91" i="15" s="1"/>
  <c r="AI91" i="15" s="1"/>
  <c r="AK90" i="15"/>
  <c r="AF90" i="15"/>
  <c r="AG90" i="15" s="1"/>
  <c r="AD90" i="15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AE88" i="15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AE85" i="15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AE82" i="15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H80" i="15"/>
  <c r="AI80" i="15" s="1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M78" i="15"/>
  <c r="AK78" i="15"/>
  <c r="AF78" i="15"/>
  <c r="AG78" i="15" s="1"/>
  <c r="AD78" i="15"/>
  <c r="Y78" i="15"/>
  <c r="V78" i="15"/>
  <c r="T78" i="15"/>
  <c r="AH78" i="15" s="1"/>
  <c r="AI78" i="15" s="1"/>
  <c r="AM77" i="15"/>
  <c r="AK77" i="15"/>
  <c r="AH77" i="15"/>
  <c r="AI77" i="15" s="1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M75" i="15"/>
  <c r="AK75" i="15"/>
  <c r="AF75" i="15"/>
  <c r="AG75" i="15" s="1"/>
  <c r="AD75" i="15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M73" i="15"/>
  <c r="AK73" i="15"/>
  <c r="AF73" i="15"/>
  <c r="AG73" i="15" s="1"/>
  <c r="AE73" i="15"/>
  <c r="Y73" i="15"/>
  <c r="V73" i="15"/>
  <c r="T73" i="15"/>
  <c r="AH73" i="15" s="1"/>
  <c r="AI73" i="15" s="1"/>
  <c r="AM72" i="15"/>
  <c r="AK72" i="15"/>
  <c r="AF72" i="15"/>
  <c r="AG72" i="15" s="1"/>
  <c r="AD72" i="15"/>
  <c r="Y72" i="15"/>
  <c r="V72" i="15"/>
  <c r="T72" i="15"/>
  <c r="AH72" i="15" s="1"/>
  <c r="AI72" i="15" s="1"/>
  <c r="AM71" i="15"/>
  <c r="AK71" i="15"/>
  <c r="AF71" i="15"/>
  <c r="AG71" i="15" s="1"/>
  <c r="Y71" i="15"/>
  <c r="V71" i="15"/>
  <c r="T71" i="15"/>
  <c r="AE71" i="15" s="1"/>
  <c r="AM70" i="15"/>
  <c r="AK70" i="15"/>
  <c r="AF70" i="15"/>
  <c r="AG70" i="15" s="1"/>
  <c r="AE70" i="15"/>
  <c r="Y70" i="15"/>
  <c r="V70" i="15"/>
  <c r="T70" i="15"/>
  <c r="AH70" i="15" s="1"/>
  <c r="AI70" i="15" s="1"/>
  <c r="AM69" i="15"/>
  <c r="AK69" i="15"/>
  <c r="AF69" i="15"/>
  <c r="AG69" i="15" s="1"/>
  <c r="AD69" i="15"/>
  <c r="Y69" i="15"/>
  <c r="V69" i="15"/>
  <c r="T69" i="15"/>
  <c r="AH69" i="15" s="1"/>
  <c r="AI69" i="15" s="1"/>
  <c r="AK68" i="15"/>
  <c r="AH68" i="15"/>
  <c r="AI68" i="15" s="1"/>
  <c r="AF68" i="15"/>
  <c r="AG68" i="15" s="1"/>
  <c r="Y68" i="15"/>
  <c r="V68" i="15"/>
  <c r="T68" i="15"/>
  <c r="AE68" i="15" s="1"/>
  <c r="AK67" i="15"/>
  <c r="AF67" i="15"/>
  <c r="AG67" i="15" s="1"/>
  <c r="AE67" i="15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H65" i="15"/>
  <c r="AI65" i="15" s="1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M63" i="15"/>
  <c r="AK63" i="15"/>
  <c r="AF63" i="15"/>
  <c r="AG63" i="15" s="1"/>
  <c r="Y63" i="15"/>
  <c r="V63" i="15"/>
  <c r="T63" i="15"/>
  <c r="AK62" i="15"/>
  <c r="AF62" i="15"/>
  <c r="AG62" i="15" s="1"/>
  <c r="Y62" i="15"/>
  <c r="V62" i="15"/>
  <c r="T62" i="15"/>
  <c r="AM62" i="15" s="1"/>
  <c r="AM61" i="15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M59" i="15"/>
  <c r="AK59" i="15"/>
  <c r="AH59" i="15"/>
  <c r="AI59" i="15" s="1"/>
  <c r="AG59" i="15"/>
  <c r="AF59" i="15"/>
  <c r="Y59" i="15"/>
  <c r="V59" i="15"/>
  <c r="T59" i="15"/>
  <c r="AM58" i="15"/>
  <c r="AK58" i="15"/>
  <c r="AF58" i="15"/>
  <c r="AG58" i="15" s="1"/>
  <c r="AE58" i="15"/>
  <c r="Y58" i="15"/>
  <c r="V58" i="15"/>
  <c r="T58" i="15"/>
  <c r="AM57" i="15"/>
  <c r="AK57" i="15"/>
  <c r="AF57" i="15"/>
  <c r="AG57" i="15" s="1"/>
  <c r="AD57" i="15"/>
  <c r="Y57" i="15"/>
  <c r="V57" i="15"/>
  <c r="T57" i="15"/>
  <c r="AM56" i="15"/>
  <c r="AK56" i="15"/>
  <c r="AF56" i="15"/>
  <c r="AG56" i="15" s="1"/>
  <c r="Y56" i="15"/>
  <c r="V56" i="15"/>
  <c r="T56" i="15"/>
  <c r="AH56" i="15" s="1"/>
  <c r="AI56" i="15" s="1"/>
  <c r="AK55" i="15"/>
  <c r="AF55" i="15"/>
  <c r="AG55" i="15" s="1"/>
  <c r="Y55" i="15"/>
  <c r="W55" i="15"/>
  <c r="V55" i="15"/>
  <c r="T55" i="15"/>
  <c r="AM55" i="15" s="1"/>
  <c r="AM54" i="15"/>
  <c r="AK54" i="15"/>
  <c r="AF54" i="15"/>
  <c r="AG54" i="15" s="1"/>
  <c r="Y54" i="15"/>
  <c r="V54" i="15"/>
  <c r="T54" i="15"/>
  <c r="AD54" i="15" s="1"/>
  <c r="AM53" i="15"/>
  <c r="AK53" i="15"/>
  <c r="AG53" i="15"/>
  <c r="AF53" i="15"/>
  <c r="Y53" i="15"/>
  <c r="V53" i="15"/>
  <c r="T53" i="15"/>
  <c r="AH53" i="15" s="1"/>
  <c r="AI53" i="15" s="1"/>
  <c r="AM52" i="15"/>
  <c r="AK52" i="15"/>
  <c r="AF52" i="15"/>
  <c r="AG52" i="15" s="1"/>
  <c r="AE52" i="15"/>
  <c r="Y52" i="15"/>
  <c r="W52" i="15"/>
  <c r="V52" i="15"/>
  <c r="T52" i="15"/>
  <c r="AM51" i="15"/>
  <c r="AK51" i="15"/>
  <c r="AF51" i="15"/>
  <c r="AG51" i="15" s="1"/>
  <c r="AD51" i="15"/>
  <c r="Y51" i="15"/>
  <c r="V51" i="15"/>
  <c r="T51" i="15"/>
  <c r="AM50" i="15"/>
  <c r="AK50" i="15"/>
  <c r="AG50" i="15"/>
  <c r="AF50" i="15"/>
  <c r="Y50" i="15"/>
  <c r="V50" i="15"/>
  <c r="T50" i="15"/>
  <c r="AH50" i="15" s="1"/>
  <c r="AI50" i="15" s="1"/>
  <c r="AM49" i="15"/>
  <c r="AK49" i="15"/>
  <c r="AG49" i="15"/>
  <c r="AF49" i="15"/>
  <c r="AE49" i="15"/>
  <c r="Y49" i="15"/>
  <c r="V49" i="15"/>
  <c r="T49" i="15"/>
  <c r="AK48" i="15"/>
  <c r="AF48" i="15"/>
  <c r="AG48" i="15" s="1"/>
  <c r="AD48" i="15"/>
  <c r="Y48" i="15"/>
  <c r="V48" i="15"/>
  <c r="T48" i="15"/>
  <c r="AM48" i="15" s="1"/>
  <c r="AK47" i="15"/>
  <c r="AF47" i="15"/>
  <c r="AG47" i="15" s="1"/>
  <c r="AE47" i="15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M44" i="15"/>
  <c r="AK44" i="15"/>
  <c r="AH44" i="15"/>
  <c r="AI44" i="15" s="1"/>
  <c r="AF44" i="15"/>
  <c r="AG44" i="15" s="1"/>
  <c r="Y44" i="15"/>
  <c r="V44" i="15"/>
  <c r="T44" i="15"/>
  <c r="AD44" i="15" s="1"/>
  <c r="AM43" i="15"/>
  <c r="AK43" i="15"/>
  <c r="AF43" i="15"/>
  <c r="AG43" i="15" s="1"/>
  <c r="Y43" i="15"/>
  <c r="V43" i="15"/>
  <c r="T43" i="15"/>
  <c r="AM42" i="15"/>
  <c r="AK42" i="15"/>
  <c r="AF42" i="15"/>
  <c r="AG42" i="15" s="1"/>
  <c r="Y42" i="15"/>
  <c r="V42" i="15"/>
  <c r="T42" i="15"/>
  <c r="AM41" i="15"/>
  <c r="AK41" i="15"/>
  <c r="AF41" i="15"/>
  <c r="AG41" i="15" s="1"/>
  <c r="Y41" i="15"/>
  <c r="V41" i="15"/>
  <c r="T41" i="15"/>
  <c r="AH41" i="15" s="1"/>
  <c r="AI41" i="15" s="1"/>
  <c r="AM40" i="15"/>
  <c r="AK40" i="15"/>
  <c r="AH40" i="15"/>
  <c r="AI40" i="15" s="1"/>
  <c r="AF40" i="15"/>
  <c r="AG40" i="15" s="1"/>
  <c r="AE40" i="15"/>
  <c r="Y40" i="15"/>
  <c r="W40" i="15"/>
  <c r="V40" i="15"/>
  <c r="T40" i="15"/>
  <c r="AD40" i="15" s="1"/>
  <c r="AM39" i="15"/>
  <c r="AK39" i="15"/>
  <c r="AF39" i="15"/>
  <c r="AG39" i="15" s="1"/>
  <c r="Y39" i="15"/>
  <c r="V39" i="15"/>
  <c r="T39" i="15"/>
  <c r="AE39" i="15" s="1"/>
  <c r="AM38" i="15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G35" i="15"/>
  <c r="AF35" i="15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M32" i="15"/>
  <c r="AK32" i="15"/>
  <c r="AG32" i="15"/>
  <c r="AF32" i="15"/>
  <c r="Y32" i="15"/>
  <c r="V32" i="15"/>
  <c r="T32" i="15"/>
  <c r="AH32" i="15" s="1"/>
  <c r="AI32" i="15" s="1"/>
  <c r="AM31" i="15"/>
  <c r="AK31" i="15"/>
  <c r="AF31" i="15"/>
  <c r="AG31" i="15" s="1"/>
  <c r="Y31" i="15"/>
  <c r="W31" i="15"/>
  <c r="V31" i="15"/>
  <c r="T31" i="15"/>
  <c r="AH31" i="15" s="1"/>
  <c r="AI31" i="15" s="1"/>
  <c r="AM30" i="15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M28" i="15"/>
  <c r="AK28" i="15"/>
  <c r="AH28" i="15"/>
  <c r="AI28" i="15" s="1"/>
  <c r="AF28" i="15"/>
  <c r="AG28" i="15" s="1"/>
  <c r="AE28" i="15"/>
  <c r="AD28" i="15"/>
  <c r="Y28" i="15"/>
  <c r="V28" i="15"/>
  <c r="T28" i="15"/>
  <c r="AM27" i="15"/>
  <c r="AK27" i="15"/>
  <c r="AF27" i="15"/>
  <c r="AG27" i="15" s="1"/>
  <c r="Y27" i="15"/>
  <c r="V27" i="15"/>
  <c r="T27" i="15"/>
  <c r="AE27" i="15" s="1"/>
  <c r="AK26" i="15"/>
  <c r="AF26" i="15"/>
  <c r="AG26" i="15" s="1"/>
  <c r="Y26" i="15"/>
  <c r="V26" i="15"/>
  <c r="T26" i="15"/>
  <c r="AH26" i="15" s="1"/>
  <c r="AI26" i="15" s="1"/>
  <c r="AM25" i="15"/>
  <c r="AK25" i="15"/>
  <c r="AH25" i="15"/>
  <c r="AI25" i="15" s="1"/>
  <c r="AG25" i="15"/>
  <c r="AF25" i="15"/>
  <c r="AE25" i="15"/>
  <c r="AD25" i="15"/>
  <c r="Y25" i="15"/>
  <c r="V25" i="15"/>
  <c r="T25" i="15"/>
  <c r="AM24" i="15"/>
  <c r="AK24" i="15"/>
  <c r="AF24" i="15"/>
  <c r="AG24" i="15" s="1"/>
  <c r="Y24" i="15"/>
  <c r="V24" i="15"/>
  <c r="T24" i="15"/>
  <c r="AE24" i="15" s="1"/>
  <c r="AM23" i="15"/>
  <c r="AK23" i="15"/>
  <c r="AF23" i="15"/>
  <c r="AG23" i="15" s="1"/>
  <c r="Y23" i="15"/>
  <c r="V23" i="15"/>
  <c r="T23" i="15"/>
  <c r="AH23" i="15" s="1"/>
  <c r="AI23" i="15" s="1"/>
  <c r="AM22" i="15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G19" i="15"/>
  <c r="AF19" i="15"/>
  <c r="AE19" i="15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G17" i="15"/>
  <c r="AF17" i="15"/>
  <c r="Y17" i="15"/>
  <c r="V17" i="15"/>
  <c r="T17" i="15"/>
  <c r="AH17" i="15" s="1"/>
  <c r="AI17" i="15" s="1"/>
  <c r="AK16" i="15"/>
  <c r="AF16" i="15"/>
  <c r="AG16" i="15" s="1"/>
  <c r="AE16" i="15"/>
  <c r="Y16" i="15"/>
  <c r="W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G14" i="15"/>
  <c r="AF14" i="15"/>
  <c r="Y14" i="15"/>
  <c r="V14" i="15"/>
  <c r="T14" i="15"/>
  <c r="AH14" i="15" s="1"/>
  <c r="AI14" i="15" s="1"/>
  <c r="AM13" i="15"/>
  <c r="AK13" i="15"/>
  <c r="AF13" i="15"/>
  <c r="AG13" i="15" s="1"/>
  <c r="AE13" i="15"/>
  <c r="AD13" i="15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AM11" i="15"/>
  <c r="AK11" i="15"/>
  <c r="AF11" i="15"/>
  <c r="AG11" i="15" s="1"/>
  <c r="AD11" i="15"/>
  <c r="Y11" i="15"/>
  <c r="V11" i="15"/>
  <c r="T11" i="15"/>
  <c r="AH11" i="15" s="1"/>
  <c r="AI11" i="15" s="1"/>
  <c r="AM10" i="15"/>
  <c r="AK10" i="15"/>
  <c r="AH10" i="15"/>
  <c r="AI10" i="15" s="1"/>
  <c r="AF10" i="15"/>
  <c r="AG10" i="15" s="1"/>
  <c r="AE10" i="15"/>
  <c r="Y10" i="15"/>
  <c r="V10" i="15"/>
  <c r="T10" i="15"/>
  <c r="AD10" i="15" s="1"/>
  <c r="A10" i="15"/>
  <c r="U85" i="15" s="1"/>
  <c r="AK9" i="15"/>
  <c r="AG9" i="15"/>
  <c r="AF9" i="15"/>
  <c r="Y9" i="15"/>
  <c r="V9" i="15"/>
  <c r="T9" i="15"/>
  <c r="AH9" i="15" s="1"/>
  <c r="AI9" i="15" s="1"/>
  <c r="AK8" i="15"/>
  <c r="AG8" i="15"/>
  <c r="AF8" i="15"/>
  <c r="Y8" i="15"/>
  <c r="V8" i="15"/>
  <c r="T8" i="15"/>
  <c r="AM8" i="15" s="1"/>
  <c r="AM7" i="15"/>
  <c r="AK7" i="15"/>
  <c r="AF7" i="15"/>
  <c r="AG7" i="15" s="1"/>
  <c r="Y7" i="15"/>
  <c r="V7" i="15"/>
  <c r="T7" i="15"/>
  <c r="AH7" i="15" s="1"/>
  <c r="AI7" i="15" s="1"/>
  <c r="AK6" i="15"/>
  <c r="AH6" i="15"/>
  <c r="AI6" i="15" s="1"/>
  <c r="AF6" i="15"/>
  <c r="AG6" i="15" s="1"/>
  <c r="AD6" i="15"/>
  <c r="Y6" i="15"/>
  <c r="V6" i="15"/>
  <c r="T6" i="15"/>
  <c r="AM6" i="15" s="1"/>
  <c r="A6" i="15"/>
  <c r="AK5" i="15"/>
  <c r="AF5" i="15"/>
  <c r="AG5" i="15" s="1"/>
  <c r="Y5" i="15"/>
  <c r="W5" i="15"/>
  <c r="V5" i="15"/>
  <c r="T5" i="15"/>
  <c r="U5" i="15" s="1"/>
  <c r="F1" i="15"/>
  <c r="AM24" i="14"/>
  <c r="AK24" i="14"/>
  <c r="AH24" i="14"/>
  <c r="AI24" i="14" s="1"/>
  <c r="AF24" i="14"/>
  <c r="AG24" i="14" s="1"/>
  <c r="AE24" i="14"/>
  <c r="AD24" i="14"/>
  <c r="Y24" i="14"/>
  <c r="V24" i="14"/>
  <c r="T24" i="14"/>
  <c r="AM23" i="14"/>
  <c r="AK23" i="14"/>
  <c r="AH23" i="14"/>
  <c r="AI23" i="14" s="1"/>
  <c r="AL23" i="14" s="1"/>
  <c r="AG23" i="14"/>
  <c r="AJ23" i="14" s="1"/>
  <c r="AF23" i="14"/>
  <c r="AE23" i="14"/>
  <c r="AD23" i="14"/>
  <c r="Y23" i="14"/>
  <c r="V23" i="14"/>
  <c r="T23" i="14"/>
  <c r="AM22" i="14"/>
  <c r="AK22" i="14"/>
  <c r="AH22" i="14"/>
  <c r="AI22" i="14" s="1"/>
  <c r="AF22" i="14"/>
  <c r="AG22" i="14" s="1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H20" i="14"/>
  <c r="AI20" i="14" s="1"/>
  <c r="AF20" i="14"/>
  <c r="AG20" i="14" s="1"/>
  <c r="AE20" i="14"/>
  <c r="AD20" i="14"/>
  <c r="Y20" i="14"/>
  <c r="V20" i="14"/>
  <c r="T20" i="14"/>
  <c r="AM19" i="14"/>
  <c r="AK19" i="14"/>
  <c r="AH19" i="14"/>
  <c r="AI19" i="14" s="1"/>
  <c r="AF19" i="14"/>
  <c r="AG19" i="14" s="1"/>
  <c r="AE19" i="14"/>
  <c r="AD19" i="14"/>
  <c r="Y19" i="14"/>
  <c r="W19" i="14"/>
  <c r="V19" i="14"/>
  <c r="T19" i="14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AJ14" i="14" s="1"/>
  <c r="Y14" i="14"/>
  <c r="V14" i="14"/>
  <c r="T14" i="14"/>
  <c r="AH14" i="14" s="1"/>
  <c r="AI14" i="14" s="1"/>
  <c r="AM13" i="14"/>
  <c r="AK13" i="14"/>
  <c r="AH13" i="14"/>
  <c r="AI13" i="14" s="1"/>
  <c r="AF13" i="14"/>
  <c r="AG13" i="14" s="1"/>
  <c r="AE13" i="14"/>
  <c r="AD13" i="14"/>
  <c r="Y13" i="14"/>
  <c r="V13" i="14"/>
  <c r="T13" i="14"/>
  <c r="AM12" i="14"/>
  <c r="AK12" i="14"/>
  <c r="AH12" i="14"/>
  <c r="AI12" i="14" s="1"/>
  <c r="AF12" i="14"/>
  <c r="AG12" i="14" s="1"/>
  <c r="AJ12" i="14" s="1"/>
  <c r="AE12" i="14"/>
  <c r="AD12" i="14"/>
  <c r="Y12" i="14"/>
  <c r="V12" i="14"/>
  <c r="T12" i="14"/>
  <c r="A12" i="14"/>
  <c r="J13" i="68" s="1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H10" i="14"/>
  <c r="AI10" i="14" s="1"/>
  <c r="AF10" i="14"/>
  <c r="AG10" i="14" s="1"/>
  <c r="AE10" i="14"/>
  <c r="AD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W8" i="14"/>
  <c r="V8" i="14"/>
  <c r="T8" i="14"/>
  <c r="AH8" i="14" s="1"/>
  <c r="AI8" i="14" s="1"/>
  <c r="AM7" i="14"/>
  <c r="AK7" i="14"/>
  <c r="AF7" i="14"/>
  <c r="AG7" i="14" s="1"/>
  <c r="AD7" i="14"/>
  <c r="Y7" i="14"/>
  <c r="V7" i="14"/>
  <c r="T7" i="14"/>
  <c r="AH7" i="14" s="1"/>
  <c r="AI7" i="14" s="1"/>
  <c r="AK6" i="14"/>
  <c r="AG6" i="14"/>
  <c r="AF6" i="14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H24" i="13"/>
  <c r="AI24" i="13" s="1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AE16" i="13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W7" i="13" s="1"/>
  <c r="AM9" i="13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M5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G50" i="12"/>
  <c r="AF50" i="12"/>
  <c r="AE50" i="12"/>
  <c r="AD50" i="12"/>
  <c r="AN50" i="12" s="1"/>
  <c r="Y50" i="12"/>
  <c r="V50" i="12"/>
  <c r="T50" i="12"/>
  <c r="AM49" i="12"/>
  <c r="AK49" i="12"/>
  <c r="AH49" i="12"/>
  <c r="AI49" i="12" s="1"/>
  <c r="AF49" i="12"/>
  <c r="AG49" i="12" s="1"/>
  <c r="AE49" i="12"/>
  <c r="AD49" i="12"/>
  <c r="AN49" i="12" s="1"/>
  <c r="Y49" i="12"/>
  <c r="V49" i="12"/>
  <c r="T49" i="12"/>
  <c r="AM48" i="12"/>
  <c r="AK48" i="12"/>
  <c r="AH48" i="12"/>
  <c r="AI48" i="12" s="1"/>
  <c r="AJ48" i="12" s="1"/>
  <c r="AG48" i="12"/>
  <c r="AF48" i="12"/>
  <c r="AE48" i="12"/>
  <c r="AD48" i="12"/>
  <c r="Y48" i="12"/>
  <c r="V48" i="12"/>
  <c r="T48" i="12"/>
  <c r="AM47" i="12"/>
  <c r="AK47" i="12"/>
  <c r="AI47" i="12"/>
  <c r="AH47" i="12"/>
  <c r="AF47" i="12"/>
  <c r="AG47" i="12" s="1"/>
  <c r="AE47" i="12"/>
  <c r="AD47" i="12"/>
  <c r="Y47" i="12"/>
  <c r="V47" i="12"/>
  <c r="T47" i="12"/>
  <c r="AM46" i="12"/>
  <c r="AK46" i="12"/>
  <c r="AI46" i="12"/>
  <c r="AH46" i="12"/>
  <c r="AF46" i="12"/>
  <c r="AG46" i="12" s="1"/>
  <c r="AE46" i="12"/>
  <c r="AD46" i="12"/>
  <c r="Y46" i="12"/>
  <c r="V46" i="12"/>
  <c r="T46" i="12"/>
  <c r="AM45" i="12"/>
  <c r="AK45" i="12"/>
  <c r="AH45" i="12"/>
  <c r="AI45" i="12" s="1"/>
  <c r="AF45" i="12"/>
  <c r="AG45" i="12" s="1"/>
  <c r="AE45" i="12"/>
  <c r="AD45" i="12"/>
  <c r="AN45" i="12" s="1"/>
  <c r="Y45" i="12"/>
  <c r="V45" i="12"/>
  <c r="T45" i="12"/>
  <c r="AM44" i="12"/>
  <c r="AK44" i="12"/>
  <c r="AH44" i="12"/>
  <c r="AI44" i="12" s="1"/>
  <c r="AJ44" i="12" s="1"/>
  <c r="AG44" i="12"/>
  <c r="AL44" i="12" s="1"/>
  <c r="AF44" i="12"/>
  <c r="AE44" i="12"/>
  <c r="AD44" i="12"/>
  <c r="Y44" i="12"/>
  <c r="V44" i="12"/>
  <c r="T44" i="12"/>
  <c r="AM43" i="12"/>
  <c r="AK43" i="12"/>
  <c r="AH43" i="12"/>
  <c r="AI43" i="12" s="1"/>
  <c r="AJ43" i="12" s="1"/>
  <c r="AG43" i="12"/>
  <c r="AF43" i="12"/>
  <c r="AE43" i="12"/>
  <c r="AD43" i="12"/>
  <c r="Y43" i="12"/>
  <c r="V43" i="12"/>
  <c r="T43" i="12"/>
  <c r="AM42" i="12"/>
  <c r="AK42" i="12"/>
  <c r="AI42" i="12"/>
  <c r="AH42" i="12"/>
  <c r="AF42" i="12"/>
  <c r="AG42" i="12" s="1"/>
  <c r="AE42" i="12"/>
  <c r="AD42" i="12"/>
  <c r="Y42" i="12"/>
  <c r="V42" i="12"/>
  <c r="T42" i="12"/>
  <c r="AM41" i="12"/>
  <c r="AK41" i="12"/>
  <c r="AH41" i="12"/>
  <c r="AI41" i="12" s="1"/>
  <c r="AF41" i="12"/>
  <c r="AG41" i="12" s="1"/>
  <c r="AE41" i="12"/>
  <c r="AD41" i="12"/>
  <c r="Y41" i="12"/>
  <c r="V41" i="12"/>
  <c r="T41" i="12"/>
  <c r="AM40" i="12"/>
  <c r="AK40" i="12"/>
  <c r="AH40" i="12"/>
  <c r="AI40" i="12" s="1"/>
  <c r="AF40" i="12"/>
  <c r="AG40" i="12" s="1"/>
  <c r="AE40" i="12"/>
  <c r="AD40" i="12"/>
  <c r="AN40" i="12" s="1"/>
  <c r="Y40" i="12"/>
  <c r="V40" i="12"/>
  <c r="T40" i="12"/>
  <c r="AM39" i="12"/>
  <c r="AK39" i="12"/>
  <c r="AH39" i="12"/>
  <c r="AI39" i="12" s="1"/>
  <c r="AJ39" i="12" s="1"/>
  <c r="AG39" i="12"/>
  <c r="AL39" i="12" s="1"/>
  <c r="AF39" i="12"/>
  <c r="AE39" i="12"/>
  <c r="AD39" i="12"/>
  <c r="Y39" i="12"/>
  <c r="V39" i="12"/>
  <c r="T39" i="12"/>
  <c r="AM38" i="12"/>
  <c r="AK38" i="12"/>
  <c r="AI38" i="12"/>
  <c r="AH38" i="12"/>
  <c r="AF38" i="12"/>
  <c r="AG38" i="12" s="1"/>
  <c r="AE38" i="12"/>
  <c r="AD38" i="12"/>
  <c r="Y38" i="12"/>
  <c r="V38" i="12"/>
  <c r="T38" i="12"/>
  <c r="AM37" i="12"/>
  <c r="AK37" i="12"/>
  <c r="AI37" i="12"/>
  <c r="AH37" i="12"/>
  <c r="AF37" i="12"/>
  <c r="AG37" i="12" s="1"/>
  <c r="AE37" i="12"/>
  <c r="AD37" i="12"/>
  <c r="Y37" i="12"/>
  <c r="V37" i="12"/>
  <c r="T37" i="12"/>
  <c r="AM36" i="12"/>
  <c r="AK36" i="12"/>
  <c r="AH36" i="12"/>
  <c r="AI36" i="12" s="1"/>
  <c r="AF36" i="12"/>
  <c r="AG36" i="12" s="1"/>
  <c r="AE36" i="12"/>
  <c r="AD36" i="12"/>
  <c r="AN36" i="12" s="1"/>
  <c r="Y36" i="12"/>
  <c r="V36" i="12"/>
  <c r="T36" i="12"/>
  <c r="AM35" i="12"/>
  <c r="AK35" i="12"/>
  <c r="AJ35" i="12"/>
  <c r="AH35" i="12"/>
  <c r="AI35" i="12" s="1"/>
  <c r="AG35" i="12"/>
  <c r="AL35" i="12" s="1"/>
  <c r="AF35" i="12"/>
  <c r="AE35" i="12"/>
  <c r="AD35" i="12"/>
  <c r="Y35" i="12"/>
  <c r="V35" i="12"/>
  <c r="T35" i="12"/>
  <c r="AM34" i="12"/>
  <c r="AK34" i="12"/>
  <c r="AH34" i="12"/>
  <c r="AI34" i="12" s="1"/>
  <c r="AJ34" i="12" s="1"/>
  <c r="AG34" i="12"/>
  <c r="AF34" i="12"/>
  <c r="AE34" i="12"/>
  <c r="AD34" i="12"/>
  <c r="Y34" i="12"/>
  <c r="V34" i="12"/>
  <c r="T34" i="12"/>
  <c r="AM33" i="12"/>
  <c r="AK33" i="12"/>
  <c r="AI33" i="12"/>
  <c r="AH33" i="12"/>
  <c r="AF33" i="12"/>
  <c r="AG33" i="12" s="1"/>
  <c r="AE33" i="12"/>
  <c r="AD33" i="12"/>
  <c r="Y33" i="12"/>
  <c r="V33" i="12"/>
  <c r="T33" i="12"/>
  <c r="AM32" i="12"/>
  <c r="AK32" i="12"/>
  <c r="AH32" i="12"/>
  <c r="AI32" i="12" s="1"/>
  <c r="AL32" i="12" s="1"/>
  <c r="AG32" i="12"/>
  <c r="AJ32" i="12" s="1"/>
  <c r="AF32" i="12"/>
  <c r="AE32" i="12"/>
  <c r="AD32" i="12"/>
  <c r="Y32" i="12"/>
  <c r="V32" i="12"/>
  <c r="T32" i="12"/>
  <c r="AM31" i="12"/>
  <c r="AK31" i="12"/>
  <c r="AH31" i="12"/>
  <c r="AI31" i="12" s="1"/>
  <c r="AF31" i="12"/>
  <c r="AG31" i="12" s="1"/>
  <c r="AE31" i="12"/>
  <c r="AD31" i="12"/>
  <c r="Y31" i="12"/>
  <c r="V31" i="12"/>
  <c r="T31" i="12"/>
  <c r="AM30" i="12"/>
  <c r="AK30" i="12"/>
  <c r="AJ30" i="12"/>
  <c r="AH30" i="12"/>
  <c r="AI30" i="12" s="1"/>
  <c r="AG30" i="12"/>
  <c r="AL30" i="12" s="1"/>
  <c r="AF30" i="12"/>
  <c r="AE30" i="12"/>
  <c r="AD30" i="12"/>
  <c r="Y30" i="12"/>
  <c r="V30" i="12"/>
  <c r="T30" i="12"/>
  <c r="AM29" i="12"/>
  <c r="AK29" i="12"/>
  <c r="AI29" i="12"/>
  <c r="AH29" i="12"/>
  <c r="AF29" i="12"/>
  <c r="AG29" i="12" s="1"/>
  <c r="AJ29" i="12" s="1"/>
  <c r="AE29" i="12"/>
  <c r="AD29" i="12"/>
  <c r="AN29" i="12" s="1"/>
  <c r="Y29" i="12"/>
  <c r="V29" i="12"/>
  <c r="T29" i="12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G26" i="12"/>
  <c r="AF26" i="12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E22" i="12" s="1"/>
  <c r="AK21" i="12"/>
  <c r="AF21" i="12"/>
  <c r="AG21" i="12" s="1"/>
  <c r="AL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AL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AJ15" i="12" s="1"/>
  <c r="Y15" i="12"/>
  <c r="V15" i="12"/>
  <c r="T15" i="12"/>
  <c r="AH15" i="12" s="1"/>
  <c r="AI15" i="12" s="1"/>
  <c r="AK14" i="12"/>
  <c r="AH14" i="12"/>
  <c r="AI14" i="12" s="1"/>
  <c r="AF14" i="12"/>
  <c r="AG14" i="12" s="1"/>
  <c r="AD14" i="12"/>
  <c r="Y14" i="12"/>
  <c r="V14" i="12"/>
  <c r="T14" i="12"/>
  <c r="AE14" i="12" s="1"/>
  <c r="AM13" i="12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AM11" i="12"/>
  <c r="AK11" i="12"/>
  <c r="AF11" i="12"/>
  <c r="AG11" i="12" s="1"/>
  <c r="AE11" i="12"/>
  <c r="Y11" i="12"/>
  <c r="V11" i="12"/>
  <c r="T11" i="12"/>
  <c r="AD11" i="12" s="1"/>
  <c r="AK10" i="12"/>
  <c r="AF10" i="12"/>
  <c r="AG10" i="12" s="1"/>
  <c r="AD10" i="12"/>
  <c r="Y10" i="12"/>
  <c r="V10" i="12"/>
  <c r="T10" i="12"/>
  <c r="AH10" i="12" s="1"/>
  <c r="AI10" i="12" s="1"/>
  <c r="A10" i="12"/>
  <c r="W14" i="12" s="1"/>
  <c r="AK9" i="12"/>
  <c r="AF9" i="12"/>
  <c r="AG9" i="12" s="1"/>
  <c r="AL9" i="12" s="1"/>
  <c r="Y9" i="12"/>
  <c r="W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M7" i="12"/>
  <c r="AK7" i="12"/>
  <c r="AF7" i="12"/>
  <c r="AG7" i="12" s="1"/>
  <c r="Y7" i="12"/>
  <c r="V7" i="12"/>
  <c r="T7" i="12"/>
  <c r="AH7" i="12" s="1"/>
  <c r="AI7" i="12" s="1"/>
  <c r="AM6" i="12"/>
  <c r="AK6" i="12"/>
  <c r="AF6" i="12"/>
  <c r="AG6" i="12" s="1"/>
  <c r="Y6" i="12"/>
  <c r="V6" i="12"/>
  <c r="T6" i="12"/>
  <c r="AH6" i="12" s="1"/>
  <c r="AI6" i="12" s="1"/>
  <c r="A6" i="12"/>
  <c r="AM5" i="12"/>
  <c r="AK5" i="12"/>
  <c r="AH5" i="12"/>
  <c r="AI5" i="12" s="1"/>
  <c r="AF5" i="12"/>
  <c r="AG5" i="12" s="1"/>
  <c r="Y5" i="12"/>
  <c r="V5" i="12"/>
  <c r="T5" i="12"/>
  <c r="AD5" i="12" s="1"/>
  <c r="F1" i="12"/>
  <c r="AM24" i="6"/>
  <c r="AK24" i="6"/>
  <c r="AI24" i="6"/>
  <c r="AJ24" i="6" s="1"/>
  <c r="AH24" i="6"/>
  <c r="AG24" i="6"/>
  <c r="AL24" i="6" s="1"/>
  <c r="AF24" i="6"/>
  <c r="AE24" i="6"/>
  <c r="AD24" i="6"/>
  <c r="Y24" i="6"/>
  <c r="V24" i="6"/>
  <c r="T24" i="6"/>
  <c r="AM23" i="6"/>
  <c r="AK23" i="6"/>
  <c r="AH23" i="6"/>
  <c r="AI23" i="6" s="1"/>
  <c r="AG23" i="6"/>
  <c r="AF23" i="6"/>
  <c r="AE23" i="6"/>
  <c r="AD23" i="6"/>
  <c r="Y23" i="6"/>
  <c r="V23" i="6"/>
  <c r="T23" i="6"/>
  <c r="AM22" i="6"/>
  <c r="AK22" i="6"/>
  <c r="AH22" i="6"/>
  <c r="AI22" i="6" s="1"/>
  <c r="AF22" i="6"/>
  <c r="AG22" i="6" s="1"/>
  <c r="AE22" i="6"/>
  <c r="AD22" i="6"/>
  <c r="AN22" i="6" s="1"/>
  <c r="Y22" i="6"/>
  <c r="V22" i="6"/>
  <c r="T22" i="6"/>
  <c r="AM21" i="6"/>
  <c r="AK21" i="6"/>
  <c r="AH21" i="6"/>
  <c r="AI21" i="6" s="1"/>
  <c r="AF21" i="6"/>
  <c r="AG21" i="6" s="1"/>
  <c r="AE21" i="6"/>
  <c r="AD21" i="6"/>
  <c r="Y21" i="6"/>
  <c r="V21" i="6"/>
  <c r="T21" i="6"/>
  <c r="AM20" i="6"/>
  <c r="AK20" i="6"/>
  <c r="AI20" i="6"/>
  <c r="AJ20" i="6" s="1"/>
  <c r="AH20" i="6"/>
  <c r="AG20" i="6"/>
  <c r="AL20" i="6" s="1"/>
  <c r="AF20" i="6"/>
  <c r="AE20" i="6"/>
  <c r="AD20" i="6"/>
  <c r="Y20" i="6"/>
  <c r="V20" i="6"/>
  <c r="U20" i="6"/>
  <c r="T20" i="6"/>
  <c r="AM19" i="6"/>
  <c r="AK19" i="6"/>
  <c r="AH19" i="6"/>
  <c r="AI19" i="6" s="1"/>
  <c r="AF19" i="6"/>
  <c r="AG19" i="6" s="1"/>
  <c r="AE19" i="6"/>
  <c r="AD19" i="6"/>
  <c r="Y19" i="6"/>
  <c r="V19" i="6"/>
  <c r="T19" i="6"/>
  <c r="AM18" i="6"/>
  <c r="AK18" i="6"/>
  <c r="AH18" i="6"/>
  <c r="AI18" i="6" s="1"/>
  <c r="AJ18" i="6" s="1"/>
  <c r="AG18" i="6"/>
  <c r="AF18" i="6"/>
  <c r="AE18" i="6"/>
  <c r="AD18" i="6"/>
  <c r="Y18" i="6"/>
  <c r="V18" i="6"/>
  <c r="T18" i="6"/>
  <c r="AM17" i="6"/>
  <c r="AK17" i="6"/>
  <c r="AH17" i="6"/>
  <c r="AI17" i="6" s="1"/>
  <c r="AF17" i="6"/>
  <c r="AG17" i="6" s="1"/>
  <c r="Y17" i="6"/>
  <c r="V17" i="6"/>
  <c r="T17" i="6"/>
  <c r="AE17" i="6" s="1"/>
  <c r="AM16" i="6"/>
  <c r="AK16" i="6"/>
  <c r="AH16" i="6"/>
  <c r="AI16" i="6" s="1"/>
  <c r="AF16" i="6"/>
  <c r="AG16" i="6" s="1"/>
  <c r="Y16" i="6"/>
  <c r="V16" i="6"/>
  <c r="T16" i="6"/>
  <c r="AE16" i="6" s="1"/>
  <c r="AM15" i="6"/>
  <c r="AK15" i="6"/>
  <c r="AH15" i="6"/>
  <c r="AI15" i="6" s="1"/>
  <c r="AF15" i="6"/>
  <c r="AG15" i="6" s="1"/>
  <c r="AE15" i="6"/>
  <c r="AD15" i="6"/>
  <c r="Y15" i="6"/>
  <c r="V15" i="6"/>
  <c r="T15" i="6"/>
  <c r="AM14" i="6"/>
  <c r="AK14" i="6"/>
  <c r="AH14" i="6"/>
  <c r="AI14" i="6" s="1"/>
  <c r="AG14" i="6"/>
  <c r="AJ14" i="6" s="1"/>
  <c r="AF14" i="6"/>
  <c r="AE14" i="6"/>
  <c r="AD14" i="6"/>
  <c r="Y14" i="6"/>
  <c r="V14" i="6"/>
  <c r="T14" i="6"/>
  <c r="AM13" i="6"/>
  <c r="AK13" i="6"/>
  <c r="AH13" i="6"/>
  <c r="AI13" i="6" s="1"/>
  <c r="AF13" i="6"/>
  <c r="AG13" i="6" s="1"/>
  <c r="AE13" i="6"/>
  <c r="AD13" i="6"/>
  <c r="Y13" i="6"/>
  <c r="V13" i="6"/>
  <c r="T13" i="6"/>
  <c r="AK12" i="6"/>
  <c r="AF12" i="6"/>
  <c r="AG12" i="6" s="1"/>
  <c r="Y12" i="6"/>
  <c r="V12" i="6"/>
  <c r="T12" i="6"/>
  <c r="AH12" i="6" s="1"/>
  <c r="AI12" i="6" s="1"/>
  <c r="A12" i="6"/>
  <c r="J10" i="68" s="1"/>
  <c r="AM11" i="6"/>
  <c r="AK11" i="6"/>
  <c r="AF11" i="6"/>
  <c r="AG11" i="6" s="1"/>
  <c r="AE11" i="6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U14" i="6" s="1"/>
  <c r="AM9" i="6"/>
  <c r="AK9" i="6"/>
  <c r="AF9" i="6"/>
  <c r="AG9" i="6" s="1"/>
  <c r="Y9" i="6"/>
  <c r="V9" i="6"/>
  <c r="U9" i="6"/>
  <c r="T9" i="6"/>
  <c r="AE9" i="6" s="1"/>
  <c r="AM8" i="6"/>
  <c r="AK8" i="6"/>
  <c r="AF8" i="6"/>
  <c r="AG8" i="6" s="1"/>
  <c r="Y8" i="6"/>
  <c r="V8" i="6"/>
  <c r="T8" i="6"/>
  <c r="AH8" i="6" s="1"/>
  <c r="AI8" i="6" s="1"/>
  <c r="AM7" i="6"/>
  <c r="AK7" i="6"/>
  <c r="AH7" i="6"/>
  <c r="AI7" i="6" s="1"/>
  <c r="AF7" i="6"/>
  <c r="AG7" i="6" s="1"/>
  <c r="Y7" i="6"/>
  <c r="W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A14" i="6" s="1"/>
  <c r="K10" i="68" s="1"/>
  <c r="V5" i="6"/>
  <c r="T5" i="6"/>
  <c r="AM5" i="6" s="1"/>
  <c r="F1" i="6"/>
  <c r="AM52" i="5"/>
  <c r="AK52" i="5"/>
  <c r="AH52" i="5"/>
  <c r="AI52" i="5" s="1"/>
  <c r="AG52" i="5"/>
  <c r="AF52" i="5"/>
  <c r="AE52" i="5"/>
  <c r="AD52" i="5"/>
  <c r="AN52" i="5" s="1"/>
  <c r="Y52" i="5"/>
  <c r="V52" i="5"/>
  <c r="T52" i="5"/>
  <c r="AM51" i="5"/>
  <c r="AK51" i="5"/>
  <c r="AI51" i="5"/>
  <c r="AJ51" i="5" s="1"/>
  <c r="AH51" i="5"/>
  <c r="AG51" i="5"/>
  <c r="AL51" i="5" s="1"/>
  <c r="AF51" i="5"/>
  <c r="AE51" i="5"/>
  <c r="AD51" i="5"/>
  <c r="Y51" i="5"/>
  <c r="V51" i="5"/>
  <c r="T51" i="5"/>
  <c r="AM50" i="5"/>
  <c r="AK50" i="5"/>
  <c r="AI50" i="5"/>
  <c r="AH50" i="5"/>
  <c r="AF50" i="5"/>
  <c r="AG50" i="5" s="1"/>
  <c r="AE50" i="5"/>
  <c r="AD50" i="5"/>
  <c r="Y50" i="5"/>
  <c r="V50" i="5"/>
  <c r="T50" i="5"/>
  <c r="AM49" i="5"/>
  <c r="AK49" i="5"/>
  <c r="AH49" i="5"/>
  <c r="AI49" i="5" s="1"/>
  <c r="AF49" i="5"/>
  <c r="AG49" i="5" s="1"/>
  <c r="AE49" i="5"/>
  <c r="AD49" i="5"/>
  <c r="Y49" i="5"/>
  <c r="V49" i="5"/>
  <c r="T49" i="5"/>
  <c r="AM48" i="5"/>
  <c r="AK48" i="5"/>
  <c r="AH48" i="5"/>
  <c r="AI48" i="5" s="1"/>
  <c r="AJ48" i="5" s="1"/>
  <c r="AG48" i="5"/>
  <c r="AF48" i="5"/>
  <c r="AE48" i="5"/>
  <c r="AD48" i="5"/>
  <c r="Y48" i="5"/>
  <c r="V48" i="5"/>
  <c r="T48" i="5"/>
  <c r="AM47" i="5"/>
  <c r="AK47" i="5"/>
  <c r="AI47" i="5"/>
  <c r="AH47" i="5"/>
  <c r="AF47" i="5"/>
  <c r="AG47" i="5" s="1"/>
  <c r="AJ47" i="5" s="1"/>
  <c r="AE47" i="5"/>
  <c r="AD47" i="5"/>
  <c r="Y47" i="5"/>
  <c r="V47" i="5"/>
  <c r="T47" i="5"/>
  <c r="AM46" i="5"/>
  <c r="AK46" i="5"/>
  <c r="AH46" i="5"/>
  <c r="AI46" i="5" s="1"/>
  <c r="AG46" i="5"/>
  <c r="AF46" i="5"/>
  <c r="AE46" i="5"/>
  <c r="AD46" i="5"/>
  <c r="Y46" i="5"/>
  <c r="V46" i="5"/>
  <c r="T46" i="5"/>
  <c r="AM45" i="5"/>
  <c r="AK45" i="5"/>
  <c r="AI45" i="5"/>
  <c r="AJ45" i="5" s="1"/>
  <c r="AH45" i="5"/>
  <c r="AG45" i="5"/>
  <c r="AL45" i="5" s="1"/>
  <c r="AF45" i="5"/>
  <c r="AE45" i="5"/>
  <c r="AD45" i="5"/>
  <c r="Y45" i="5"/>
  <c r="V45" i="5"/>
  <c r="T45" i="5"/>
  <c r="AM44" i="5"/>
  <c r="AK44" i="5"/>
  <c r="AI44" i="5"/>
  <c r="AH44" i="5"/>
  <c r="AF44" i="5"/>
  <c r="AG44" i="5" s="1"/>
  <c r="AE44" i="5"/>
  <c r="AD44" i="5"/>
  <c r="Y44" i="5"/>
  <c r="V44" i="5"/>
  <c r="T44" i="5"/>
  <c r="AM43" i="5"/>
  <c r="AK43" i="5"/>
  <c r="AH43" i="5"/>
  <c r="AI43" i="5" s="1"/>
  <c r="AG43" i="5"/>
  <c r="AL43" i="5" s="1"/>
  <c r="AF43" i="5"/>
  <c r="AE43" i="5"/>
  <c r="AD43" i="5"/>
  <c r="Y43" i="5"/>
  <c r="V43" i="5"/>
  <c r="T43" i="5"/>
  <c r="AM42" i="5"/>
  <c r="AK42" i="5"/>
  <c r="AJ42" i="5"/>
  <c r="AI42" i="5"/>
  <c r="AH42" i="5"/>
  <c r="AG42" i="5"/>
  <c r="AL42" i="5" s="1"/>
  <c r="AF42" i="5"/>
  <c r="AE42" i="5"/>
  <c r="AD42" i="5"/>
  <c r="Y42" i="5"/>
  <c r="V42" i="5"/>
  <c r="T42" i="5"/>
  <c r="AM41" i="5"/>
  <c r="AK41" i="5"/>
  <c r="AI41" i="5"/>
  <c r="AH41" i="5"/>
  <c r="AF41" i="5"/>
  <c r="AG41" i="5" s="1"/>
  <c r="AJ41" i="5" s="1"/>
  <c r="AE41" i="5"/>
  <c r="AD41" i="5"/>
  <c r="Y41" i="5"/>
  <c r="V41" i="5"/>
  <c r="T41" i="5"/>
  <c r="AM40" i="5"/>
  <c r="AK40" i="5"/>
  <c r="AH40" i="5"/>
  <c r="AI40" i="5" s="1"/>
  <c r="AG40" i="5"/>
  <c r="AL40" i="5" s="1"/>
  <c r="AF40" i="5"/>
  <c r="AE40" i="5"/>
  <c r="AD40" i="5"/>
  <c r="AN40" i="5" s="1"/>
  <c r="Y40" i="5"/>
  <c r="V40" i="5"/>
  <c r="T40" i="5"/>
  <c r="AM39" i="5"/>
  <c r="AK39" i="5"/>
  <c r="AI39" i="5"/>
  <c r="AJ39" i="5" s="1"/>
  <c r="AH39" i="5"/>
  <c r="AG39" i="5"/>
  <c r="AL39" i="5" s="1"/>
  <c r="AF39" i="5"/>
  <c r="AE39" i="5"/>
  <c r="AD39" i="5"/>
  <c r="Y39" i="5"/>
  <c r="V39" i="5"/>
  <c r="T39" i="5"/>
  <c r="AM38" i="5"/>
  <c r="AK38" i="5"/>
  <c r="AI38" i="5"/>
  <c r="AH38" i="5"/>
  <c r="AF38" i="5"/>
  <c r="AG38" i="5" s="1"/>
  <c r="AE38" i="5"/>
  <c r="AD38" i="5"/>
  <c r="Y38" i="5"/>
  <c r="V38" i="5"/>
  <c r="T38" i="5"/>
  <c r="AM37" i="5"/>
  <c r="AK37" i="5"/>
  <c r="AH37" i="5"/>
  <c r="AI37" i="5" s="1"/>
  <c r="AG37" i="5"/>
  <c r="AF37" i="5"/>
  <c r="AE37" i="5"/>
  <c r="AD37" i="5"/>
  <c r="Y37" i="5"/>
  <c r="V37" i="5"/>
  <c r="T37" i="5"/>
  <c r="AM36" i="5"/>
  <c r="AK36" i="5"/>
  <c r="AJ36" i="5"/>
  <c r="AI36" i="5"/>
  <c r="AH36" i="5"/>
  <c r="AG36" i="5"/>
  <c r="AL36" i="5" s="1"/>
  <c r="AF36" i="5"/>
  <c r="AE36" i="5"/>
  <c r="AD36" i="5"/>
  <c r="Y36" i="5"/>
  <c r="V36" i="5"/>
  <c r="T36" i="5"/>
  <c r="AM35" i="5"/>
  <c r="AK35" i="5"/>
  <c r="AI35" i="5"/>
  <c r="AH35" i="5"/>
  <c r="AF35" i="5"/>
  <c r="AG35" i="5" s="1"/>
  <c r="AJ35" i="5" s="1"/>
  <c r="AE35" i="5"/>
  <c r="AD35" i="5"/>
  <c r="Y35" i="5"/>
  <c r="V35" i="5"/>
  <c r="T35" i="5"/>
  <c r="AM34" i="5"/>
  <c r="AK34" i="5"/>
  <c r="AH34" i="5"/>
  <c r="AI34" i="5" s="1"/>
  <c r="AG34" i="5"/>
  <c r="AF34" i="5"/>
  <c r="AE34" i="5"/>
  <c r="AD34" i="5"/>
  <c r="Y34" i="5"/>
  <c r="V34" i="5"/>
  <c r="T34" i="5"/>
  <c r="AM33" i="5"/>
  <c r="AK33" i="5"/>
  <c r="AF33" i="5"/>
  <c r="AG33" i="5" s="1"/>
  <c r="Y33" i="5"/>
  <c r="V33" i="5"/>
  <c r="T33" i="5"/>
  <c r="AH33" i="5" s="1"/>
  <c r="AI33" i="5" s="1"/>
  <c r="AM32" i="5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D31" i="5" s="1"/>
  <c r="AM30" i="5"/>
  <c r="AK30" i="5"/>
  <c r="AF30" i="5"/>
  <c r="AG30" i="5" s="1"/>
  <c r="Y30" i="5"/>
  <c r="V30" i="5"/>
  <c r="T30" i="5"/>
  <c r="AH30" i="5" s="1"/>
  <c r="AI30" i="5" s="1"/>
  <c r="AM29" i="5"/>
  <c r="AK29" i="5"/>
  <c r="AF29" i="5"/>
  <c r="AG29" i="5" s="1"/>
  <c r="Y29" i="5"/>
  <c r="V29" i="5"/>
  <c r="T29" i="5"/>
  <c r="AH29" i="5" s="1"/>
  <c r="AI29" i="5" s="1"/>
  <c r="AM28" i="5"/>
  <c r="AK28" i="5"/>
  <c r="AF28" i="5"/>
  <c r="AG28" i="5" s="1"/>
  <c r="AE28" i="5"/>
  <c r="Y28" i="5"/>
  <c r="V28" i="5"/>
  <c r="T28" i="5"/>
  <c r="AD28" i="5" s="1"/>
  <c r="AM27" i="5"/>
  <c r="AK27" i="5"/>
  <c r="AG27" i="5"/>
  <c r="AF27" i="5"/>
  <c r="Y27" i="5"/>
  <c r="V27" i="5"/>
  <c r="T27" i="5"/>
  <c r="AH27" i="5" s="1"/>
  <c r="AI27" i="5" s="1"/>
  <c r="AK26" i="5"/>
  <c r="AF26" i="5"/>
  <c r="AG26" i="5" s="1"/>
  <c r="Y26" i="5"/>
  <c r="W26" i="5"/>
  <c r="V26" i="5"/>
  <c r="T26" i="5"/>
  <c r="AH26" i="5" s="1"/>
  <c r="AI26" i="5" s="1"/>
  <c r="AM25" i="5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M22" i="5"/>
  <c r="AK22" i="5"/>
  <c r="AF22" i="5"/>
  <c r="AG22" i="5" s="1"/>
  <c r="AE22" i="5"/>
  <c r="Y22" i="5"/>
  <c r="V22" i="5"/>
  <c r="T22" i="5"/>
  <c r="AD22" i="5" s="1"/>
  <c r="AM21" i="5"/>
  <c r="AK21" i="5"/>
  <c r="AF21" i="5"/>
  <c r="AG21" i="5" s="1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K19" i="5"/>
  <c r="AF19" i="5"/>
  <c r="AG19" i="5" s="1"/>
  <c r="AE19" i="5"/>
  <c r="Y19" i="5"/>
  <c r="V19" i="5"/>
  <c r="T19" i="5"/>
  <c r="AD19" i="5" s="1"/>
  <c r="AM18" i="5"/>
  <c r="AK18" i="5"/>
  <c r="AF18" i="5"/>
  <c r="AG18" i="5" s="1"/>
  <c r="Y18" i="5"/>
  <c r="V18" i="5"/>
  <c r="T18" i="5"/>
  <c r="AH18" i="5" s="1"/>
  <c r="AI18" i="5" s="1"/>
  <c r="AM17" i="5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M15" i="5"/>
  <c r="AK15" i="5"/>
  <c r="AF15" i="5"/>
  <c r="AG15" i="5" s="1"/>
  <c r="Y15" i="5"/>
  <c r="V15" i="5"/>
  <c r="T15" i="5"/>
  <c r="AH15" i="5" s="1"/>
  <c r="AI15" i="5" s="1"/>
  <c r="AM14" i="5"/>
  <c r="AK14" i="5"/>
  <c r="AF14" i="5"/>
  <c r="AG14" i="5" s="1"/>
  <c r="AD14" i="5"/>
  <c r="Y14" i="5"/>
  <c r="V14" i="5"/>
  <c r="T14" i="5"/>
  <c r="AE14" i="5" s="1"/>
  <c r="AK13" i="5"/>
  <c r="AH13" i="5"/>
  <c r="AI13" i="5" s="1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AK11" i="5"/>
  <c r="AH11" i="5"/>
  <c r="AI11" i="5" s="1"/>
  <c r="AF11" i="5"/>
  <c r="AG11" i="5" s="1"/>
  <c r="AE11" i="5"/>
  <c r="AD11" i="5"/>
  <c r="Y11" i="5"/>
  <c r="V11" i="5"/>
  <c r="T11" i="5"/>
  <c r="AM11" i="5" s="1"/>
  <c r="AM10" i="5"/>
  <c r="AK10" i="5"/>
  <c r="AF10" i="5"/>
  <c r="AG10" i="5" s="1"/>
  <c r="AD10" i="5"/>
  <c r="Y10" i="5"/>
  <c r="V10" i="5"/>
  <c r="T10" i="5"/>
  <c r="AH10" i="5" s="1"/>
  <c r="AI10" i="5" s="1"/>
  <c r="A10" i="5"/>
  <c r="U50" i="5" s="1"/>
  <c r="AK9" i="5"/>
  <c r="AF9" i="5"/>
  <c r="AG9" i="5" s="1"/>
  <c r="Y9" i="5"/>
  <c r="V9" i="5"/>
  <c r="T9" i="5"/>
  <c r="AH9" i="5" s="1"/>
  <c r="AI9" i="5" s="1"/>
  <c r="AM8" i="5"/>
  <c r="AK8" i="5"/>
  <c r="AF8" i="5"/>
  <c r="AG8" i="5" s="1"/>
  <c r="AD8" i="5"/>
  <c r="Y8" i="5"/>
  <c r="V8" i="5"/>
  <c r="T8" i="5"/>
  <c r="AH8" i="5" s="1"/>
  <c r="AI8" i="5" s="1"/>
  <c r="AK7" i="5"/>
  <c r="AH7" i="5"/>
  <c r="AI7" i="5" s="1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E24" i="3"/>
  <c r="AD24" i="3"/>
  <c r="AN24" i="3" s="1"/>
  <c r="Y24" i="3"/>
  <c r="V24" i="3"/>
  <c r="T24" i="3"/>
  <c r="AM23" i="3"/>
  <c r="AK23" i="3"/>
  <c r="AH23" i="3"/>
  <c r="AI23" i="3" s="1"/>
  <c r="AF23" i="3"/>
  <c r="AG23" i="3" s="1"/>
  <c r="AE23" i="3"/>
  <c r="AD23" i="3"/>
  <c r="AN23" i="3" s="1"/>
  <c r="Y23" i="3"/>
  <c r="V23" i="3"/>
  <c r="T23" i="3"/>
  <c r="AM22" i="3"/>
  <c r="AK22" i="3"/>
  <c r="AH22" i="3"/>
  <c r="AI22" i="3" s="1"/>
  <c r="AG22" i="3"/>
  <c r="AL22" i="3" s="1"/>
  <c r="AF22" i="3"/>
  <c r="AE22" i="3"/>
  <c r="AD22" i="3"/>
  <c r="Y22" i="3"/>
  <c r="V22" i="3"/>
  <c r="T22" i="3"/>
  <c r="AM21" i="3"/>
  <c r="AK21" i="3"/>
  <c r="AJ21" i="3"/>
  <c r="AI21" i="3"/>
  <c r="AH21" i="3"/>
  <c r="AG21" i="3"/>
  <c r="AL21" i="3" s="1"/>
  <c r="AF21" i="3"/>
  <c r="AE21" i="3"/>
  <c r="AD21" i="3"/>
  <c r="Y21" i="3"/>
  <c r="V21" i="3"/>
  <c r="T21" i="3"/>
  <c r="AM20" i="3"/>
  <c r="AL20" i="3"/>
  <c r="AK20" i="3"/>
  <c r="AI20" i="3"/>
  <c r="AH20" i="3"/>
  <c r="AF20" i="3"/>
  <c r="AG20" i="3" s="1"/>
  <c r="AJ20" i="3" s="1"/>
  <c r="AE20" i="3"/>
  <c r="AD20" i="3"/>
  <c r="Y20" i="3"/>
  <c r="V20" i="3"/>
  <c r="T20" i="3"/>
  <c r="AM19" i="3"/>
  <c r="AK19" i="3"/>
  <c r="AH19" i="3"/>
  <c r="AI19" i="3" s="1"/>
  <c r="AF19" i="3"/>
  <c r="AG19" i="3" s="1"/>
  <c r="AE19" i="3"/>
  <c r="AD19" i="3"/>
  <c r="Y19" i="3"/>
  <c r="V19" i="3"/>
  <c r="T19" i="3"/>
  <c r="AM18" i="3"/>
  <c r="AK18" i="3"/>
  <c r="AH18" i="3"/>
  <c r="AI18" i="3" s="1"/>
  <c r="AF18" i="3"/>
  <c r="AG18" i="3" s="1"/>
  <c r="AE18" i="3"/>
  <c r="AD18" i="3"/>
  <c r="Y18" i="3"/>
  <c r="V18" i="3"/>
  <c r="T18" i="3"/>
  <c r="AM17" i="3"/>
  <c r="AK17" i="3"/>
  <c r="AH17" i="3"/>
  <c r="AI17" i="3" s="1"/>
  <c r="AG17" i="3"/>
  <c r="AF17" i="3"/>
  <c r="AE17" i="3"/>
  <c r="AD17" i="3"/>
  <c r="Y17" i="3"/>
  <c r="V17" i="3"/>
  <c r="T17" i="3"/>
  <c r="AM16" i="3"/>
  <c r="AK16" i="3"/>
  <c r="AJ16" i="3"/>
  <c r="AI16" i="3"/>
  <c r="AH16" i="3"/>
  <c r="AG16" i="3"/>
  <c r="AL16" i="3" s="1"/>
  <c r="AF16" i="3"/>
  <c r="AE16" i="3"/>
  <c r="AD16" i="3"/>
  <c r="Y16" i="3"/>
  <c r="V16" i="3"/>
  <c r="T16" i="3"/>
  <c r="AM15" i="3"/>
  <c r="AK15" i="3"/>
  <c r="AI15" i="3"/>
  <c r="AH15" i="3"/>
  <c r="AF15" i="3"/>
  <c r="AG15" i="3" s="1"/>
  <c r="AJ15" i="3" s="1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H12" i="3"/>
  <c r="AI12" i="3" s="1"/>
  <c r="AF12" i="3"/>
  <c r="AG12" i="3" s="1"/>
  <c r="Y12" i="3"/>
  <c r="V12" i="3"/>
  <c r="T12" i="3"/>
  <c r="AE12" i="3" s="1"/>
  <c r="A12" i="3"/>
  <c r="J8" i="68" s="1"/>
  <c r="AM11" i="3"/>
  <c r="AK11" i="3"/>
  <c r="AH11" i="3"/>
  <c r="AI11" i="3" s="1"/>
  <c r="AF11" i="3"/>
  <c r="AG11" i="3" s="1"/>
  <c r="Y11" i="3"/>
  <c r="V11" i="3"/>
  <c r="T11" i="3"/>
  <c r="AE11" i="3" s="1"/>
  <c r="AM10" i="3"/>
  <c r="AK10" i="3"/>
  <c r="AF10" i="3"/>
  <c r="AG10" i="3" s="1"/>
  <c r="AE10" i="3"/>
  <c r="Y10" i="3"/>
  <c r="V10" i="3"/>
  <c r="T10" i="3"/>
  <c r="AD10" i="3" s="1"/>
  <c r="A10" i="3"/>
  <c r="U14" i="3" s="1"/>
  <c r="AM9" i="3"/>
  <c r="AK9" i="3"/>
  <c r="AH9" i="3"/>
  <c r="AI9" i="3" s="1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G5" i="3"/>
  <c r="AF5" i="3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T170" i="65"/>
  <c r="AH170" i="65" s="1"/>
  <c r="AI170" i="65" s="1"/>
  <c r="AK169" i="65"/>
  <c r="AF169" i="65"/>
  <c r="AG169" i="65" s="1"/>
  <c r="Y169" i="65"/>
  <c r="V169" i="65"/>
  <c r="T169" i="65"/>
  <c r="AH169" i="65" s="1"/>
  <c r="AI169" i="65" s="1"/>
  <c r="AM168" i="65"/>
  <c r="AK168" i="65"/>
  <c r="AF168" i="65"/>
  <c r="AG168" i="65" s="1"/>
  <c r="Y168" i="65"/>
  <c r="V168" i="65"/>
  <c r="T168" i="65"/>
  <c r="AH168" i="65" s="1"/>
  <c r="AI168" i="65" s="1"/>
  <c r="AK167" i="65"/>
  <c r="AF167" i="65"/>
  <c r="AG167" i="65" s="1"/>
  <c r="Y167" i="65"/>
  <c r="V167" i="65"/>
  <c r="T167" i="65"/>
  <c r="AM167" i="65" s="1"/>
  <c r="AM166" i="65"/>
  <c r="AK166" i="65"/>
  <c r="AF166" i="65"/>
  <c r="AG166" i="65" s="1"/>
  <c r="Y166" i="65"/>
  <c r="V166" i="65"/>
  <c r="T166" i="65"/>
  <c r="AH166" i="65" s="1"/>
  <c r="AI166" i="65" s="1"/>
  <c r="AK165" i="65"/>
  <c r="AF165" i="65"/>
  <c r="AG165" i="65" s="1"/>
  <c r="Y165" i="65"/>
  <c r="V165" i="65"/>
  <c r="T165" i="65"/>
  <c r="AE165" i="65" s="1"/>
  <c r="AM164" i="65"/>
  <c r="AK164" i="65"/>
  <c r="AF164" i="65"/>
  <c r="AG164" i="65" s="1"/>
  <c r="Y164" i="65"/>
  <c r="V164" i="65"/>
  <c r="T164" i="65"/>
  <c r="AH164" i="65" s="1"/>
  <c r="AI164" i="65" s="1"/>
  <c r="AM163" i="65"/>
  <c r="AK163" i="65"/>
  <c r="AF163" i="65"/>
  <c r="AG163" i="65" s="1"/>
  <c r="Y163" i="65"/>
  <c r="V163" i="65"/>
  <c r="T163" i="65"/>
  <c r="AH163" i="65" s="1"/>
  <c r="AI163" i="65" s="1"/>
  <c r="AM162" i="65"/>
  <c r="AK162" i="65"/>
  <c r="AF162" i="65"/>
  <c r="AG162" i="65" s="1"/>
  <c r="Y162" i="65"/>
  <c r="V162" i="65"/>
  <c r="T162" i="65"/>
  <c r="AH162" i="65" s="1"/>
  <c r="AI162" i="65" s="1"/>
  <c r="AK161" i="65"/>
  <c r="AF161" i="65"/>
  <c r="AG161" i="65" s="1"/>
  <c r="Y161" i="65"/>
  <c r="V161" i="65"/>
  <c r="T161" i="65"/>
  <c r="AE161" i="65" s="1"/>
  <c r="AK160" i="65"/>
  <c r="AF160" i="65"/>
  <c r="AG160" i="65" s="1"/>
  <c r="Y160" i="65"/>
  <c r="V160" i="65"/>
  <c r="T160" i="65"/>
  <c r="AM160" i="65" s="1"/>
  <c r="AK159" i="65"/>
  <c r="AF159" i="65"/>
  <c r="AG159" i="65" s="1"/>
  <c r="Y159" i="65"/>
  <c r="V159" i="65"/>
  <c r="T159" i="65"/>
  <c r="AH159" i="65" s="1"/>
  <c r="AI159" i="65" s="1"/>
  <c r="AK158" i="65"/>
  <c r="AF158" i="65"/>
  <c r="AG158" i="65" s="1"/>
  <c r="Y158" i="65"/>
  <c r="V158" i="65"/>
  <c r="T158" i="65"/>
  <c r="AH158" i="65" s="1"/>
  <c r="AI158" i="65" s="1"/>
  <c r="AK157" i="65"/>
  <c r="AF157" i="65"/>
  <c r="AG157" i="65" s="1"/>
  <c r="Y157" i="65"/>
  <c r="V157" i="65"/>
  <c r="T157" i="65"/>
  <c r="AE157" i="65" s="1"/>
  <c r="AK156" i="65"/>
  <c r="AF156" i="65"/>
  <c r="AG156" i="65" s="1"/>
  <c r="Y156" i="65"/>
  <c r="V156" i="65"/>
  <c r="T156" i="65"/>
  <c r="AM156" i="65" s="1"/>
  <c r="AK155" i="65"/>
  <c r="AF155" i="65"/>
  <c r="AG155" i="65" s="1"/>
  <c r="Y155" i="65"/>
  <c r="V155" i="65"/>
  <c r="T155" i="65"/>
  <c r="AM155" i="65" s="1"/>
  <c r="AK154" i="65"/>
  <c r="AF154" i="65"/>
  <c r="AG154" i="65" s="1"/>
  <c r="Y154" i="65"/>
  <c r="V154" i="65"/>
  <c r="T154" i="65"/>
  <c r="AH154" i="65" s="1"/>
  <c r="AI154" i="65" s="1"/>
  <c r="AK153" i="65"/>
  <c r="AF153" i="65"/>
  <c r="AG153" i="65" s="1"/>
  <c r="Y153" i="65"/>
  <c r="V153" i="65"/>
  <c r="T153" i="65"/>
  <c r="AH153" i="65" s="1"/>
  <c r="AI153" i="65" s="1"/>
  <c r="AK152" i="65"/>
  <c r="AF152" i="65"/>
  <c r="AG152" i="65" s="1"/>
  <c r="Y152" i="65"/>
  <c r="V152" i="65"/>
  <c r="T152" i="65"/>
  <c r="AH152" i="65" s="1"/>
  <c r="AI152" i="65" s="1"/>
  <c r="AM151" i="65"/>
  <c r="AK151" i="65"/>
  <c r="AF151" i="65"/>
  <c r="AG151" i="65" s="1"/>
  <c r="Y151" i="65"/>
  <c r="V151" i="65"/>
  <c r="T151" i="65"/>
  <c r="AH151" i="65" s="1"/>
  <c r="AI151" i="65" s="1"/>
  <c r="AK150" i="65"/>
  <c r="AF150" i="65"/>
  <c r="AG150" i="65" s="1"/>
  <c r="Y150" i="65"/>
  <c r="V150" i="65"/>
  <c r="T150" i="65"/>
  <c r="AH150" i="65" s="1"/>
  <c r="AI150" i="65" s="1"/>
  <c r="AM149" i="65"/>
  <c r="AK149" i="65"/>
  <c r="AF149" i="65"/>
  <c r="AG149" i="65" s="1"/>
  <c r="Y149" i="65"/>
  <c r="V149" i="65"/>
  <c r="T149" i="65"/>
  <c r="AE149" i="65" s="1"/>
  <c r="AK148" i="65"/>
  <c r="AF148" i="65"/>
  <c r="AG148" i="65" s="1"/>
  <c r="Y148" i="65"/>
  <c r="V148" i="65"/>
  <c r="T148" i="65"/>
  <c r="AH148" i="65" s="1"/>
  <c r="AI148" i="65" s="1"/>
  <c r="AM147" i="65"/>
  <c r="AK147" i="65"/>
  <c r="AF147" i="65"/>
  <c r="AG147" i="65" s="1"/>
  <c r="Y147" i="65"/>
  <c r="V147" i="65"/>
  <c r="T147" i="65"/>
  <c r="AD147" i="65" s="1"/>
  <c r="AK146" i="65"/>
  <c r="AF146" i="65"/>
  <c r="AG146" i="65" s="1"/>
  <c r="Y146" i="65"/>
  <c r="V146" i="65"/>
  <c r="T146" i="65"/>
  <c r="AM146" i="65" s="1"/>
  <c r="AK145" i="65"/>
  <c r="AF145" i="65"/>
  <c r="AG145" i="65" s="1"/>
  <c r="Y145" i="65"/>
  <c r="V145" i="65"/>
  <c r="T145" i="65"/>
  <c r="AD145" i="65" s="1"/>
  <c r="AK144" i="65"/>
  <c r="AF144" i="65"/>
  <c r="AG144" i="65" s="1"/>
  <c r="Y144" i="65"/>
  <c r="V144" i="65"/>
  <c r="T144" i="65"/>
  <c r="AE144" i="65" s="1"/>
  <c r="AK143" i="65"/>
  <c r="AF143" i="65"/>
  <c r="AG143" i="65" s="1"/>
  <c r="Y143" i="65"/>
  <c r="V143" i="65"/>
  <c r="T143" i="65"/>
  <c r="AM143" i="65" s="1"/>
  <c r="AM142" i="65"/>
  <c r="AK142" i="65"/>
  <c r="AF142" i="65"/>
  <c r="AG142" i="65" s="1"/>
  <c r="Y142" i="65"/>
  <c r="V142" i="65"/>
  <c r="T142" i="65"/>
  <c r="AH142" i="65" s="1"/>
  <c r="AI142" i="65" s="1"/>
  <c r="AK141" i="65"/>
  <c r="AF141" i="65"/>
  <c r="AG141" i="65" s="1"/>
  <c r="Y141" i="65"/>
  <c r="V141" i="65"/>
  <c r="T141" i="65"/>
  <c r="AH141" i="65" s="1"/>
  <c r="AI141" i="65" s="1"/>
  <c r="AM140" i="65"/>
  <c r="AK140" i="65"/>
  <c r="AF140" i="65"/>
  <c r="AG140" i="65" s="1"/>
  <c r="Y140" i="65"/>
  <c r="V140" i="65"/>
  <c r="T140" i="65"/>
  <c r="AH140" i="65" s="1"/>
  <c r="AI140" i="65" s="1"/>
  <c r="AM139" i="65"/>
  <c r="AK139" i="65"/>
  <c r="AF139" i="65"/>
  <c r="AG139" i="65" s="1"/>
  <c r="Y139" i="65"/>
  <c r="V139" i="65"/>
  <c r="T139" i="65"/>
  <c r="AH139" i="65" s="1"/>
  <c r="AI139" i="65" s="1"/>
  <c r="AM138" i="65"/>
  <c r="AK138" i="65"/>
  <c r="AF138" i="65"/>
  <c r="AG138" i="65" s="1"/>
  <c r="Y138" i="65"/>
  <c r="V138" i="65"/>
  <c r="T138" i="65"/>
  <c r="AH138" i="65" s="1"/>
  <c r="AI138" i="65" s="1"/>
  <c r="AK137" i="65"/>
  <c r="AF137" i="65"/>
  <c r="AG137" i="65" s="1"/>
  <c r="Y137" i="65"/>
  <c r="V137" i="65"/>
  <c r="T137" i="65"/>
  <c r="AM137" i="65" s="1"/>
  <c r="AK136" i="65"/>
  <c r="AF136" i="65"/>
  <c r="AG136" i="65" s="1"/>
  <c r="Y136" i="65"/>
  <c r="V136" i="65"/>
  <c r="T136" i="65"/>
  <c r="AH136" i="65" s="1"/>
  <c r="AI136" i="65" s="1"/>
  <c r="AK135" i="65"/>
  <c r="AF135" i="65"/>
  <c r="AG135" i="65" s="1"/>
  <c r="Y135" i="65"/>
  <c r="V135" i="65"/>
  <c r="T135" i="65"/>
  <c r="AH135" i="65" s="1"/>
  <c r="AI135" i="65" s="1"/>
  <c r="AK134" i="65"/>
  <c r="AF134" i="65"/>
  <c r="AG134" i="65" s="1"/>
  <c r="Y134" i="65"/>
  <c r="V134" i="65"/>
  <c r="T134" i="65"/>
  <c r="AM134" i="65" s="1"/>
  <c r="AM133" i="65"/>
  <c r="AK133" i="65"/>
  <c r="AF133" i="65"/>
  <c r="AG133" i="65" s="1"/>
  <c r="Y133" i="65"/>
  <c r="V133" i="65"/>
  <c r="T133" i="65"/>
  <c r="AH133" i="65" s="1"/>
  <c r="AI133" i="65" s="1"/>
  <c r="AK132" i="65"/>
  <c r="AF132" i="65"/>
  <c r="AG132" i="65" s="1"/>
  <c r="Y132" i="65"/>
  <c r="V132" i="65"/>
  <c r="T132" i="65"/>
  <c r="AM132" i="65" s="1"/>
  <c r="AM131" i="65"/>
  <c r="AK131" i="65"/>
  <c r="AF131" i="65"/>
  <c r="AG131" i="65" s="1"/>
  <c r="Y131" i="65"/>
  <c r="V131" i="65"/>
  <c r="T131" i="65"/>
  <c r="AH131" i="65" s="1"/>
  <c r="AI131" i="65" s="1"/>
  <c r="AK130" i="65"/>
  <c r="AF130" i="65"/>
  <c r="AG130" i="65" s="1"/>
  <c r="Y130" i="65"/>
  <c r="V130" i="65"/>
  <c r="T130" i="65"/>
  <c r="AH130" i="65" s="1"/>
  <c r="AI130" i="65" s="1"/>
  <c r="AK129" i="65"/>
  <c r="AF129" i="65"/>
  <c r="AG129" i="65" s="1"/>
  <c r="Y129" i="65"/>
  <c r="V129" i="65"/>
  <c r="T129" i="65"/>
  <c r="AD129" i="65" s="1"/>
  <c r="AM128" i="65"/>
  <c r="AK128" i="65"/>
  <c r="AF128" i="65"/>
  <c r="AG128" i="65" s="1"/>
  <c r="Y128" i="65"/>
  <c r="V128" i="65"/>
  <c r="T128" i="65"/>
  <c r="AH128" i="65" s="1"/>
  <c r="AI128" i="65" s="1"/>
  <c r="AK127" i="65"/>
  <c r="AF127" i="65"/>
  <c r="AG127" i="65" s="1"/>
  <c r="Y127" i="65"/>
  <c r="V127" i="65"/>
  <c r="T127" i="65"/>
  <c r="AE127" i="65" s="1"/>
  <c r="AM126" i="65"/>
  <c r="AK126" i="65"/>
  <c r="AF126" i="65"/>
  <c r="AG126" i="65" s="1"/>
  <c r="Y126" i="65"/>
  <c r="V126" i="65"/>
  <c r="T126" i="65"/>
  <c r="AE126" i="65" s="1"/>
  <c r="AK125" i="65"/>
  <c r="AF125" i="65"/>
  <c r="AG125" i="65" s="1"/>
  <c r="Y125" i="65"/>
  <c r="V125" i="65"/>
  <c r="T125" i="65"/>
  <c r="AM125" i="65" s="1"/>
  <c r="AM124" i="65"/>
  <c r="AK124" i="65"/>
  <c r="AF124" i="65"/>
  <c r="AG124" i="65" s="1"/>
  <c r="Y124" i="65"/>
  <c r="V124" i="65"/>
  <c r="T124" i="65"/>
  <c r="AD124" i="65" s="1"/>
  <c r="AK123" i="65"/>
  <c r="AF123" i="65"/>
  <c r="AG123" i="65" s="1"/>
  <c r="Y123" i="65"/>
  <c r="V123" i="65"/>
  <c r="T123" i="65"/>
  <c r="AH123" i="65" s="1"/>
  <c r="AI123" i="65" s="1"/>
  <c r="AM122" i="65"/>
  <c r="AK122" i="65"/>
  <c r="AF122" i="65"/>
  <c r="AG122" i="65" s="1"/>
  <c r="Y122" i="65"/>
  <c r="V122" i="65"/>
  <c r="T122" i="65"/>
  <c r="AH122" i="65" s="1"/>
  <c r="AI122" i="65" s="1"/>
  <c r="AM121" i="65"/>
  <c r="AK121" i="65"/>
  <c r="AF121" i="65"/>
  <c r="AG121" i="65" s="1"/>
  <c r="Y121" i="65"/>
  <c r="V121" i="65"/>
  <c r="T121" i="65"/>
  <c r="AE121" i="65" s="1"/>
  <c r="AM120" i="65"/>
  <c r="AK120" i="65"/>
  <c r="AF120" i="65"/>
  <c r="AG120" i="65" s="1"/>
  <c r="Y120" i="65"/>
  <c r="V120" i="65"/>
  <c r="T120" i="65"/>
  <c r="AE120" i="65" s="1"/>
  <c r="AM119" i="65"/>
  <c r="AK119" i="65"/>
  <c r="AF119" i="65"/>
  <c r="AG119" i="65" s="1"/>
  <c r="Y119" i="65"/>
  <c r="V119" i="65"/>
  <c r="T119" i="65"/>
  <c r="AH119" i="65" s="1"/>
  <c r="AI119" i="65" s="1"/>
  <c r="AM118" i="65"/>
  <c r="AK118" i="65"/>
  <c r="AF118" i="65"/>
  <c r="AG118" i="65" s="1"/>
  <c r="Y118" i="65"/>
  <c r="V118" i="65"/>
  <c r="T118" i="65"/>
  <c r="AH118" i="65" s="1"/>
  <c r="AI118" i="65" s="1"/>
  <c r="AK117" i="65"/>
  <c r="AF117" i="65"/>
  <c r="AG117" i="65" s="1"/>
  <c r="Y117" i="65"/>
  <c r="V117" i="65"/>
  <c r="T117" i="65"/>
  <c r="AE117" i="65" s="1"/>
  <c r="AM116" i="65"/>
  <c r="AK116" i="65"/>
  <c r="AF116" i="65"/>
  <c r="AG116" i="65" s="1"/>
  <c r="Y116" i="65"/>
  <c r="V116" i="65"/>
  <c r="T116" i="65"/>
  <c r="AE116" i="65" s="1"/>
  <c r="AK115" i="65"/>
  <c r="AF115" i="65"/>
  <c r="AG115" i="65" s="1"/>
  <c r="Y115" i="65"/>
  <c r="V115" i="65"/>
  <c r="T115" i="65"/>
  <c r="AM115" i="65" s="1"/>
  <c r="AM114" i="65"/>
  <c r="AK114" i="65"/>
  <c r="AF114" i="65"/>
  <c r="AG114" i="65" s="1"/>
  <c r="Y114" i="65"/>
  <c r="V114" i="65"/>
  <c r="T114" i="65"/>
  <c r="AH114" i="65" s="1"/>
  <c r="AI114" i="65" s="1"/>
  <c r="AK113" i="65"/>
  <c r="AF113" i="65"/>
  <c r="AG113" i="65" s="1"/>
  <c r="Y113" i="65"/>
  <c r="V113" i="65"/>
  <c r="T113" i="65"/>
  <c r="AE113" i="65" s="1"/>
  <c r="AK112" i="65"/>
  <c r="AF112" i="65"/>
  <c r="AG112" i="65" s="1"/>
  <c r="Y112" i="65"/>
  <c r="V112" i="65"/>
  <c r="T112" i="65"/>
  <c r="AE112" i="65" s="1"/>
  <c r="AK111" i="65"/>
  <c r="AF111" i="65"/>
  <c r="AG111" i="65" s="1"/>
  <c r="Y111" i="65"/>
  <c r="V111" i="65"/>
  <c r="T111" i="65"/>
  <c r="AH111" i="65" s="1"/>
  <c r="AI111" i="65" s="1"/>
  <c r="AK110" i="65"/>
  <c r="AF110" i="65"/>
  <c r="AG110" i="65" s="1"/>
  <c r="Y110" i="65"/>
  <c r="V110" i="65"/>
  <c r="T110" i="65"/>
  <c r="AH110" i="65" s="1"/>
  <c r="AI110" i="65" s="1"/>
  <c r="AM109" i="65"/>
  <c r="AK109" i="65"/>
  <c r="AF109" i="65"/>
  <c r="AG109" i="65" s="1"/>
  <c r="Y109" i="65"/>
  <c r="V109" i="65"/>
  <c r="T109" i="65"/>
  <c r="AH109" i="65" s="1"/>
  <c r="AI109" i="65" s="1"/>
  <c r="AK108" i="65"/>
  <c r="AF108" i="65"/>
  <c r="AG108" i="65" s="1"/>
  <c r="Y108" i="65"/>
  <c r="V108" i="65"/>
  <c r="T108" i="65"/>
  <c r="AE108" i="65" s="1"/>
  <c r="AK107" i="65"/>
  <c r="AF107" i="65"/>
  <c r="AG107" i="65" s="1"/>
  <c r="Y107" i="65"/>
  <c r="V107" i="65"/>
  <c r="T107" i="65"/>
  <c r="AM107" i="65" s="1"/>
  <c r="AK106" i="65"/>
  <c r="AF106" i="65"/>
  <c r="AG106" i="65" s="1"/>
  <c r="Y106" i="65"/>
  <c r="V106" i="65"/>
  <c r="T106" i="65"/>
  <c r="AM106" i="65" s="1"/>
  <c r="AK105" i="65"/>
  <c r="AF105" i="65"/>
  <c r="AG105" i="65" s="1"/>
  <c r="Y105" i="65"/>
  <c r="V105" i="65"/>
  <c r="T105" i="65"/>
  <c r="AH105" i="65" s="1"/>
  <c r="AI105" i="65" s="1"/>
  <c r="AK104" i="65"/>
  <c r="AF104" i="65"/>
  <c r="AG104" i="65" s="1"/>
  <c r="Y104" i="65"/>
  <c r="V104" i="65"/>
  <c r="T104" i="65"/>
  <c r="AH104" i="65" s="1"/>
  <c r="AI104" i="65" s="1"/>
  <c r="AM103" i="65"/>
  <c r="AK103" i="65"/>
  <c r="AF103" i="65"/>
  <c r="AG103" i="65" s="1"/>
  <c r="Y103" i="65"/>
  <c r="V103" i="65"/>
  <c r="T103" i="65"/>
  <c r="AE103" i="65" s="1"/>
  <c r="AM102" i="65"/>
  <c r="AK102" i="65"/>
  <c r="AF102" i="65"/>
  <c r="AG102" i="65" s="1"/>
  <c r="Y102" i="65"/>
  <c r="V102" i="65"/>
  <c r="T102" i="65"/>
  <c r="AD102" i="65" s="1"/>
  <c r="AM101" i="65"/>
  <c r="AK101" i="65"/>
  <c r="AF101" i="65"/>
  <c r="AG101" i="65" s="1"/>
  <c r="Y101" i="65"/>
  <c r="V101" i="65"/>
  <c r="T101" i="65"/>
  <c r="AH101" i="65" s="1"/>
  <c r="AI101" i="65" s="1"/>
  <c r="AM100" i="65"/>
  <c r="AK100" i="65"/>
  <c r="AF100" i="65"/>
  <c r="AG100" i="65" s="1"/>
  <c r="Y100" i="65"/>
  <c r="V100" i="65"/>
  <c r="T100" i="65"/>
  <c r="AH100" i="65" s="1"/>
  <c r="AI100" i="65" s="1"/>
  <c r="AM99" i="65"/>
  <c r="AK99" i="65"/>
  <c r="AF99" i="65"/>
  <c r="AG99" i="65" s="1"/>
  <c r="Y99" i="65"/>
  <c r="V99" i="65"/>
  <c r="T99" i="65"/>
  <c r="AH99" i="65" s="1"/>
  <c r="AI99" i="65" s="1"/>
  <c r="AM98" i="65"/>
  <c r="AK98" i="65"/>
  <c r="AF98" i="65"/>
  <c r="AG98" i="65" s="1"/>
  <c r="Y98" i="65"/>
  <c r="V98" i="65"/>
  <c r="T98" i="65"/>
  <c r="AH98" i="65" s="1"/>
  <c r="AI98" i="65" s="1"/>
  <c r="AM97" i="65"/>
  <c r="AK97" i="65"/>
  <c r="AF97" i="65"/>
  <c r="AG97" i="65" s="1"/>
  <c r="Y97" i="65"/>
  <c r="V97" i="65"/>
  <c r="T97" i="65"/>
  <c r="AE97" i="65" s="1"/>
  <c r="AM96" i="65"/>
  <c r="AK96" i="65"/>
  <c r="AF96" i="65"/>
  <c r="AG96" i="65" s="1"/>
  <c r="Y96" i="65"/>
  <c r="V96" i="65"/>
  <c r="T96" i="65"/>
  <c r="AE96" i="65" s="1"/>
  <c r="AM95" i="65"/>
  <c r="AK95" i="65"/>
  <c r="AF95" i="65"/>
  <c r="AG95" i="65" s="1"/>
  <c r="Y95" i="65"/>
  <c r="V95" i="65"/>
  <c r="T95" i="65"/>
  <c r="AH95" i="65" s="1"/>
  <c r="AI95" i="65" s="1"/>
  <c r="AM94" i="65"/>
  <c r="AK94" i="65"/>
  <c r="AF94" i="65"/>
  <c r="AG94" i="65" s="1"/>
  <c r="Y94" i="65"/>
  <c r="V94" i="65"/>
  <c r="T94" i="65"/>
  <c r="AD94" i="65" s="1"/>
  <c r="AM93" i="65"/>
  <c r="AK93" i="65"/>
  <c r="AF93" i="65"/>
  <c r="AG93" i="65" s="1"/>
  <c r="Y93" i="65"/>
  <c r="V93" i="65"/>
  <c r="T93" i="65"/>
  <c r="AH93" i="65" s="1"/>
  <c r="AI93" i="65" s="1"/>
  <c r="AM92" i="65"/>
  <c r="AK92" i="65"/>
  <c r="AF92" i="65"/>
  <c r="AG92" i="65" s="1"/>
  <c r="Y92" i="65"/>
  <c r="V92" i="65"/>
  <c r="T92" i="65"/>
  <c r="AH92" i="65" s="1"/>
  <c r="AI92" i="65" s="1"/>
  <c r="AM91" i="65"/>
  <c r="AK91" i="65"/>
  <c r="AF91" i="65"/>
  <c r="AG91" i="65" s="1"/>
  <c r="Y91" i="65"/>
  <c r="V91" i="65"/>
  <c r="T91" i="65"/>
  <c r="AE91" i="65" s="1"/>
  <c r="AM90" i="65"/>
  <c r="AK90" i="65"/>
  <c r="AF90" i="65"/>
  <c r="AG90" i="65" s="1"/>
  <c r="Y90" i="65"/>
  <c r="V90" i="65"/>
  <c r="T90" i="65"/>
  <c r="AH90" i="65" s="1"/>
  <c r="AI90" i="65" s="1"/>
  <c r="AM89" i="65"/>
  <c r="AK89" i="65"/>
  <c r="AF89" i="65"/>
  <c r="AG89" i="65" s="1"/>
  <c r="Y89" i="65"/>
  <c r="V89" i="65"/>
  <c r="T89" i="65"/>
  <c r="AH89" i="65" s="1"/>
  <c r="AI89" i="65" s="1"/>
  <c r="AM88" i="65"/>
  <c r="AK88" i="65"/>
  <c r="AF88" i="65"/>
  <c r="AG88" i="65" s="1"/>
  <c r="Y88" i="65"/>
  <c r="V88" i="65"/>
  <c r="T88" i="65"/>
  <c r="AH88" i="65" s="1"/>
  <c r="AI88" i="65" s="1"/>
  <c r="AM87" i="65"/>
  <c r="AK87" i="65"/>
  <c r="AF87" i="65"/>
  <c r="AG87" i="65" s="1"/>
  <c r="Y87" i="65"/>
  <c r="V87" i="65"/>
  <c r="T87" i="65"/>
  <c r="AH87" i="65" s="1"/>
  <c r="AI87" i="65" s="1"/>
  <c r="AM86" i="65"/>
  <c r="AK86" i="65"/>
  <c r="AF86" i="65"/>
  <c r="AG86" i="65" s="1"/>
  <c r="Y86" i="65"/>
  <c r="V86" i="65"/>
  <c r="T86" i="65"/>
  <c r="AH86" i="65" s="1"/>
  <c r="AI86" i="65" s="1"/>
  <c r="AM85" i="65"/>
  <c r="AK85" i="65"/>
  <c r="AF85" i="65"/>
  <c r="AG85" i="65" s="1"/>
  <c r="Y85" i="65"/>
  <c r="V85" i="65"/>
  <c r="T85" i="65"/>
  <c r="AH85" i="65" s="1"/>
  <c r="AI85" i="65" s="1"/>
  <c r="AM84" i="65"/>
  <c r="AK84" i="65"/>
  <c r="AF84" i="65"/>
  <c r="AG84" i="65" s="1"/>
  <c r="Y84" i="65"/>
  <c r="V84" i="65"/>
  <c r="T84" i="65"/>
  <c r="AH84" i="65" s="1"/>
  <c r="AI84" i="65" s="1"/>
  <c r="AM83" i="65"/>
  <c r="AK83" i="65"/>
  <c r="AF83" i="65"/>
  <c r="AG83" i="65" s="1"/>
  <c r="Y83" i="65"/>
  <c r="V83" i="65"/>
  <c r="T83" i="65"/>
  <c r="AH83" i="65" s="1"/>
  <c r="AI83" i="65" s="1"/>
  <c r="AM82" i="65"/>
  <c r="AK82" i="65"/>
  <c r="AF82" i="65"/>
  <c r="AG82" i="65" s="1"/>
  <c r="Y82" i="65"/>
  <c r="V82" i="65"/>
  <c r="T82" i="65"/>
  <c r="AH82" i="65" s="1"/>
  <c r="AI82" i="65" s="1"/>
  <c r="AM81" i="65"/>
  <c r="AK81" i="65"/>
  <c r="AF81" i="65"/>
  <c r="AG81" i="65" s="1"/>
  <c r="Y81" i="65"/>
  <c r="V81" i="65"/>
  <c r="T81" i="65"/>
  <c r="AD81" i="65" s="1"/>
  <c r="AM80" i="65"/>
  <c r="AK80" i="65"/>
  <c r="AF80" i="65"/>
  <c r="AG80" i="65" s="1"/>
  <c r="Y80" i="65"/>
  <c r="V80" i="65"/>
  <c r="T80" i="65"/>
  <c r="AM79" i="65"/>
  <c r="AK79" i="65"/>
  <c r="AF79" i="65"/>
  <c r="AG79" i="65" s="1"/>
  <c r="Y79" i="65"/>
  <c r="V79" i="65"/>
  <c r="T79" i="65"/>
  <c r="AM78" i="65"/>
  <c r="AK78" i="65"/>
  <c r="AF78" i="65"/>
  <c r="AG78" i="65" s="1"/>
  <c r="Y78" i="65"/>
  <c r="V78" i="65"/>
  <c r="T78" i="65"/>
  <c r="AM77" i="65"/>
  <c r="AK77" i="65"/>
  <c r="AF77" i="65"/>
  <c r="AG77" i="65" s="1"/>
  <c r="Y77" i="65"/>
  <c r="V77" i="65"/>
  <c r="T77" i="65"/>
  <c r="AM76" i="65"/>
  <c r="AK76" i="65"/>
  <c r="AF76" i="65"/>
  <c r="AG76" i="65" s="1"/>
  <c r="Y76" i="65"/>
  <c r="V76" i="65"/>
  <c r="T76" i="65"/>
  <c r="AM75" i="65"/>
  <c r="AK75" i="65"/>
  <c r="AF75" i="65"/>
  <c r="AG75" i="65" s="1"/>
  <c r="Y75" i="65"/>
  <c r="V75" i="65"/>
  <c r="T75" i="65"/>
  <c r="AM74" i="65"/>
  <c r="AK74" i="65"/>
  <c r="AF74" i="65"/>
  <c r="AG74" i="65" s="1"/>
  <c r="Y74" i="65"/>
  <c r="V74" i="65"/>
  <c r="T74" i="65"/>
  <c r="AM73" i="65"/>
  <c r="AK73" i="65"/>
  <c r="AF73" i="65"/>
  <c r="AG73" i="65" s="1"/>
  <c r="Y73" i="65"/>
  <c r="V73" i="65"/>
  <c r="T73" i="65"/>
  <c r="AK72" i="65"/>
  <c r="AF72" i="65"/>
  <c r="AG72" i="65" s="1"/>
  <c r="Y72" i="65"/>
  <c r="V72" i="65"/>
  <c r="T72" i="65"/>
  <c r="AM72" i="65" s="1"/>
  <c r="AM71" i="65"/>
  <c r="AK71" i="65"/>
  <c r="AF71" i="65"/>
  <c r="AG71" i="65" s="1"/>
  <c r="Y71" i="65"/>
  <c r="V71" i="65"/>
  <c r="T71" i="65"/>
  <c r="AK70" i="65"/>
  <c r="AF70" i="65"/>
  <c r="AG70" i="65" s="1"/>
  <c r="Y70" i="65"/>
  <c r="V70" i="65"/>
  <c r="T70" i="65"/>
  <c r="AM70" i="65" s="1"/>
  <c r="AK69" i="65"/>
  <c r="AF69" i="65"/>
  <c r="AG69" i="65" s="1"/>
  <c r="Y69" i="65"/>
  <c r="V69" i="65"/>
  <c r="T69" i="65"/>
  <c r="AM69" i="65" s="1"/>
  <c r="AK68" i="65"/>
  <c r="AF68" i="65"/>
  <c r="AG68" i="65" s="1"/>
  <c r="Y68" i="65"/>
  <c r="V68" i="65"/>
  <c r="T68" i="65"/>
  <c r="AM68" i="65" s="1"/>
  <c r="AK67" i="65"/>
  <c r="AF67" i="65"/>
  <c r="AG67" i="65" s="1"/>
  <c r="Y67" i="65"/>
  <c r="V67" i="65"/>
  <c r="T67" i="65"/>
  <c r="AM67" i="65" s="1"/>
  <c r="AM66" i="65"/>
  <c r="AK66" i="65"/>
  <c r="AF66" i="65"/>
  <c r="AG66" i="65" s="1"/>
  <c r="Y66" i="65"/>
  <c r="V66" i="65"/>
  <c r="T66" i="65"/>
  <c r="AM65" i="65"/>
  <c r="AK65" i="65"/>
  <c r="AF65" i="65"/>
  <c r="AG65" i="65" s="1"/>
  <c r="Y65" i="65"/>
  <c r="V65" i="65"/>
  <c r="T65" i="65"/>
  <c r="AM64" i="65"/>
  <c r="AK64" i="65"/>
  <c r="AF64" i="65"/>
  <c r="AG64" i="65" s="1"/>
  <c r="Y64" i="65"/>
  <c r="V64" i="65"/>
  <c r="T64" i="65"/>
  <c r="AM63" i="65"/>
  <c r="AK63" i="65"/>
  <c r="AF63" i="65"/>
  <c r="AG63" i="65" s="1"/>
  <c r="Y63" i="65"/>
  <c r="V63" i="65"/>
  <c r="T63" i="65"/>
  <c r="AM62" i="65"/>
  <c r="AK62" i="65"/>
  <c r="AF62" i="65"/>
  <c r="AG62" i="65" s="1"/>
  <c r="Y62" i="65"/>
  <c r="V62" i="65"/>
  <c r="T62" i="65"/>
  <c r="AM61" i="65"/>
  <c r="AK61" i="65"/>
  <c r="AF61" i="65"/>
  <c r="AG61" i="65" s="1"/>
  <c r="Y61" i="65"/>
  <c r="V61" i="65"/>
  <c r="T61" i="65"/>
  <c r="AM60" i="65"/>
  <c r="AK60" i="65"/>
  <c r="AF60" i="65"/>
  <c r="AG60" i="65" s="1"/>
  <c r="Y60" i="65"/>
  <c r="V60" i="65"/>
  <c r="T60" i="65"/>
  <c r="AM59" i="65"/>
  <c r="AK59" i="65"/>
  <c r="AF59" i="65"/>
  <c r="AG59" i="65" s="1"/>
  <c r="Y59" i="65"/>
  <c r="V59" i="65"/>
  <c r="T59" i="65"/>
  <c r="AM58" i="65"/>
  <c r="AK58" i="65"/>
  <c r="AF58" i="65"/>
  <c r="AG58" i="65" s="1"/>
  <c r="Y58" i="65"/>
  <c r="V58" i="65"/>
  <c r="T58" i="65"/>
  <c r="AK57" i="65"/>
  <c r="AF57" i="65"/>
  <c r="AG57" i="65" s="1"/>
  <c r="Y57" i="65"/>
  <c r="V57" i="65"/>
  <c r="T57" i="65"/>
  <c r="AM57" i="65" s="1"/>
  <c r="AK56" i="65"/>
  <c r="AF56" i="65"/>
  <c r="AG56" i="65" s="1"/>
  <c r="Y56" i="65"/>
  <c r="V56" i="65"/>
  <c r="T56" i="65"/>
  <c r="AM56" i="65" s="1"/>
  <c r="AK55" i="65"/>
  <c r="AF55" i="65"/>
  <c r="AG55" i="65" s="1"/>
  <c r="Y55" i="65"/>
  <c r="V55" i="65"/>
  <c r="T55" i="65"/>
  <c r="AM55" i="65" s="1"/>
  <c r="AK54" i="65"/>
  <c r="AF54" i="65"/>
  <c r="AG54" i="65" s="1"/>
  <c r="Y54" i="65"/>
  <c r="V54" i="65"/>
  <c r="T54" i="65"/>
  <c r="AM54" i="65" s="1"/>
  <c r="AM53" i="65"/>
  <c r="AK53" i="65"/>
  <c r="AF53" i="65"/>
  <c r="AG53" i="65" s="1"/>
  <c r="Y53" i="65"/>
  <c r="V53" i="65"/>
  <c r="T53" i="65"/>
  <c r="AE53" i="65" s="1"/>
  <c r="AK52" i="65"/>
  <c r="AF52" i="65"/>
  <c r="AG52" i="65" s="1"/>
  <c r="Y52" i="65"/>
  <c r="V52" i="65"/>
  <c r="T52" i="65"/>
  <c r="AM52" i="65" s="1"/>
  <c r="AM51" i="65"/>
  <c r="AK51" i="65"/>
  <c r="AF51" i="65"/>
  <c r="AG51" i="65" s="1"/>
  <c r="Y51" i="65"/>
  <c r="V51" i="65"/>
  <c r="T51" i="65"/>
  <c r="AE51" i="65" s="1"/>
  <c r="AK50" i="65"/>
  <c r="AF50" i="65"/>
  <c r="AG50" i="65" s="1"/>
  <c r="Y50" i="65"/>
  <c r="V50" i="65"/>
  <c r="T50" i="65"/>
  <c r="AM50" i="65" s="1"/>
  <c r="AM49" i="65"/>
  <c r="AK49" i="65"/>
  <c r="AF49" i="65"/>
  <c r="AG49" i="65" s="1"/>
  <c r="Y49" i="65"/>
  <c r="V49" i="65"/>
  <c r="T49" i="65"/>
  <c r="AE49" i="65" s="1"/>
  <c r="AK48" i="65"/>
  <c r="AF48" i="65"/>
  <c r="AG48" i="65" s="1"/>
  <c r="Y48" i="65"/>
  <c r="V48" i="65"/>
  <c r="T48" i="65"/>
  <c r="AD48" i="65" s="1"/>
  <c r="AK47" i="65"/>
  <c r="AF47" i="65"/>
  <c r="AG47" i="65" s="1"/>
  <c r="Y47" i="65"/>
  <c r="V47" i="65"/>
  <c r="T47" i="65"/>
  <c r="AE47" i="65" s="1"/>
  <c r="AM46" i="65"/>
  <c r="AK46" i="65"/>
  <c r="AF46" i="65"/>
  <c r="AG46" i="65" s="1"/>
  <c r="Y46" i="65"/>
  <c r="V46" i="65"/>
  <c r="T46" i="65"/>
  <c r="AD46" i="65" s="1"/>
  <c r="AK45" i="65"/>
  <c r="AF45" i="65"/>
  <c r="AG45" i="65" s="1"/>
  <c r="Y45" i="65"/>
  <c r="V45" i="65"/>
  <c r="T45" i="65"/>
  <c r="AM45" i="65" s="1"/>
  <c r="AK44" i="65"/>
  <c r="AF44" i="65"/>
  <c r="AG44" i="65" s="1"/>
  <c r="Y44" i="65"/>
  <c r="V44" i="65"/>
  <c r="T44" i="65"/>
  <c r="AE44" i="65" s="1"/>
  <c r="AK43" i="65"/>
  <c r="AF43" i="65"/>
  <c r="AG43" i="65" s="1"/>
  <c r="Y43" i="65"/>
  <c r="V43" i="65"/>
  <c r="T43" i="65"/>
  <c r="AM43" i="65" s="1"/>
  <c r="AK42" i="65"/>
  <c r="AF42" i="65"/>
  <c r="AG42" i="65" s="1"/>
  <c r="Y42" i="65"/>
  <c r="V42" i="65"/>
  <c r="T42" i="65"/>
  <c r="AE42" i="65" s="1"/>
  <c r="AK41" i="65"/>
  <c r="AF41" i="65"/>
  <c r="AG41" i="65" s="1"/>
  <c r="Y41" i="65"/>
  <c r="V41" i="65"/>
  <c r="T41" i="65"/>
  <c r="AD41" i="65" s="1"/>
  <c r="AM40" i="65"/>
  <c r="AK40" i="65"/>
  <c r="AF40" i="65"/>
  <c r="AG40" i="65" s="1"/>
  <c r="Y40" i="65"/>
  <c r="V40" i="65"/>
  <c r="T40" i="65"/>
  <c r="AK39" i="65"/>
  <c r="AF39" i="65"/>
  <c r="AG39" i="65" s="1"/>
  <c r="Y39" i="65"/>
  <c r="V39" i="65"/>
  <c r="T39" i="65"/>
  <c r="AE39" i="65" s="1"/>
  <c r="AK38" i="65"/>
  <c r="AF38" i="65"/>
  <c r="AG38" i="65" s="1"/>
  <c r="Y38" i="65"/>
  <c r="V38" i="65"/>
  <c r="T38" i="65"/>
  <c r="AM38" i="65" s="1"/>
  <c r="AK37" i="65"/>
  <c r="AF37" i="65"/>
  <c r="AG37" i="65" s="1"/>
  <c r="Y37" i="65"/>
  <c r="V37" i="65"/>
  <c r="T37" i="65"/>
  <c r="AE37" i="65" s="1"/>
  <c r="AK36" i="65"/>
  <c r="AF36" i="65"/>
  <c r="AG36" i="65" s="1"/>
  <c r="Y36" i="65"/>
  <c r="V36" i="65"/>
  <c r="T36" i="65"/>
  <c r="AD36" i="65" s="1"/>
  <c r="AM35" i="65"/>
  <c r="AK35" i="65"/>
  <c r="AF35" i="65"/>
  <c r="AG35" i="65" s="1"/>
  <c r="Y35" i="65"/>
  <c r="V35" i="65"/>
  <c r="T35" i="65"/>
  <c r="AK34" i="65"/>
  <c r="AF34" i="65"/>
  <c r="AG34" i="65" s="1"/>
  <c r="Y34" i="65"/>
  <c r="V34" i="65"/>
  <c r="T34" i="65"/>
  <c r="AD34" i="65" s="1"/>
  <c r="AM33" i="65"/>
  <c r="AK33" i="65"/>
  <c r="AF33" i="65"/>
  <c r="AG33" i="65" s="1"/>
  <c r="Y33" i="65"/>
  <c r="V33" i="65"/>
  <c r="T33" i="65"/>
  <c r="AK32" i="65"/>
  <c r="AF32" i="65"/>
  <c r="AG32" i="65" s="1"/>
  <c r="Y32" i="65"/>
  <c r="V32" i="65"/>
  <c r="T32" i="65"/>
  <c r="AE32" i="65" s="1"/>
  <c r="AM31" i="65"/>
  <c r="AK31" i="65"/>
  <c r="AF31" i="65"/>
  <c r="AG31" i="65" s="1"/>
  <c r="Y31" i="65"/>
  <c r="V31" i="65"/>
  <c r="T31" i="65"/>
  <c r="AD31" i="65" s="1"/>
  <c r="AM30" i="65"/>
  <c r="AK30" i="65"/>
  <c r="AF30" i="65"/>
  <c r="AG30" i="65" s="1"/>
  <c r="Y30" i="65"/>
  <c r="V30" i="65"/>
  <c r="T30" i="65"/>
  <c r="AM29" i="65"/>
  <c r="AK29" i="65"/>
  <c r="AF29" i="65"/>
  <c r="AG29" i="65" s="1"/>
  <c r="Y29" i="65"/>
  <c r="V29" i="65"/>
  <c r="T29" i="65"/>
  <c r="AD29" i="65" s="1"/>
  <c r="AM28" i="65"/>
  <c r="AK28" i="65"/>
  <c r="AF28" i="65"/>
  <c r="AG28" i="65" s="1"/>
  <c r="Y28" i="65"/>
  <c r="V28" i="65"/>
  <c r="T28" i="65"/>
  <c r="AM27" i="65"/>
  <c r="AK27" i="65"/>
  <c r="AF27" i="65"/>
  <c r="AG27" i="65" s="1"/>
  <c r="Y27" i="65"/>
  <c r="V27" i="65"/>
  <c r="T27" i="65"/>
  <c r="AE27" i="65" s="1"/>
  <c r="AM26" i="65"/>
  <c r="AK26" i="65"/>
  <c r="AF26" i="65"/>
  <c r="AG26" i="65" s="1"/>
  <c r="Y26" i="65"/>
  <c r="V26" i="65"/>
  <c r="T26" i="65"/>
  <c r="AD26" i="65" s="1"/>
  <c r="AK25" i="65"/>
  <c r="AF25" i="65"/>
  <c r="AG25" i="65" s="1"/>
  <c r="Y25" i="65"/>
  <c r="V25" i="65"/>
  <c r="T25" i="65"/>
  <c r="AE25" i="65" s="1"/>
  <c r="AM24" i="65"/>
  <c r="AK24" i="65"/>
  <c r="AF24" i="65"/>
  <c r="AG24" i="65" s="1"/>
  <c r="Y24" i="65"/>
  <c r="V24" i="65"/>
  <c r="T24" i="65"/>
  <c r="AD24" i="65" s="1"/>
  <c r="AK23" i="65"/>
  <c r="AF23" i="65"/>
  <c r="AG23" i="65" s="1"/>
  <c r="Y23" i="65"/>
  <c r="V23" i="65"/>
  <c r="T23" i="65"/>
  <c r="AM23" i="65" s="1"/>
  <c r="AM22" i="65"/>
  <c r="AK22" i="65"/>
  <c r="AF22" i="65"/>
  <c r="AG22" i="65" s="1"/>
  <c r="Y22" i="65"/>
  <c r="V22" i="65"/>
  <c r="T22" i="65"/>
  <c r="AK21" i="65"/>
  <c r="AF21" i="65"/>
  <c r="AG21" i="65" s="1"/>
  <c r="Y21" i="65"/>
  <c r="V21" i="65"/>
  <c r="T21" i="65"/>
  <c r="AD21" i="65" s="1"/>
  <c r="AK20" i="65"/>
  <c r="AF20" i="65"/>
  <c r="AG20" i="65" s="1"/>
  <c r="Y20" i="65"/>
  <c r="V20" i="65"/>
  <c r="T20" i="65"/>
  <c r="AM20" i="65" s="1"/>
  <c r="AK19" i="65"/>
  <c r="AF19" i="65"/>
  <c r="AG19" i="65" s="1"/>
  <c r="Y19" i="65"/>
  <c r="V19" i="65"/>
  <c r="T19" i="65"/>
  <c r="AM19" i="65" s="1"/>
  <c r="AM18" i="65"/>
  <c r="AK18" i="65"/>
  <c r="AF18" i="65"/>
  <c r="AG18" i="65" s="1"/>
  <c r="Y18" i="65"/>
  <c r="V18" i="65"/>
  <c r="T18" i="65"/>
  <c r="AD18" i="65" s="1"/>
  <c r="AK17" i="65"/>
  <c r="AF17" i="65"/>
  <c r="AG17" i="65" s="1"/>
  <c r="Y17" i="65"/>
  <c r="V17" i="65"/>
  <c r="T17" i="65"/>
  <c r="AM17" i="65" s="1"/>
  <c r="AM16" i="65"/>
  <c r="AK16" i="65"/>
  <c r="AF16" i="65"/>
  <c r="AG16" i="65" s="1"/>
  <c r="Y16" i="65"/>
  <c r="V16" i="65"/>
  <c r="T16" i="65"/>
  <c r="AD16" i="65" s="1"/>
  <c r="AM15" i="65"/>
  <c r="AK15" i="65"/>
  <c r="AF15" i="65"/>
  <c r="AG15" i="65" s="1"/>
  <c r="Y15" i="65"/>
  <c r="V15" i="65"/>
  <c r="T15" i="65"/>
  <c r="AE15" i="65" s="1"/>
  <c r="AM14" i="65"/>
  <c r="AK14" i="65"/>
  <c r="AF14" i="65"/>
  <c r="AG14" i="65" s="1"/>
  <c r="Y14" i="65"/>
  <c r="V14" i="65"/>
  <c r="T14" i="65"/>
  <c r="AE14" i="65" s="1"/>
  <c r="AM13" i="65"/>
  <c r="AK13" i="65"/>
  <c r="AF13" i="65"/>
  <c r="AG13" i="65" s="1"/>
  <c r="Y13" i="65"/>
  <c r="V13" i="65"/>
  <c r="T13" i="65"/>
  <c r="AE13" i="65" s="1"/>
  <c r="AM12" i="65"/>
  <c r="AK12" i="65"/>
  <c r="AF12" i="65"/>
  <c r="AG12" i="65" s="1"/>
  <c r="Y12" i="65"/>
  <c r="V12" i="65"/>
  <c r="T12" i="65"/>
  <c r="AH12" i="65" s="1"/>
  <c r="AI12" i="65" s="1"/>
  <c r="A12" i="65"/>
  <c r="J6" i="68" s="1"/>
  <c r="AM11" i="65"/>
  <c r="AK11" i="65"/>
  <c r="AF11" i="65"/>
  <c r="AG11" i="65" s="1"/>
  <c r="Y11" i="65"/>
  <c r="V11" i="65"/>
  <c r="T11" i="65"/>
  <c r="AH11" i="65" s="1"/>
  <c r="AI11" i="65" s="1"/>
  <c r="AM10" i="65"/>
  <c r="AK10" i="65"/>
  <c r="AF10" i="65"/>
  <c r="AG10" i="65" s="1"/>
  <c r="Y10" i="65"/>
  <c r="V10" i="65"/>
  <c r="T10" i="65"/>
  <c r="AE10" i="65" s="1"/>
  <c r="A10" i="65"/>
  <c r="AK9" i="65"/>
  <c r="AF9" i="65"/>
  <c r="AG9" i="65" s="1"/>
  <c r="Y9" i="65"/>
  <c r="V9" i="65"/>
  <c r="T9" i="65"/>
  <c r="AM9" i="65" s="1"/>
  <c r="AM8" i="65"/>
  <c r="AK8" i="65"/>
  <c r="AF8" i="65"/>
  <c r="AG8" i="65" s="1"/>
  <c r="Y8" i="65"/>
  <c r="V8" i="65"/>
  <c r="T8" i="65"/>
  <c r="AH8" i="65" s="1"/>
  <c r="AI8" i="65" s="1"/>
  <c r="AM7" i="65"/>
  <c r="AK7" i="65"/>
  <c r="AF7" i="65"/>
  <c r="AG7" i="65" s="1"/>
  <c r="Y7" i="65"/>
  <c r="V7" i="65"/>
  <c r="T7" i="65"/>
  <c r="AH7" i="65" s="1"/>
  <c r="AI7" i="65" s="1"/>
  <c r="AM6" i="65"/>
  <c r="AK6" i="65"/>
  <c r="AF6" i="65"/>
  <c r="AG6" i="65" s="1"/>
  <c r="Y6" i="65"/>
  <c r="V6" i="65"/>
  <c r="T6" i="65"/>
  <c r="AD6" i="65" s="1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0" i="67" s="1"/>
  <c r="A8" i="21"/>
  <c r="A8" i="77"/>
  <c r="A8" i="73"/>
  <c r="A8" i="47"/>
  <c r="A8" i="41"/>
  <c r="I55" i="68"/>
  <c r="O55" i="68" s="1"/>
  <c r="R55" i="68" s="1"/>
  <c r="A8" i="24"/>
  <c r="A8" i="59"/>
  <c r="A8" i="57"/>
  <c r="A8" i="29"/>
  <c r="A8" i="58"/>
  <c r="A8" i="78"/>
  <c r="A8" i="69"/>
  <c r="A8" i="76"/>
  <c r="I30" i="68" s="1"/>
  <c r="T66" i="67"/>
  <c r="S66" i="67"/>
  <c r="P66" i="67"/>
  <c r="M66" i="67"/>
  <c r="L66" i="67"/>
  <c r="K66" i="67"/>
  <c r="J66" i="67"/>
  <c r="I64" i="67"/>
  <c r="M62" i="67"/>
  <c r="T61" i="67"/>
  <c r="S61" i="67"/>
  <c r="P61" i="67"/>
  <c r="M61" i="67"/>
  <c r="L61" i="67"/>
  <c r="K61" i="67"/>
  <c r="J61" i="67"/>
  <c r="H61" i="67"/>
  <c r="T60" i="67"/>
  <c r="S60" i="67"/>
  <c r="P60" i="67"/>
  <c r="M60" i="67"/>
  <c r="L60" i="67"/>
  <c r="K60" i="67"/>
  <c r="J60" i="67"/>
  <c r="H60" i="67"/>
  <c r="T55" i="67"/>
  <c r="S55" i="67"/>
  <c r="P55" i="67"/>
  <c r="M55" i="67"/>
  <c r="L55" i="67"/>
  <c r="K55" i="67"/>
  <c r="J55" i="67"/>
  <c r="H55" i="67"/>
  <c r="I48" i="67"/>
  <c r="I43" i="67"/>
  <c r="N43" i="67" s="1"/>
  <c r="P41" i="67"/>
  <c r="M41" i="67"/>
  <c r="L41" i="67"/>
  <c r="K41" i="67"/>
  <c r="J41" i="67"/>
  <c r="H41" i="67"/>
  <c r="S40" i="67"/>
  <c r="P40" i="67"/>
  <c r="H40" i="67"/>
  <c r="S39" i="67"/>
  <c r="S41" i="67" s="1"/>
  <c r="P39" i="67"/>
  <c r="I39" i="67"/>
  <c r="O39" i="67" s="1"/>
  <c r="R39" i="67" s="1"/>
  <c r="H39" i="67"/>
  <c r="M38" i="67"/>
  <c r="L38" i="67"/>
  <c r="K38" i="67"/>
  <c r="J38" i="67"/>
  <c r="T37" i="67"/>
  <c r="S37" i="67"/>
  <c r="P37" i="67"/>
  <c r="L37" i="67"/>
  <c r="K37" i="67"/>
  <c r="J37" i="67"/>
  <c r="H37" i="67"/>
  <c r="F37" i="67"/>
  <c r="T36" i="67"/>
  <c r="S36" i="67"/>
  <c r="S38" i="67" s="1"/>
  <c r="P36" i="67"/>
  <c r="P38" i="67" s="1"/>
  <c r="L36" i="67"/>
  <c r="K36" i="67"/>
  <c r="J36" i="67"/>
  <c r="H36" i="67"/>
  <c r="P34" i="67"/>
  <c r="L34" i="67"/>
  <c r="J34" i="67"/>
  <c r="P33" i="67"/>
  <c r="L33" i="67"/>
  <c r="J33" i="67"/>
  <c r="H33" i="67"/>
  <c r="P32" i="67"/>
  <c r="L32" i="67"/>
  <c r="J32" i="67"/>
  <c r="H32" i="67"/>
  <c r="P31" i="67"/>
  <c r="L31" i="67"/>
  <c r="H31" i="67"/>
  <c r="K30" i="2" s="1"/>
  <c r="P29" i="67"/>
  <c r="L29" i="67"/>
  <c r="H29" i="67"/>
  <c r="P28" i="67"/>
  <c r="L28" i="67"/>
  <c r="J28" i="67"/>
  <c r="H28" i="67"/>
  <c r="P27" i="67"/>
  <c r="L27" i="67"/>
  <c r="P26" i="67"/>
  <c r="L26" i="67"/>
  <c r="J26" i="67"/>
  <c r="H26" i="67"/>
  <c r="P25" i="67"/>
  <c r="L25" i="67"/>
  <c r="J25" i="67"/>
  <c r="H25" i="67"/>
  <c r="P24" i="67"/>
  <c r="L24" i="67"/>
  <c r="J24" i="67"/>
  <c r="H24" i="67"/>
  <c r="M23" i="67"/>
  <c r="M22" i="67"/>
  <c r="S20" i="67"/>
  <c r="P20" i="67"/>
  <c r="L20" i="67"/>
  <c r="J20" i="67"/>
  <c r="H20" i="67"/>
  <c r="K20" i="2" s="1"/>
  <c r="P19" i="67"/>
  <c r="L19" i="67"/>
  <c r="J19" i="67"/>
  <c r="S18" i="67"/>
  <c r="P18" i="67"/>
  <c r="L18" i="67"/>
  <c r="J18" i="67"/>
  <c r="H18" i="67"/>
  <c r="P17" i="67"/>
  <c r="L17" i="67"/>
  <c r="J17" i="67"/>
  <c r="H17" i="67"/>
  <c r="K17" i="2" s="1"/>
  <c r="S16" i="67"/>
  <c r="P16" i="67"/>
  <c r="L16" i="67"/>
  <c r="K16" i="67"/>
  <c r="J16" i="67"/>
  <c r="H16" i="67"/>
  <c r="F16" i="67"/>
  <c r="P15" i="67"/>
  <c r="L15" i="67"/>
  <c r="J15" i="67"/>
  <c r="H15" i="67"/>
  <c r="P14" i="67"/>
  <c r="L14" i="67"/>
  <c r="J14" i="67"/>
  <c r="H14" i="67"/>
  <c r="P13" i="67"/>
  <c r="L13" i="67"/>
  <c r="J13" i="67"/>
  <c r="H13" i="67"/>
  <c r="P12" i="67"/>
  <c r="L12" i="67"/>
  <c r="J12" i="67"/>
  <c r="H12" i="67"/>
  <c r="Q11" i="67"/>
  <c r="P11" i="67"/>
  <c r="N11" i="67"/>
  <c r="L11" i="67"/>
  <c r="J11" i="67"/>
  <c r="I11" i="67"/>
  <c r="R10" i="67"/>
  <c r="V10" i="67" s="1"/>
  <c r="Q10" i="67"/>
  <c r="U10" i="67" s="1"/>
  <c r="P9" i="67"/>
  <c r="L9" i="67"/>
  <c r="J9" i="67"/>
  <c r="P8" i="67"/>
  <c r="L8" i="67"/>
  <c r="J8" i="67"/>
  <c r="M7" i="67"/>
  <c r="P6" i="67"/>
  <c r="L6" i="67"/>
  <c r="C2" i="67"/>
  <c r="T77" i="68"/>
  <c r="S77" i="68"/>
  <c r="P77" i="68"/>
  <c r="M77" i="68"/>
  <c r="L77" i="68"/>
  <c r="K77" i="68"/>
  <c r="T71" i="68"/>
  <c r="S71" i="68"/>
  <c r="P71" i="68"/>
  <c r="M71" i="68"/>
  <c r="L71" i="68"/>
  <c r="K71" i="68"/>
  <c r="J71" i="68"/>
  <c r="H71" i="68"/>
  <c r="T65" i="68"/>
  <c r="S65" i="68"/>
  <c r="P65" i="68"/>
  <c r="M65" i="68"/>
  <c r="L65" i="68"/>
  <c r="K65" i="68"/>
  <c r="J65" i="68"/>
  <c r="H65" i="68"/>
  <c r="C52" i="2" s="1"/>
  <c r="M51" i="68"/>
  <c r="S50" i="68"/>
  <c r="U50" i="68" s="1"/>
  <c r="J50" i="68"/>
  <c r="H50" i="68"/>
  <c r="C49" i="2" s="1"/>
  <c r="F50" i="68"/>
  <c r="P49" i="68"/>
  <c r="L49" i="68"/>
  <c r="J49" i="68"/>
  <c r="H49" i="68"/>
  <c r="C50" i="2" s="1"/>
  <c r="S48" i="68"/>
  <c r="P48" i="68"/>
  <c r="E48" i="2" s="1"/>
  <c r="L48" i="68"/>
  <c r="J48" i="68"/>
  <c r="H48" i="68"/>
  <c r="C48" i="2" s="1"/>
  <c r="M47" i="68"/>
  <c r="P46" i="68"/>
  <c r="L46" i="68"/>
  <c r="J46" i="68"/>
  <c r="P45" i="68"/>
  <c r="L45" i="68"/>
  <c r="J45" i="68"/>
  <c r="H45" i="68"/>
  <c r="C45" i="2" s="1"/>
  <c r="M44" i="68"/>
  <c r="P43" i="68"/>
  <c r="L43" i="68"/>
  <c r="J43" i="68"/>
  <c r="H43" i="68"/>
  <c r="C43" i="2" s="1"/>
  <c r="P42" i="68"/>
  <c r="L42" i="68"/>
  <c r="J42" i="68"/>
  <c r="H42" i="68"/>
  <c r="C42" i="2" s="1"/>
  <c r="P41" i="68"/>
  <c r="L41" i="68"/>
  <c r="J41" i="68"/>
  <c r="H41" i="68"/>
  <c r="C41" i="2" s="1"/>
  <c r="P40" i="68"/>
  <c r="L40" i="68"/>
  <c r="J40" i="68"/>
  <c r="P39" i="68"/>
  <c r="L39" i="68"/>
  <c r="P38" i="68"/>
  <c r="L38" i="68"/>
  <c r="H38" i="68"/>
  <c r="C38" i="2" s="1"/>
  <c r="M37" i="68"/>
  <c r="P36" i="68"/>
  <c r="L36" i="68"/>
  <c r="J36" i="68"/>
  <c r="H36" i="68"/>
  <c r="C37" i="2" s="1"/>
  <c r="P35" i="68"/>
  <c r="L35" i="68"/>
  <c r="J35" i="68"/>
  <c r="H35" i="68"/>
  <c r="C36" i="2" s="1"/>
  <c r="P34" i="68"/>
  <c r="L34" i="68"/>
  <c r="J34" i="68"/>
  <c r="P33" i="68"/>
  <c r="L33" i="68"/>
  <c r="J33" i="68"/>
  <c r="H33" i="68"/>
  <c r="C34" i="2" s="1"/>
  <c r="P32" i="68"/>
  <c r="L32" i="68"/>
  <c r="J32" i="68"/>
  <c r="H32" i="68"/>
  <c r="C33" i="2" s="1"/>
  <c r="P27" i="68"/>
  <c r="L27" i="68"/>
  <c r="P26" i="68"/>
  <c r="L26" i="68"/>
  <c r="J26" i="68"/>
  <c r="H26" i="68"/>
  <c r="P25" i="68"/>
  <c r="L25" i="68"/>
  <c r="J25" i="68"/>
  <c r="H25" i="68"/>
  <c r="M22" i="68"/>
  <c r="M23" i="68" s="1"/>
  <c r="P21" i="68"/>
  <c r="L21" i="68"/>
  <c r="H21" i="68"/>
  <c r="C22" i="2" s="1"/>
  <c r="P20" i="68"/>
  <c r="L20" i="68"/>
  <c r="J20" i="68"/>
  <c r="H20" i="68"/>
  <c r="P19" i="68"/>
  <c r="L19" i="68"/>
  <c r="J19" i="68"/>
  <c r="H19" i="68"/>
  <c r="C20" i="2" s="1"/>
  <c r="P18" i="68"/>
  <c r="L18" i="68"/>
  <c r="J18" i="68"/>
  <c r="H18" i="68"/>
  <c r="C19" i="2" s="1"/>
  <c r="S16" i="68"/>
  <c r="P16" i="68"/>
  <c r="L16" i="68"/>
  <c r="K16" i="68"/>
  <c r="J16" i="68"/>
  <c r="H16" i="68"/>
  <c r="C17" i="2" s="1"/>
  <c r="F16" i="68"/>
  <c r="S15" i="68"/>
  <c r="P15" i="68"/>
  <c r="L15" i="68"/>
  <c r="J15" i="68"/>
  <c r="P14" i="68"/>
  <c r="L14" i="68"/>
  <c r="J14" i="68"/>
  <c r="H14" i="68"/>
  <c r="C15" i="2" s="1"/>
  <c r="P13" i="68"/>
  <c r="L13" i="68"/>
  <c r="H13" i="68"/>
  <c r="C14" i="2" s="1"/>
  <c r="P12" i="68"/>
  <c r="L12" i="68"/>
  <c r="J12" i="68"/>
  <c r="H12" i="68"/>
  <c r="C13" i="2" s="1"/>
  <c r="P11" i="68"/>
  <c r="L11" i="68"/>
  <c r="J11" i="68"/>
  <c r="H11" i="68"/>
  <c r="P10" i="68"/>
  <c r="L10" i="68"/>
  <c r="H10" i="68"/>
  <c r="P9" i="68"/>
  <c r="L9" i="68"/>
  <c r="J9" i="68"/>
  <c r="P8" i="68"/>
  <c r="L8" i="68"/>
  <c r="P6" i="68"/>
  <c r="L6" i="68"/>
  <c r="C2" i="68"/>
  <c r="C57" i="2"/>
  <c r="C53" i="2"/>
  <c r="B50" i="2"/>
  <c r="K44" i="2"/>
  <c r="B48" i="2"/>
  <c r="M42" i="2"/>
  <c r="K42" i="2"/>
  <c r="M41" i="2"/>
  <c r="K41" i="2"/>
  <c r="B45" i="2"/>
  <c r="K39" i="2"/>
  <c r="O38" i="2"/>
  <c r="O40" i="2" s="1"/>
  <c r="N38" i="2"/>
  <c r="N40" i="2" s="1"/>
  <c r="M38" i="2"/>
  <c r="M40" i="2" s="1"/>
  <c r="K38" i="2"/>
  <c r="K40" i="2" s="1"/>
  <c r="K36" i="2"/>
  <c r="K35" i="2"/>
  <c r="J33" i="2"/>
  <c r="K32" i="2"/>
  <c r="J32" i="2"/>
  <c r="K31" i="2"/>
  <c r="J31" i="2"/>
  <c r="J30" i="2"/>
  <c r="K29" i="2"/>
  <c r="K28" i="2"/>
  <c r="J27" i="2"/>
  <c r="C21" i="2"/>
  <c r="K18" i="2"/>
  <c r="K16" i="2"/>
  <c r="K15" i="2"/>
  <c r="K14" i="2"/>
  <c r="K13" i="2"/>
  <c r="K12" i="2"/>
  <c r="L11" i="2"/>
  <c r="C11" i="2"/>
  <c r="W7" i="37" l="1"/>
  <c r="AN28" i="15"/>
  <c r="AH6" i="16"/>
  <c r="AI6" i="16" s="1"/>
  <c r="K37" i="2"/>
  <c r="L7" i="68"/>
  <c r="P7" i="68"/>
  <c r="J24" i="68"/>
  <c r="L24" i="68"/>
  <c r="P24" i="68"/>
  <c r="J7" i="68"/>
  <c r="AN261" i="15"/>
  <c r="AN282" i="15"/>
  <c r="AN330" i="15"/>
  <c r="AN356" i="15"/>
  <c r="AN72" i="22"/>
  <c r="AN106" i="32"/>
  <c r="T16" i="67"/>
  <c r="M16" i="2" s="1"/>
  <c r="AN12" i="60"/>
  <c r="T39" i="67"/>
  <c r="M35" i="2" s="1"/>
  <c r="AN15" i="63"/>
  <c r="AN17" i="63"/>
  <c r="AN34" i="5"/>
  <c r="AN216" i="15"/>
  <c r="AN273" i="15"/>
  <c r="AN287" i="15"/>
  <c r="AN339" i="15"/>
  <c r="AN365" i="15"/>
  <c r="AN437" i="15"/>
  <c r="AN53" i="69"/>
  <c r="AN59" i="69"/>
  <c r="AN66" i="69"/>
  <c r="AN28" i="24"/>
  <c r="AN111" i="32"/>
  <c r="AN123" i="32"/>
  <c r="AN14" i="33"/>
  <c r="AN16" i="75"/>
  <c r="AN41" i="12"/>
  <c r="AN21" i="16"/>
  <c r="AN12" i="18"/>
  <c r="AN13" i="35"/>
  <c r="AN38" i="31"/>
  <c r="AN43" i="53"/>
  <c r="AN404" i="15"/>
  <c r="AN18" i="49"/>
  <c r="AN15" i="54"/>
  <c r="AN13" i="45"/>
  <c r="AN28" i="5"/>
  <c r="AN46" i="12"/>
  <c r="AN326" i="15"/>
  <c r="AN372" i="15"/>
  <c r="AN398" i="15"/>
  <c r="AN21" i="18"/>
  <c r="AN18" i="19"/>
  <c r="AN21" i="25"/>
  <c r="AN108" i="32"/>
  <c r="AN131" i="32"/>
  <c r="AN13" i="38"/>
  <c r="AN71" i="46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45" i="31"/>
  <c r="AN144" i="32"/>
  <c r="AN152" i="32"/>
  <c r="AN159" i="32"/>
  <c r="AN165" i="32"/>
  <c r="AN21" i="41"/>
  <c r="AN22" i="41"/>
  <c r="AN19" i="44"/>
  <c r="AN29" i="47"/>
  <c r="AN36" i="47"/>
  <c r="AN42" i="47"/>
  <c r="AN49" i="47"/>
  <c r="AN24" i="75"/>
  <c r="AN40" i="75"/>
  <c r="AN23" i="51"/>
  <c r="AN52" i="53"/>
  <c r="AN23" i="56"/>
  <c r="A8" i="71"/>
  <c r="X5" i="71" s="1"/>
  <c r="A8" i="79"/>
  <c r="A20" i="78"/>
  <c r="O28" i="68" s="1"/>
  <c r="R28" i="68" s="1"/>
  <c r="V28" i="68" s="1"/>
  <c r="X10" i="78"/>
  <c r="A18" i="78"/>
  <c r="N28" i="68" s="1"/>
  <c r="Q28" i="68" s="1"/>
  <c r="U28" i="68" s="1"/>
  <c r="I28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20" i="30"/>
  <c r="AN112" i="32"/>
  <c r="AN130" i="32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0" i="67"/>
  <c r="M36" i="2" s="1"/>
  <c r="AN411" i="15"/>
  <c r="AN44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110" i="32"/>
  <c r="AN33" i="47"/>
  <c r="AN32" i="75"/>
  <c r="AN42" i="12"/>
  <c r="AN374" i="15"/>
  <c r="AN384" i="15"/>
  <c r="AN20" i="72"/>
  <c r="AN47" i="31"/>
  <c r="AN44" i="47"/>
  <c r="AN228" i="15"/>
  <c r="AN239" i="15"/>
  <c r="AN168" i="32"/>
  <c r="AN12" i="56"/>
  <c r="AN46" i="5"/>
  <c r="AN368" i="15"/>
  <c r="AN389" i="15"/>
  <c r="AN452" i="15"/>
  <c r="AN13" i="34"/>
  <c r="AN52" i="31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25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102" i="32"/>
  <c r="AN6" i="34"/>
  <c r="AN14" i="38"/>
  <c r="AN22" i="38"/>
  <c r="AN17" i="47"/>
  <c r="AN60" i="47"/>
  <c r="AN18" i="50"/>
  <c r="AN16" i="54"/>
  <c r="T38" i="67"/>
  <c r="AN9" i="16"/>
  <c r="AN17" i="24"/>
  <c r="AN20" i="34"/>
  <c r="AN18" i="59"/>
  <c r="AN233" i="15"/>
  <c r="AN342" i="15"/>
  <c r="AN399" i="15"/>
  <c r="AN57" i="31"/>
  <c r="AN17" i="62"/>
  <c r="AN18" i="62"/>
  <c r="AN20" i="62"/>
  <c r="AN21" i="62"/>
  <c r="AN378" i="15"/>
  <c r="AN100" i="32"/>
  <c r="AN11" i="37"/>
  <c r="AN18" i="38"/>
  <c r="AN50" i="53"/>
  <c r="AN336" i="15"/>
  <c r="AN43" i="69"/>
  <c r="AN22" i="24"/>
  <c r="AN7" i="42"/>
  <c r="AN8" i="42"/>
  <c r="AN197" i="15"/>
  <c r="AN10" i="74"/>
  <c r="AN9" i="72"/>
  <c r="AN10" i="33"/>
  <c r="AN18" i="34"/>
  <c r="AN10" i="41"/>
  <c r="AN48" i="47"/>
  <c r="AN15" i="18"/>
  <c r="AN69" i="22"/>
  <c r="AN56" i="31"/>
  <c r="AN17" i="34"/>
  <c r="AN21" i="75"/>
  <c r="AN217" i="15"/>
  <c r="AN366" i="15"/>
  <c r="AN17" i="16"/>
  <c r="AN37" i="31"/>
  <c r="AN114" i="32"/>
  <c r="AN14" i="36"/>
  <c r="AN14" i="41"/>
  <c r="AN21" i="47"/>
  <c r="AN9" i="52"/>
  <c r="AN42" i="53"/>
  <c r="AN51" i="53"/>
  <c r="AN19" i="58"/>
  <c r="AN31" i="12"/>
  <c r="AN223" i="15"/>
  <c r="AN224" i="15"/>
  <c r="AN267" i="15"/>
  <c r="AN281" i="15"/>
  <c r="AN294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59" i="31"/>
  <c r="AN103" i="32"/>
  <c r="AN138" i="32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39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2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W8" i="59"/>
  <c r="W19" i="59"/>
  <c r="U17" i="59"/>
  <c r="W7" i="59"/>
  <c r="U16" i="59"/>
  <c r="W23" i="59"/>
  <c r="W13" i="59"/>
  <c r="U20" i="59"/>
  <c r="W22" i="59"/>
  <c r="AH6" i="59"/>
  <c r="AI6" i="59" s="1"/>
  <c r="AE9" i="59"/>
  <c r="AL10" i="59"/>
  <c r="U12" i="59"/>
  <c r="W20" i="59"/>
  <c r="A14" i="59"/>
  <c r="K33" i="67" s="1"/>
  <c r="AM10" i="59"/>
  <c r="AE12" i="59"/>
  <c r="AN12" i="59" s="1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J30" i="67"/>
  <c r="AH9" i="58"/>
  <c r="AI9" i="58" s="1"/>
  <c r="W13" i="58"/>
  <c r="U22" i="58"/>
  <c r="A14" i="58"/>
  <c r="K32" i="67" s="1"/>
  <c r="AM9" i="58"/>
  <c r="AM6" i="58"/>
  <c r="S32" i="67" s="1"/>
  <c r="U16" i="58"/>
  <c r="AD5" i="57"/>
  <c r="AN5" i="57" s="1"/>
  <c r="AM8" i="57"/>
  <c r="AD12" i="57"/>
  <c r="AM15" i="57"/>
  <c r="AM25" i="57"/>
  <c r="AH45" i="57"/>
  <c r="AI45" i="57" s="1"/>
  <c r="AE12" i="57"/>
  <c r="AN12" i="57" s="1"/>
  <c r="AM23" i="57"/>
  <c r="AH36" i="57"/>
  <c r="AI36" i="57" s="1"/>
  <c r="AD38" i="57"/>
  <c r="AN38" i="57" s="1"/>
  <c r="AD44" i="57"/>
  <c r="AN44" i="57" s="1"/>
  <c r="AH7" i="57"/>
  <c r="AI7" i="57" s="1"/>
  <c r="AL7" i="57" s="1"/>
  <c r="AH12" i="57"/>
  <c r="AI12" i="57" s="1"/>
  <c r="AM36" i="57"/>
  <c r="AM47" i="57"/>
  <c r="AH44" i="57"/>
  <c r="AI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N15" i="57" s="1"/>
  <c r="AD39" i="57"/>
  <c r="AE39" i="57"/>
  <c r="AN39" i="57" s="1"/>
  <c r="AJ8" i="57"/>
  <c r="AJ12" i="57"/>
  <c r="AD43" i="57"/>
  <c r="AH6" i="57"/>
  <c r="AI6" i="57" s="1"/>
  <c r="AL6" i="57" s="1"/>
  <c r="AE11" i="57"/>
  <c r="AD8" i="57"/>
  <c r="AN8" i="57" s="1"/>
  <c r="W24" i="57"/>
  <c r="AH46" i="57"/>
  <c r="AI46" i="57" s="1"/>
  <c r="AE40" i="57"/>
  <c r="AN40" i="57" s="1"/>
  <c r="AJ47" i="57"/>
  <c r="AL43" i="57"/>
  <c r="A14" i="57"/>
  <c r="K31" i="67" s="1"/>
  <c r="AL27" i="57"/>
  <c r="W33" i="57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W48" i="57"/>
  <c r="X48" i="57" s="1"/>
  <c r="AM9" i="57"/>
  <c r="W21" i="57"/>
  <c r="AD37" i="57"/>
  <c r="AD42" i="57"/>
  <c r="AN42" i="57" s="1"/>
  <c r="U7" i="57"/>
  <c r="AM24" i="57"/>
  <c r="AM26" i="57"/>
  <c r="W36" i="57"/>
  <c r="X36" i="57" s="1"/>
  <c r="AE37" i="57"/>
  <c r="AD41" i="57"/>
  <c r="AN41" i="57" s="1"/>
  <c r="AE42" i="57"/>
  <c r="AD47" i="57"/>
  <c r="AD48" i="57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AM34" i="57"/>
  <c r="W45" i="57"/>
  <c r="X45" i="57" s="1"/>
  <c r="AD11" i="57"/>
  <c r="AN11" i="57" s="1"/>
  <c r="W39" i="57"/>
  <c r="U5" i="56"/>
  <c r="U6" i="56"/>
  <c r="W10" i="56"/>
  <c r="U11" i="56"/>
  <c r="W7" i="56"/>
  <c r="W8" i="56"/>
  <c r="U12" i="56"/>
  <c r="W5" i="56"/>
  <c r="W6" i="56"/>
  <c r="W11" i="56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W20" i="56"/>
  <c r="U21" i="56"/>
  <c r="U22" i="56"/>
  <c r="W18" i="56"/>
  <c r="W19" i="56"/>
  <c r="W23" i="56"/>
  <c r="U24" i="56"/>
  <c r="W21" i="56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8" i="67" s="1"/>
  <c r="AL9" i="54"/>
  <c r="AM6" i="54"/>
  <c r="U8" i="54"/>
  <c r="AD11" i="54"/>
  <c r="AN11" i="54" s="1"/>
  <c r="U17" i="54"/>
  <c r="AM5" i="54"/>
  <c r="S27" i="67" s="1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7" i="67"/>
  <c r="K27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T26" i="67" s="1"/>
  <c r="AD6" i="73"/>
  <c r="W20" i="73"/>
  <c r="W21" i="73"/>
  <c r="U22" i="73"/>
  <c r="W23" i="73"/>
  <c r="W24" i="73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K23" i="2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4" i="67" s="1"/>
  <c r="W8" i="53"/>
  <c r="AM9" i="53"/>
  <c r="AE13" i="53"/>
  <c r="AM19" i="53"/>
  <c r="AM21" i="53"/>
  <c r="W34" i="53"/>
  <c r="AM6" i="53"/>
  <c r="W40" i="53"/>
  <c r="W46" i="53"/>
  <c r="AE9" i="51"/>
  <c r="AN9" i="51" s="1"/>
  <c r="AD12" i="51"/>
  <c r="AM9" i="51"/>
  <c r="AE12" i="51"/>
  <c r="AD6" i="51"/>
  <c r="AN6" i="51" s="1"/>
  <c r="AD8" i="51"/>
  <c r="AE11" i="51"/>
  <c r="AH12" i="51"/>
  <c r="AI12" i="51" s="1"/>
  <c r="AJ12" i="51" s="1"/>
  <c r="AL14" i="51"/>
  <c r="A14" i="51"/>
  <c r="K19" i="67" s="1"/>
  <c r="K21" i="67" s="1"/>
  <c r="K22" i="67" s="1"/>
  <c r="AM8" i="51"/>
  <c r="AH14" i="51"/>
  <c r="AI14" i="51" s="1"/>
  <c r="AM14" i="51"/>
  <c r="AH5" i="51"/>
  <c r="AI5" i="51" s="1"/>
  <c r="U7" i="51"/>
  <c r="W18" i="51"/>
  <c r="U12" i="51"/>
  <c r="W13" i="52"/>
  <c r="U7" i="52"/>
  <c r="U19" i="52"/>
  <c r="W7" i="52"/>
  <c r="U10" i="52"/>
  <c r="U16" i="52"/>
  <c r="U13" i="52"/>
  <c r="U6" i="51"/>
  <c r="W7" i="51"/>
  <c r="U11" i="51"/>
  <c r="U10" i="51"/>
  <c r="W6" i="51"/>
  <c r="U9" i="51"/>
  <c r="W10" i="51"/>
  <c r="W21" i="51"/>
  <c r="W5" i="51"/>
  <c r="W9" i="51"/>
  <c r="X9" i="51" s="1"/>
  <c r="U8" i="51"/>
  <c r="AL5" i="51"/>
  <c r="W8" i="51"/>
  <c r="H19" i="67"/>
  <c r="K19" i="2" s="1"/>
  <c r="U13" i="51"/>
  <c r="W24" i="51"/>
  <c r="W18" i="50"/>
  <c r="W19" i="50"/>
  <c r="W20" i="50"/>
  <c r="U21" i="50"/>
  <c r="U22" i="50"/>
  <c r="U23" i="50"/>
  <c r="W21" i="50"/>
  <c r="W22" i="50"/>
  <c r="W23" i="50"/>
  <c r="U24" i="50"/>
  <c r="X22" i="50"/>
  <c r="AA22" i="50" s="1"/>
  <c r="AC22" i="50" s="1"/>
  <c r="W24" i="50"/>
  <c r="U9" i="50"/>
  <c r="U7" i="50"/>
  <c r="A16" i="50" s="1"/>
  <c r="F18" i="67" s="1"/>
  <c r="U8" i="50"/>
  <c r="U10" i="50"/>
  <c r="U11" i="50"/>
  <c r="U12" i="50"/>
  <c r="U13" i="50"/>
  <c r="W9" i="50"/>
  <c r="AM5" i="49"/>
  <c r="S17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U62" i="47"/>
  <c r="U29" i="47"/>
  <c r="W39" i="47"/>
  <c r="X39" i="47" s="1"/>
  <c r="W48" i="47"/>
  <c r="U5" i="47"/>
  <c r="U6" i="47"/>
  <c r="U20" i="47"/>
  <c r="W30" i="47"/>
  <c r="X30" i="47" s="1"/>
  <c r="U9" i="47"/>
  <c r="W21" i="47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U65" i="47"/>
  <c r="W66" i="47"/>
  <c r="W27" i="47"/>
  <c r="U53" i="47"/>
  <c r="AE49" i="46"/>
  <c r="AE58" i="46"/>
  <c r="AD62" i="46"/>
  <c r="AH63" i="46"/>
  <c r="AI63" i="46" s="1"/>
  <c r="AE67" i="46"/>
  <c r="U14" i="46"/>
  <c r="U5" i="46"/>
  <c r="AM7" i="46"/>
  <c r="AL31" i="46"/>
  <c r="AM50" i="46"/>
  <c r="AN50" i="46" s="1"/>
  <c r="AD53" i="46"/>
  <c r="AN53" i="46" s="1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N42" i="46" s="1"/>
  <c r="AD48" i="46"/>
  <c r="AN48" i="46" s="1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N66" i="46" s="1"/>
  <c r="AD70" i="46"/>
  <c r="AD5" i="46"/>
  <c r="AN5" i="46" s="1"/>
  <c r="U11" i="46"/>
  <c r="AD12" i="46"/>
  <c r="AE13" i="46"/>
  <c r="AN13" i="46" s="1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N65" i="46"/>
  <c r="AH66" i="46"/>
  <c r="AI66" i="46" s="1"/>
  <c r="AN69" i="46"/>
  <c r="W11" i="46"/>
  <c r="AL16" i="46"/>
  <c r="AM21" i="46"/>
  <c r="AE30" i="46"/>
  <c r="AM33" i="46"/>
  <c r="AE39" i="46"/>
  <c r="AN39" i="46" s="1"/>
  <c r="AM5" i="46"/>
  <c r="AM23" i="46"/>
  <c r="AN46" i="46"/>
  <c r="AH52" i="46"/>
  <c r="AI52" i="46" s="1"/>
  <c r="AN24" i="46"/>
  <c r="A14" i="46"/>
  <c r="K14" i="67" s="1"/>
  <c r="AH8" i="46"/>
  <c r="AI8" i="46" s="1"/>
  <c r="AE27" i="46"/>
  <c r="AN45" i="46"/>
  <c r="AN59" i="46"/>
  <c r="AN63" i="46"/>
  <c r="A14" i="45"/>
  <c r="K13" i="67" s="1"/>
  <c r="AD5" i="45"/>
  <c r="AL6" i="45"/>
  <c r="AM5" i="45"/>
  <c r="S13" i="67" s="1"/>
  <c r="W10" i="45"/>
  <c r="U6" i="45"/>
  <c r="W15" i="44"/>
  <c r="U5" i="44"/>
  <c r="AH10" i="44"/>
  <c r="AI10" i="44" s="1"/>
  <c r="AJ10" i="44" s="1"/>
  <c r="AE9" i="44"/>
  <c r="AM10" i="44"/>
  <c r="AD14" i="44"/>
  <c r="AN14" i="44" s="1"/>
  <c r="A14" i="44"/>
  <c r="K12" i="67" s="1"/>
  <c r="AD6" i="44"/>
  <c r="AN6" i="44" s="1"/>
  <c r="AE14" i="44"/>
  <c r="AD5" i="44"/>
  <c r="AN5" i="44" s="1"/>
  <c r="AM12" i="44"/>
  <c r="AL5" i="44"/>
  <c r="AH14" i="44"/>
  <c r="AI14" i="44" s="1"/>
  <c r="AM6" i="44"/>
  <c r="U10" i="44"/>
  <c r="AH11" i="44"/>
  <c r="AI11" i="44" s="1"/>
  <c r="AM8" i="44"/>
  <c r="AD7" i="43"/>
  <c r="AN7" i="43" s="1"/>
  <c r="AM5" i="43"/>
  <c r="AM7" i="43"/>
  <c r="AM9" i="43"/>
  <c r="AM9" i="40"/>
  <c r="AM13" i="40"/>
  <c r="AD12" i="40"/>
  <c r="AN12" i="40" s="1"/>
  <c r="AE12" i="40"/>
  <c r="AH12" i="40"/>
  <c r="AI12" i="40" s="1"/>
  <c r="AL12" i="40"/>
  <c r="AE17" i="40"/>
  <c r="AE13" i="40"/>
  <c r="AD18" i="40"/>
  <c r="AN18" i="40" s="1"/>
  <c r="AH13" i="40"/>
  <c r="AI13" i="40" s="1"/>
  <c r="AD15" i="40"/>
  <c r="AH18" i="40"/>
  <c r="AI18" i="40" s="1"/>
  <c r="AE15" i="40"/>
  <c r="AN15" i="40" s="1"/>
  <c r="AD6" i="43"/>
  <c r="AN6" i="43" s="1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AD11" i="43"/>
  <c r="AN11" i="43" s="1"/>
  <c r="AD9" i="43"/>
  <c r="AN9" i="43" s="1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M8" i="40"/>
  <c r="S9" i="67" s="1"/>
  <c r="AE10" i="40"/>
  <c r="AH15" i="40"/>
  <c r="AI15" i="40" s="1"/>
  <c r="AL15" i="40" s="1"/>
  <c r="AD19" i="40"/>
  <c r="AE19" i="40"/>
  <c r="AM10" i="40"/>
  <c r="W5" i="40"/>
  <c r="U11" i="40"/>
  <c r="AN17" i="40"/>
  <c r="A14" i="39"/>
  <c r="K8" i="67" s="1"/>
  <c r="AM6" i="39"/>
  <c r="AD8" i="39"/>
  <c r="AE11" i="39"/>
  <c r="AH12" i="39"/>
  <c r="AI12" i="39" s="1"/>
  <c r="AM13" i="39"/>
  <c r="AD10" i="39"/>
  <c r="AH11" i="39"/>
  <c r="AI11" i="39" s="1"/>
  <c r="AD16" i="39"/>
  <c r="AN16" i="39" s="1"/>
  <c r="AM8" i="39"/>
  <c r="AE10" i="39"/>
  <c r="AM12" i="39"/>
  <c r="AE16" i="39"/>
  <c r="J7" i="67"/>
  <c r="AH10" i="39"/>
  <c r="AI10" i="39" s="1"/>
  <c r="AH16" i="39"/>
  <c r="AI16" i="39" s="1"/>
  <c r="AD13" i="39"/>
  <c r="AL14" i="39"/>
  <c r="AN11" i="39"/>
  <c r="AH13" i="66"/>
  <c r="AI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D5" i="66"/>
  <c r="AN5" i="66" s="1"/>
  <c r="AE10" i="66"/>
  <c r="AH115" i="66"/>
  <c r="AI115" i="66" s="1"/>
  <c r="AJ115" i="66" s="1"/>
  <c r="AH86" i="66"/>
  <c r="AI86" i="66" s="1"/>
  <c r="AH33" i="66"/>
  <c r="AI33" i="66" s="1"/>
  <c r="AD37" i="66"/>
  <c r="AM62" i="66"/>
  <c r="AM64" i="66"/>
  <c r="AD106" i="66"/>
  <c r="AN106" i="66" s="1"/>
  <c r="AH127" i="66"/>
  <c r="AI127" i="66" s="1"/>
  <c r="AM10" i="66"/>
  <c r="AE98" i="66"/>
  <c r="AE106" i="66"/>
  <c r="AE61" i="66"/>
  <c r="AH129" i="66"/>
  <c r="AI129" i="66" s="1"/>
  <c r="AL129" i="66" s="1"/>
  <c r="AE116" i="66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N92" i="66" s="1"/>
  <c r="AD101" i="66"/>
  <c r="AH18" i="66"/>
  <c r="AI18" i="66" s="1"/>
  <c r="AD22" i="66"/>
  <c r="AD56" i="66"/>
  <c r="AN56" i="66" s="1"/>
  <c r="AM77" i="66"/>
  <c r="AH79" i="66"/>
  <c r="AI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N44" i="66" s="1"/>
  <c r="AD53" i="66"/>
  <c r="AM79" i="66"/>
  <c r="AM94" i="66"/>
  <c r="AM22" i="66"/>
  <c r="AE50" i="66"/>
  <c r="AE55" i="66"/>
  <c r="AH107" i="66"/>
  <c r="AI107" i="66" s="1"/>
  <c r="AL107" i="66" s="1"/>
  <c r="AL91" i="66"/>
  <c r="AE49" i="66"/>
  <c r="AN49" i="66" s="1"/>
  <c r="AD55" i="66"/>
  <c r="AH56" i="66"/>
  <c r="AI56" i="66" s="1"/>
  <c r="AN86" i="66"/>
  <c r="AD93" i="66"/>
  <c r="AN93" i="66" s="1"/>
  <c r="AH120" i="66"/>
  <c r="AI120" i="66" s="1"/>
  <c r="AE127" i="66"/>
  <c r="AN127" i="66" s="1"/>
  <c r="AH128" i="66"/>
  <c r="AI128" i="66" s="1"/>
  <c r="AE43" i="66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D63" i="66"/>
  <c r="AH68" i="66"/>
  <c r="AI68" i="66" s="1"/>
  <c r="AL68" i="66" s="1"/>
  <c r="AD83" i="66"/>
  <c r="AD91" i="66"/>
  <c r="AH114" i="66"/>
  <c r="AI114" i="66" s="1"/>
  <c r="AN116" i="66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N61" i="66" s="1"/>
  <c r="AD69" i="66"/>
  <c r="AE74" i="66"/>
  <c r="AE115" i="66"/>
  <c r="AN115" i="66" s="1"/>
  <c r="W52" i="66"/>
  <c r="AL124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N124" i="66" s="1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N66" i="66" s="1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W6" i="66"/>
  <c r="AH27" i="66"/>
  <c r="AI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N64" i="66" s="1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U26" i="66"/>
  <c r="AE42" i="66"/>
  <c r="AN50" i="66"/>
  <c r="U62" i="66"/>
  <c r="AD70" i="66"/>
  <c r="AD71" i="66"/>
  <c r="W76" i="66"/>
  <c r="AL79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U23" i="66"/>
  <c r="AH39" i="66"/>
  <c r="AI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5" i="67"/>
  <c r="AN6" i="71"/>
  <c r="U5" i="71"/>
  <c r="U19" i="71"/>
  <c r="U9" i="71"/>
  <c r="U16" i="71"/>
  <c r="U22" i="71"/>
  <c r="T25" i="67"/>
  <c r="U7" i="71"/>
  <c r="W13" i="71"/>
  <c r="U7" i="34"/>
  <c r="A16" i="34" s="1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U16" i="34"/>
  <c r="U18" i="34"/>
  <c r="W20" i="34"/>
  <c r="W23" i="34"/>
  <c r="W16" i="34"/>
  <c r="W18" i="34"/>
  <c r="A20" i="77"/>
  <c r="O17" i="68" s="1"/>
  <c r="R17" i="68" s="1"/>
  <c r="V17" i="68" s="1"/>
  <c r="G18" i="2" s="1"/>
  <c r="I17" i="68"/>
  <c r="X6" i="77"/>
  <c r="X49" i="77"/>
  <c r="A18" i="77"/>
  <c r="N17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5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X17" i="28" s="1"/>
  <c r="Z17" i="28" s="1"/>
  <c r="AB17" i="28" s="1"/>
  <c r="AO17" i="28" s="1"/>
  <c r="U5" i="38"/>
  <c r="U11" i="38"/>
  <c r="W5" i="38"/>
  <c r="U9" i="38"/>
  <c r="U8" i="38"/>
  <c r="AD5" i="38"/>
  <c r="AN5" i="38" s="1"/>
  <c r="AH5" i="38"/>
  <c r="AI5" i="38" s="1"/>
  <c r="U7" i="38"/>
  <c r="AD5" i="37"/>
  <c r="T48" i="68" s="1"/>
  <c r="P51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19" i="60"/>
  <c r="AN39" i="5"/>
  <c r="AN245" i="15"/>
  <c r="AN251" i="15"/>
  <c r="AN260" i="15"/>
  <c r="AN301" i="15"/>
  <c r="AN13" i="18"/>
  <c r="AN41" i="31"/>
  <c r="AN18" i="73"/>
  <c r="AN17" i="58"/>
  <c r="AN22" i="58"/>
  <c r="AN24" i="60"/>
  <c r="AN187" i="15"/>
  <c r="AN205" i="15"/>
  <c r="AN317" i="15"/>
  <c r="AN77" i="22"/>
  <c r="AN16" i="26"/>
  <c r="AN50" i="31"/>
  <c r="AN133" i="32"/>
  <c r="AN19" i="33"/>
  <c r="AN9" i="34"/>
  <c r="AN24" i="36"/>
  <c r="AN20" i="73"/>
  <c r="AN21" i="73"/>
  <c r="AN11" i="58"/>
  <c r="AN23" i="14"/>
  <c r="AN280" i="15"/>
  <c r="AN422" i="15"/>
  <c r="AN70" i="20"/>
  <c r="AN49" i="31"/>
  <c r="AN5" i="45"/>
  <c r="AN17" i="49"/>
  <c r="AN20" i="3"/>
  <c r="AN21" i="3"/>
  <c r="AN37" i="5"/>
  <c r="AN213" i="15"/>
  <c r="AN229" i="15"/>
  <c r="AN259" i="15"/>
  <c r="AN469" i="15"/>
  <c r="AN481" i="15"/>
  <c r="AN493" i="15"/>
  <c r="AN505" i="15"/>
  <c r="AN18" i="74"/>
  <c r="AN7" i="72"/>
  <c r="AN46" i="31"/>
  <c r="AN20" i="33"/>
  <c r="AN21" i="36"/>
  <c r="AN7" i="38"/>
  <c r="AN20" i="40"/>
  <c r="AN19" i="45"/>
  <c r="AN10" i="50"/>
  <c r="AN17" i="56"/>
  <c r="AN19" i="61"/>
  <c r="AN135" i="15"/>
  <c r="AN176" i="15"/>
  <c r="AN185" i="15"/>
  <c r="AN194" i="15"/>
  <c r="AN203" i="15"/>
  <c r="AN333" i="15"/>
  <c r="AN358" i="15"/>
  <c r="AN385" i="15"/>
  <c r="AN11" i="16"/>
  <c r="AN11" i="74"/>
  <c r="AN20" i="24"/>
  <c r="AN98" i="32"/>
  <c r="AN18" i="36"/>
  <c r="AN19" i="36"/>
  <c r="AN43" i="66"/>
  <c r="AN60" i="46"/>
  <c r="AN78" i="46"/>
  <c r="AN24" i="49"/>
  <c r="AN40" i="53"/>
  <c r="AN16" i="56"/>
  <c r="AN20" i="56"/>
  <c r="AN13" i="58"/>
  <c r="AN24" i="59"/>
  <c r="AN14" i="60"/>
  <c r="AN16" i="61"/>
  <c r="AN23" i="62"/>
  <c r="AN24" i="62"/>
  <c r="AN19" i="64"/>
  <c r="T16" i="68"/>
  <c r="E17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66" i="20"/>
  <c r="AN78" i="20"/>
  <c r="AN21" i="70"/>
  <c r="AN11" i="72"/>
  <c r="AN15" i="72"/>
  <c r="AN39" i="31"/>
  <c r="AN148" i="32"/>
  <c r="AN12" i="34"/>
  <c r="AN21" i="37"/>
  <c r="AN7" i="40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40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3" i="20"/>
  <c r="AN75" i="20"/>
  <c r="AN65" i="69"/>
  <c r="AN170" i="32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T34" i="67"/>
  <c r="M33" i="2" s="1"/>
  <c r="AN15" i="61"/>
  <c r="AN9" i="62"/>
  <c r="AN18" i="6"/>
  <c r="AN9" i="74"/>
  <c r="AN88" i="22"/>
  <c r="AN55" i="31"/>
  <c r="AN101" i="32"/>
  <c r="AN113" i="32"/>
  <c r="AN120" i="32"/>
  <c r="AN46" i="75"/>
  <c r="AN58" i="75"/>
  <c r="AN62" i="75"/>
  <c r="AN36" i="57"/>
  <c r="AN9" i="61"/>
  <c r="AN11" i="62"/>
  <c r="AN22" i="62"/>
  <c r="J51" i="68"/>
  <c r="H51" i="68"/>
  <c r="J47" i="68"/>
  <c r="L47" i="68"/>
  <c r="P47" i="68"/>
  <c r="K47" i="68"/>
  <c r="A20" i="76"/>
  <c r="O30" i="68" s="1"/>
  <c r="R30" i="68" s="1"/>
  <c r="V30" i="68" s="1"/>
  <c r="A18" i="76"/>
  <c r="N30" i="68" s="1"/>
  <c r="Q30" i="68" s="1"/>
  <c r="U30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N42" i="65" s="1"/>
  <c r="AD86" i="65"/>
  <c r="AE94" i="65"/>
  <c r="AN94" i="65" s="1"/>
  <c r="AD108" i="65"/>
  <c r="AN108" i="65" s="1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N37" i="65" s="1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X48" i="65" s="1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65" i="20"/>
  <c r="AN77" i="20"/>
  <c r="AN64" i="22"/>
  <c r="AN70" i="22"/>
  <c r="AN44" i="69"/>
  <c r="AN14" i="72"/>
  <c r="AN5" i="65"/>
  <c r="AN5" i="5"/>
  <c r="AN23" i="6"/>
  <c r="AN22" i="14"/>
  <c r="AN25" i="15"/>
  <c r="AN177" i="15"/>
  <c r="AN195" i="15"/>
  <c r="AN214" i="15"/>
  <c r="AN235" i="15"/>
  <c r="AN242" i="15"/>
  <c r="AN278" i="15"/>
  <c r="AN304" i="15"/>
  <c r="AN328" i="15"/>
  <c r="AN364" i="15"/>
  <c r="AN400" i="15"/>
  <c r="AN444" i="15"/>
  <c r="AN457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45" i="5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6" i="70"/>
  <c r="AN17" i="3"/>
  <c r="AN35" i="5"/>
  <c r="AN36" i="5"/>
  <c r="AN44" i="5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61" i="20"/>
  <c r="AN73" i="20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40" i="15"/>
  <c r="AN376" i="15"/>
  <c r="AN448" i="15"/>
  <c r="AN463" i="15"/>
  <c r="AN475" i="15"/>
  <c r="AN487" i="15"/>
  <c r="AN499" i="15"/>
  <c r="AN511" i="15"/>
  <c r="AN12" i="74"/>
  <c r="AN24" i="74"/>
  <c r="AN19" i="18"/>
  <c r="AN60" i="20"/>
  <c r="AN72" i="20"/>
  <c r="AN15" i="21"/>
  <c r="AN23" i="21"/>
  <c r="AN80" i="22"/>
  <c r="AN90" i="22"/>
  <c r="AN47" i="69"/>
  <c r="AN63" i="69"/>
  <c r="AN19" i="24"/>
  <c r="AN15" i="3"/>
  <c r="AN16" i="3"/>
  <c r="AN43" i="5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5" i="68"/>
  <c r="E16" i="2" s="1"/>
  <c r="E23" i="2" s="1"/>
  <c r="E58" i="2" s="1"/>
  <c r="AN13" i="74"/>
  <c r="AN18" i="18"/>
  <c r="AN59" i="20"/>
  <c r="AN71" i="20"/>
  <c r="AN62" i="22"/>
  <c r="AN74" i="22"/>
  <c r="AN85" i="22"/>
  <c r="AN49" i="5"/>
  <c r="AN33" i="12"/>
  <c r="AN20" i="14"/>
  <c r="AN125" i="15"/>
  <c r="AN143" i="15"/>
  <c r="AN181" i="15"/>
  <c r="AN199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58" i="20"/>
  <c r="AN13" i="21"/>
  <c r="AN22" i="21"/>
  <c r="AN73" i="22"/>
  <c r="AN41" i="69"/>
  <c r="AN20" i="27"/>
  <c r="AN185" i="65"/>
  <c r="AN41" i="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69" i="20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07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495" i="15"/>
  <c r="AN507" i="15"/>
  <c r="AN19" i="16"/>
  <c r="AN16" i="74"/>
  <c r="AN16" i="19"/>
  <c r="AN68" i="20"/>
  <c r="AN80" i="20"/>
  <c r="AN78" i="22"/>
  <c r="AN84" i="22"/>
  <c r="AN35" i="69"/>
  <c r="AN60" i="69"/>
  <c r="AN7" i="70"/>
  <c r="AN9" i="70"/>
  <c r="AN48" i="5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79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21" i="32"/>
  <c r="AN136" i="32"/>
  <c r="AN13" i="33"/>
  <c r="AN10" i="37"/>
  <c r="AN20" i="37"/>
  <c r="AN70" i="66"/>
  <c r="AN15" i="39"/>
  <c r="AN22" i="39"/>
  <c r="AN46" i="39"/>
  <c r="AN47" i="39"/>
  <c r="AN16" i="47"/>
  <c r="AN34" i="47"/>
  <c r="AN67" i="47"/>
  <c r="AN14" i="75"/>
  <c r="AN16" i="50"/>
  <c r="AN19" i="51"/>
  <c r="AN12" i="71"/>
  <c r="AN21" i="54"/>
  <c r="AN23" i="55"/>
  <c r="AN7" i="57"/>
  <c r="AN13" i="57"/>
  <c r="AN17" i="25"/>
  <c r="AN38" i="28"/>
  <c r="AN24" i="30"/>
  <c r="AN58" i="31"/>
  <c r="AN96" i="32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6" i="46"/>
  <c r="AN15" i="47"/>
  <c r="AN61" i="47"/>
  <c r="AN15" i="49"/>
  <c r="AN17" i="50"/>
  <c r="AN21" i="52"/>
  <c r="AN33" i="53"/>
  <c r="AN21" i="56"/>
  <c r="AN6" i="57"/>
  <c r="AN145" i="32"/>
  <c r="AN154" i="32"/>
  <c r="AN12" i="33"/>
  <c r="AN8" i="34"/>
  <c r="AN8" i="37"/>
  <c r="AN19" i="37"/>
  <c r="T49" i="68"/>
  <c r="E50" i="2" s="1"/>
  <c r="AN10" i="38"/>
  <c r="AN19" i="38"/>
  <c r="AN13" i="39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48" i="57"/>
  <c r="AN18" i="58"/>
  <c r="AN23" i="58"/>
  <c r="AN23" i="30"/>
  <c r="AN119" i="32"/>
  <c r="AN143" i="32"/>
  <c r="AN17" i="33"/>
  <c r="AN23" i="33"/>
  <c r="AN22" i="34"/>
  <c r="AN22" i="35"/>
  <c r="AN14" i="37"/>
  <c r="AN23" i="37"/>
  <c r="AN9" i="38"/>
  <c r="AN8" i="39"/>
  <c r="AN20" i="39"/>
  <c r="AN27" i="39"/>
  <c r="AN35" i="39"/>
  <c r="AN18" i="42"/>
  <c r="AN19" i="42"/>
  <c r="AN10" i="43"/>
  <c r="AN18" i="43"/>
  <c r="AN17" i="44"/>
  <c r="AN49" i="46"/>
  <c r="AN32" i="47"/>
  <c r="AN59" i="47"/>
  <c r="AN64" i="75"/>
  <c r="AN11" i="51"/>
  <c r="AN17" i="51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6" i="28"/>
  <c r="AN39" i="28"/>
  <c r="AN109" i="32"/>
  <c r="AN126" i="32"/>
  <c r="AN153" i="32"/>
  <c r="AN169" i="32"/>
  <c r="AN5" i="34"/>
  <c r="AN7" i="35"/>
  <c r="AN18" i="37"/>
  <c r="AN8" i="38"/>
  <c r="AN24" i="38"/>
  <c r="AN12" i="39"/>
  <c r="AN19" i="39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6" i="60"/>
  <c r="AN21" i="61"/>
  <c r="AN5" i="63"/>
  <c r="AN7" i="63"/>
  <c r="AN13" i="64"/>
  <c r="AN25" i="24"/>
  <c r="AN15" i="26"/>
  <c r="AN20" i="26"/>
  <c r="AN12" i="30"/>
  <c r="AN6" i="31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22" i="51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2" i="30"/>
  <c r="AN29" i="31"/>
  <c r="AN118" i="32"/>
  <c r="AN132" i="32"/>
  <c r="AN149" i="32"/>
  <c r="AN161" i="32"/>
  <c r="AN15" i="33"/>
  <c r="AN14" i="35"/>
  <c r="AN17" i="36"/>
  <c r="AN13" i="37"/>
  <c r="AN22" i="37"/>
  <c r="AN17" i="38"/>
  <c r="AN18" i="39"/>
  <c r="AN25" i="39"/>
  <c r="AN33" i="39"/>
  <c r="AN42" i="39"/>
  <c r="AN24" i="40"/>
  <c r="AN5" i="41"/>
  <c r="AN11" i="41"/>
  <c r="AN16" i="44"/>
  <c r="AN12" i="46"/>
  <c r="AN67" i="46"/>
  <c r="AN9" i="47"/>
  <c r="AN43" i="47"/>
  <c r="AN50" i="47"/>
  <c r="AN11" i="75"/>
  <c r="AN66" i="75"/>
  <c r="AN11" i="49"/>
  <c r="AN5" i="50"/>
  <c r="AN8" i="50"/>
  <c r="AN9" i="50"/>
  <c r="AN10" i="51"/>
  <c r="AN19" i="73"/>
  <c r="AN18" i="54"/>
  <c r="AN13" i="56"/>
  <c r="AN14" i="56"/>
  <c r="AN15" i="56"/>
  <c r="AN7" i="58"/>
  <c r="AN21" i="58"/>
  <c r="AN11" i="60"/>
  <c r="AN13" i="63"/>
  <c r="AN14" i="63"/>
  <c r="AN19" i="25"/>
  <c r="AN9" i="26"/>
  <c r="AN19" i="26"/>
  <c r="AN23" i="27"/>
  <c r="AN24" i="27"/>
  <c r="AN11" i="30"/>
  <c r="AN30" i="31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43" i="57"/>
  <c r="AN10" i="58"/>
  <c r="AN10" i="62"/>
  <c r="AN16" i="63"/>
  <c r="AN18" i="63"/>
  <c r="AN19" i="63"/>
  <c r="AN21" i="63"/>
  <c r="AN22" i="63"/>
  <c r="AN24" i="63"/>
  <c r="AN5" i="64"/>
  <c r="AN24" i="25"/>
  <c r="AN36" i="31"/>
  <c r="AN42" i="31"/>
  <c r="AN48" i="31"/>
  <c r="AN54" i="31"/>
  <c r="AN99" i="32"/>
  <c r="AN107" i="32"/>
  <c r="AN11" i="35"/>
  <c r="AN23" i="36"/>
  <c r="AN12" i="37"/>
  <c r="AN7" i="39"/>
  <c r="AN17" i="39"/>
  <c r="AN24" i="39"/>
  <c r="AN32" i="39"/>
  <c r="AN40" i="39"/>
  <c r="AN49" i="39"/>
  <c r="AN23" i="40"/>
  <c r="AN21" i="44"/>
  <c r="AN6" i="45"/>
  <c r="AN7" i="46"/>
  <c r="AN79" i="46"/>
  <c r="AN20" i="49"/>
  <c r="AN21" i="49"/>
  <c r="AN12" i="50"/>
  <c r="AN21" i="51"/>
  <c r="AN36" i="53"/>
  <c r="AN44" i="53"/>
  <c r="AN14" i="71"/>
  <c r="AN24" i="71"/>
  <c r="AN23" i="54"/>
  <c r="AN18" i="55"/>
  <c r="AN24" i="55"/>
  <c r="AN16" i="58"/>
  <c r="AN5" i="60"/>
  <c r="AN9" i="60"/>
  <c r="AN10" i="60"/>
  <c r="AN17" i="60"/>
  <c r="AN10" i="25"/>
  <c r="AN18" i="26"/>
  <c r="AN47" i="28"/>
  <c r="AN116" i="32"/>
  <c r="AN157" i="32"/>
  <c r="AN16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15" i="58"/>
  <c r="AN20" i="58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16" i="33" s="1"/>
  <c r="F43" i="68" s="1"/>
  <c r="AD8" i="33"/>
  <c r="AN8" i="33" s="1"/>
  <c r="AM5" i="33"/>
  <c r="S43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L91" i="32"/>
  <c r="AJ91" i="32"/>
  <c r="AL88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E38" i="32"/>
  <c r="AN38" i="32" s="1"/>
  <c r="AM39" i="32"/>
  <c r="AE45" i="32"/>
  <c r="AM49" i="32"/>
  <c r="AH88" i="32"/>
  <c r="AI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N40" i="32"/>
  <c r="AM92" i="32"/>
  <c r="AL19" i="32"/>
  <c r="AD26" i="32"/>
  <c r="W30" i="32"/>
  <c r="U33" i="32"/>
  <c r="AM35" i="32"/>
  <c r="AE37" i="32"/>
  <c r="AN37" i="32" s="1"/>
  <c r="AM42" i="32"/>
  <c r="AD44" i="32"/>
  <c r="W47" i="32"/>
  <c r="AM89" i="32"/>
  <c r="AD95" i="32"/>
  <c r="AN95" i="32" s="1"/>
  <c r="AL15" i="32"/>
  <c r="AN9" i="32"/>
  <c r="AH11" i="32"/>
  <c r="AI11" i="32" s="1"/>
  <c r="U21" i="32"/>
  <c r="AE22" i="32"/>
  <c r="AE26" i="32"/>
  <c r="AL34" i="32"/>
  <c r="AE44" i="32"/>
  <c r="AM88" i="32"/>
  <c r="AN88" i="32" s="1"/>
  <c r="AM90" i="32"/>
  <c r="AM91" i="32"/>
  <c r="AD94" i="32"/>
  <c r="AN94" i="32" s="1"/>
  <c r="AE95" i="32"/>
  <c r="W121" i="32"/>
  <c r="AH37" i="32"/>
  <c r="AI37" i="32" s="1"/>
  <c r="W56" i="32"/>
  <c r="AN87" i="32"/>
  <c r="W136" i="32"/>
  <c r="W157" i="32"/>
  <c r="AN5" i="32"/>
  <c r="AM11" i="32"/>
  <c r="W16" i="32"/>
  <c r="W21" i="32"/>
  <c r="AH22" i="32"/>
  <c r="AI22" i="32" s="1"/>
  <c r="AE25" i="32"/>
  <c r="AN25" i="32" s="1"/>
  <c r="AH26" i="32"/>
  <c r="AI26" i="32" s="1"/>
  <c r="AL26" i="32" s="1"/>
  <c r="AD29" i="32"/>
  <c r="AH44" i="32"/>
  <c r="AI44" i="32" s="1"/>
  <c r="U24" i="32"/>
  <c r="AE29" i="32"/>
  <c r="U39" i="32"/>
  <c r="AN41" i="32"/>
  <c r="W46" i="32"/>
  <c r="W62" i="32"/>
  <c r="W15" i="32"/>
  <c r="AE16" i="32"/>
  <c r="AN19" i="32"/>
  <c r="AD21" i="32"/>
  <c r="AM22" i="32"/>
  <c r="AD32" i="32"/>
  <c r="AD36" i="32"/>
  <c r="AM37" i="32"/>
  <c r="W49" i="32"/>
  <c r="AD89" i="32"/>
  <c r="AD90" i="32"/>
  <c r="AD91" i="32"/>
  <c r="AD92" i="32"/>
  <c r="AM7" i="32"/>
  <c r="S42" i="68" s="1"/>
  <c r="AD20" i="32"/>
  <c r="W24" i="32"/>
  <c r="AH25" i="32"/>
  <c r="AI25" i="32" s="1"/>
  <c r="AL25" i="32" s="1"/>
  <c r="AE28" i="32"/>
  <c r="AH29" i="32"/>
  <c r="AI29" i="32" s="1"/>
  <c r="AN31" i="32"/>
  <c r="AE32" i="32"/>
  <c r="U42" i="32"/>
  <c r="W172" i="32"/>
  <c r="U5" i="32"/>
  <c r="W6" i="32"/>
  <c r="AN8" i="32"/>
  <c r="W12" i="32"/>
  <c r="AM13" i="32"/>
  <c r="AD15" i="32"/>
  <c r="AN15" i="32" s="1"/>
  <c r="AN17" i="32"/>
  <c r="W19" i="32"/>
  <c r="U27" i="32"/>
  <c r="AD35" i="32"/>
  <c r="AD39" i="32"/>
  <c r="W68" i="32"/>
  <c r="W100" i="32"/>
  <c r="AN23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M36" i="32"/>
  <c r="AM43" i="32"/>
  <c r="AN43" i="32" s="1"/>
  <c r="W45" i="32"/>
  <c r="AL18" i="31"/>
  <c r="AJ12" i="31"/>
  <c r="AM18" i="31"/>
  <c r="AE35" i="31"/>
  <c r="AN35" i="31" s="1"/>
  <c r="A14" i="31"/>
  <c r="K41" i="68" s="1"/>
  <c r="AL8" i="31"/>
  <c r="AE11" i="31"/>
  <c r="AM31" i="31"/>
  <c r="AD5" i="31"/>
  <c r="U10" i="31"/>
  <c r="AD14" i="31"/>
  <c r="AE17" i="31"/>
  <c r="AE26" i="31"/>
  <c r="AD34" i="31"/>
  <c r="AM8" i="31"/>
  <c r="AH11" i="31"/>
  <c r="AI11" i="31" s="1"/>
  <c r="AE34" i="31"/>
  <c r="AN12" i="31"/>
  <c r="AH14" i="31"/>
  <c r="AI14" i="31" s="1"/>
  <c r="AM5" i="31"/>
  <c r="AM11" i="31"/>
  <c r="AM17" i="31"/>
  <c r="AE33" i="31"/>
  <c r="AN33" i="31" s="1"/>
  <c r="AH34" i="31"/>
  <c r="AI34" i="31" s="1"/>
  <c r="AE10" i="31"/>
  <c r="AM14" i="31"/>
  <c r="AM19" i="31"/>
  <c r="AE23" i="31"/>
  <c r="AN23" i="31" s="1"/>
  <c r="AE9" i="31"/>
  <c r="AN9" i="31" s="1"/>
  <c r="AN20" i="31"/>
  <c r="AD31" i="31"/>
  <c r="AE32" i="31"/>
  <c r="AN32" i="31" s="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N10" i="30" s="1"/>
  <c r="AM5" i="30"/>
  <c r="AD13" i="30"/>
  <c r="AH14" i="30"/>
  <c r="AI14" i="30" s="1"/>
  <c r="AJ14" i="30" s="1"/>
  <c r="A14" i="30"/>
  <c r="K40" i="68" s="1"/>
  <c r="AD7" i="30"/>
  <c r="AN7" i="30" s="1"/>
  <c r="AM14" i="30"/>
  <c r="AD8" i="29"/>
  <c r="AH49" i="29"/>
  <c r="AI49" i="29" s="1"/>
  <c r="AL49" i="29" s="1"/>
  <c r="AE8" i="29"/>
  <c r="AM49" i="29"/>
  <c r="A14" i="29"/>
  <c r="K39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H27" i="28"/>
  <c r="AI27" i="28" s="1"/>
  <c r="AJ27" i="28" s="1"/>
  <c r="AM32" i="28"/>
  <c r="AD41" i="28"/>
  <c r="AN41" i="28" s="1"/>
  <c r="AM7" i="28"/>
  <c r="AM15" i="28"/>
  <c r="AL22" i="28"/>
  <c r="AL24" i="28"/>
  <c r="A14" i="28"/>
  <c r="K38" i="68" s="1"/>
  <c r="AM27" i="28"/>
  <c r="AM5" i="27"/>
  <c r="AH8" i="27"/>
  <c r="AI8" i="27" s="1"/>
  <c r="AD15" i="27"/>
  <c r="AD16" i="27"/>
  <c r="A14" i="27"/>
  <c r="K36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AN5" i="26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5" i="68" s="1"/>
  <c r="AD6" i="26"/>
  <c r="W24" i="26"/>
  <c r="W8" i="26"/>
  <c r="AH9" i="26"/>
  <c r="AI9" i="26" s="1"/>
  <c r="AD12" i="26"/>
  <c r="AM6" i="26"/>
  <c r="AM10" i="26"/>
  <c r="AE12" i="26"/>
  <c r="W21" i="26"/>
  <c r="AL13" i="25"/>
  <c r="H34" i="68"/>
  <c r="C35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4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3" i="68" s="1"/>
  <c r="AM7" i="24"/>
  <c r="W9" i="24"/>
  <c r="W10" i="24"/>
  <c r="AH13" i="24"/>
  <c r="AI13" i="24" s="1"/>
  <c r="W18" i="24"/>
  <c r="X18" i="24" s="1"/>
  <c r="AN6" i="24"/>
  <c r="U8" i="24"/>
  <c r="AE9" i="24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29" i="68" s="1"/>
  <c r="U12" i="72"/>
  <c r="W20" i="72"/>
  <c r="U9" i="72"/>
  <c r="W9" i="72"/>
  <c r="W17" i="72"/>
  <c r="U7" i="72"/>
  <c r="AJ15" i="70"/>
  <c r="AJ20" i="70"/>
  <c r="U17" i="70"/>
  <c r="H27" i="68"/>
  <c r="H24" i="68" s="1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N17" i="69" s="1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AN8" i="69"/>
  <c r="W13" i="69"/>
  <c r="U58" i="69"/>
  <c r="W7" i="69"/>
  <c r="AM11" i="69"/>
  <c r="W15" i="69"/>
  <c r="AE16" i="69"/>
  <c r="AM17" i="69"/>
  <c r="AE19" i="69"/>
  <c r="AM20" i="69"/>
  <c r="AE22" i="69"/>
  <c r="AN22" i="69" s="1"/>
  <c r="AM23" i="69"/>
  <c r="AE25" i="69"/>
  <c r="AM26" i="69"/>
  <c r="AE28" i="69"/>
  <c r="AN28" i="69" s="1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N5" i="22" s="1"/>
  <c r="AH18" i="22"/>
  <c r="AI18" i="22" s="1"/>
  <c r="U20" i="22"/>
  <c r="AL23" i="22"/>
  <c r="AM25" i="22"/>
  <c r="U30" i="22"/>
  <c r="AH31" i="22"/>
  <c r="AI31" i="22" s="1"/>
  <c r="AD37" i="22"/>
  <c r="AM38" i="22"/>
  <c r="AD40" i="22"/>
  <c r="AN40" i="22" s="1"/>
  <c r="AM44" i="22"/>
  <c r="AM50" i="22"/>
  <c r="AM53" i="22"/>
  <c r="A14" i="22"/>
  <c r="K25" i="68" s="1"/>
  <c r="K24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25" i="22"/>
  <c r="AN65" i="22"/>
  <c r="AM8" i="22"/>
  <c r="U32" i="22"/>
  <c r="AJ33" i="22"/>
  <c r="AM37" i="22"/>
  <c r="U72" i="22"/>
  <c r="AL11" i="21"/>
  <c r="W5" i="21"/>
  <c r="AM7" i="21"/>
  <c r="AN7" i="21" s="1"/>
  <c r="W9" i="21"/>
  <c r="A14" i="21"/>
  <c r="K21" i="68" s="1"/>
  <c r="U12" i="21"/>
  <c r="U8" i="21"/>
  <c r="W23" i="21"/>
  <c r="AH5" i="21"/>
  <c r="AI5" i="21" s="1"/>
  <c r="U7" i="21"/>
  <c r="AD11" i="21"/>
  <c r="W8" i="21"/>
  <c r="AM9" i="21"/>
  <c r="AE11" i="21"/>
  <c r="AM5" i="21"/>
  <c r="S21" i="68" s="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N11" i="20"/>
  <c r="AD12" i="20"/>
  <c r="AN17" i="20"/>
  <c r="AM38" i="20"/>
  <c r="A14" i="20"/>
  <c r="K20" i="68" s="1"/>
  <c r="W6" i="20"/>
  <c r="AE12" i="20"/>
  <c r="AD15" i="20"/>
  <c r="AN15" i="20" s="1"/>
  <c r="AL33" i="20"/>
  <c r="AM40" i="20"/>
  <c r="AD5" i="20"/>
  <c r="AN5" i="20" s="1"/>
  <c r="AM20" i="20"/>
  <c r="AM42" i="20"/>
  <c r="AD6" i="20"/>
  <c r="AN6" i="20" s="1"/>
  <c r="AE11" i="20"/>
  <c r="AH15" i="20"/>
  <c r="AI15" i="20" s="1"/>
  <c r="AM44" i="20"/>
  <c r="AL5" i="20"/>
  <c r="U10" i="20"/>
  <c r="AM15" i="20"/>
  <c r="S20" i="68" s="1"/>
  <c r="U9" i="19"/>
  <c r="U13" i="19"/>
  <c r="W18" i="19"/>
  <c r="AE10" i="19"/>
  <c r="AN10" i="19" s="1"/>
  <c r="AN7" i="19"/>
  <c r="AE9" i="19"/>
  <c r="AN9" i="19" s="1"/>
  <c r="AH5" i="19"/>
  <c r="AI5" i="19" s="1"/>
  <c r="AM6" i="19"/>
  <c r="AN6" i="19" s="1"/>
  <c r="AH9" i="19"/>
  <c r="AI9" i="19" s="1"/>
  <c r="AM13" i="19"/>
  <c r="W24" i="19"/>
  <c r="AD12" i="19"/>
  <c r="AN12" i="19" s="1"/>
  <c r="AM5" i="19"/>
  <c r="W21" i="19"/>
  <c r="AH12" i="19"/>
  <c r="AI12" i="19" s="1"/>
  <c r="U6" i="19"/>
  <c r="U10" i="19"/>
  <c r="AM11" i="18"/>
  <c r="U5" i="18"/>
  <c r="AM10" i="18"/>
  <c r="A14" i="18"/>
  <c r="K18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5" i="68"/>
  <c r="C16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4" i="68" s="1"/>
  <c r="W8" i="15"/>
  <c r="W25" i="15"/>
  <c r="W28" i="15"/>
  <c r="AD34" i="15"/>
  <c r="AD37" i="15"/>
  <c r="AM47" i="15"/>
  <c r="AN47" i="15" s="1"/>
  <c r="AE64" i="15"/>
  <c r="AM67" i="15"/>
  <c r="AE79" i="15"/>
  <c r="AM82" i="15"/>
  <c r="AD84" i="15"/>
  <c r="AE89" i="15"/>
  <c r="AM90" i="15"/>
  <c r="AN90" i="15" s="1"/>
  <c r="AH95" i="15"/>
  <c r="AI95" i="15" s="1"/>
  <c r="AH98" i="15"/>
  <c r="AI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N146" i="15" s="1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N164" i="15" s="1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N141" i="15"/>
  <c r="AD154" i="15"/>
  <c r="AH156" i="15"/>
  <c r="AI156" i="15" s="1"/>
  <c r="AM5" i="15"/>
  <c r="AM9" i="15"/>
  <c r="W11" i="15"/>
  <c r="AH12" i="15"/>
  <c r="AI12" i="15" s="1"/>
  <c r="AN13" i="15"/>
  <c r="AM16" i="15"/>
  <c r="AM26" i="15"/>
  <c r="AH37" i="15"/>
  <c r="AI37" i="15" s="1"/>
  <c r="AN40" i="15"/>
  <c r="AM64" i="15"/>
  <c r="AH71" i="15"/>
  <c r="AI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L158" i="15"/>
  <c r="AH15" i="15"/>
  <c r="AI15" i="15" s="1"/>
  <c r="AL15" i="15" s="1"/>
  <c r="AM18" i="15"/>
  <c r="W22" i="15"/>
  <c r="AL28" i="15"/>
  <c r="AH34" i="15"/>
  <c r="AI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N7" i="15" s="1"/>
  <c r="AH8" i="15"/>
  <c r="AI8" i="15" s="1"/>
  <c r="AN10" i="15"/>
  <c r="AM12" i="15"/>
  <c r="AL25" i="15"/>
  <c r="W53" i="15"/>
  <c r="AM66" i="15"/>
  <c r="AL136" i="15"/>
  <c r="AL154" i="15"/>
  <c r="AN166" i="15"/>
  <c r="U6" i="15"/>
  <c r="A16" i="15" s="1"/>
  <c r="F14" i="68" s="1"/>
  <c r="AE11" i="15"/>
  <c r="AN11" i="15" s="1"/>
  <c r="AM15" i="15"/>
  <c r="AE22" i="15"/>
  <c r="W50" i="15"/>
  <c r="AH83" i="15"/>
  <c r="AI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K13" i="68" s="1"/>
  <c r="AM6" i="14"/>
  <c r="AL5" i="14"/>
  <c r="W22" i="14"/>
  <c r="U7" i="14"/>
  <c r="W16" i="14"/>
  <c r="AM5" i="14"/>
  <c r="S13" i="68" s="1"/>
  <c r="AM13" i="13"/>
  <c r="AD17" i="13"/>
  <c r="AE19" i="13"/>
  <c r="AN19" i="13" s="1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/>
  <c r="AM7" i="13"/>
  <c r="AE9" i="13"/>
  <c r="AN9" i="13" s="1"/>
  <c r="U12" i="13"/>
  <c r="AE15" i="13"/>
  <c r="AM17" i="13"/>
  <c r="AD21" i="13"/>
  <c r="U19" i="13"/>
  <c r="AE21" i="13"/>
  <c r="AH9" i="13"/>
  <c r="AI9" i="13" s="1"/>
  <c r="AD20" i="13"/>
  <c r="AJ22" i="13"/>
  <c r="AE20" i="13"/>
  <c r="AM6" i="13"/>
  <c r="S12" i="68" s="1"/>
  <c r="AH12" i="13"/>
  <c r="AI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AN5" i="12"/>
  <c r="U12" i="12"/>
  <c r="AD13" i="12"/>
  <c r="AM21" i="12"/>
  <c r="W29" i="12"/>
  <c r="AM10" i="12"/>
  <c r="AE13" i="12"/>
  <c r="AM14" i="12"/>
  <c r="W20" i="12"/>
  <c r="W38" i="12"/>
  <c r="AM16" i="12"/>
  <c r="S11" i="68" s="1"/>
  <c r="AD12" i="12"/>
  <c r="W44" i="12"/>
  <c r="AM9" i="12"/>
  <c r="AE12" i="12"/>
  <c r="W26" i="12"/>
  <c r="AJ12" i="12"/>
  <c r="W17" i="12"/>
  <c r="AM20" i="12"/>
  <c r="W35" i="12"/>
  <c r="W50" i="12"/>
  <c r="A14" i="12"/>
  <c r="K11" i="68" s="1"/>
  <c r="AH12" i="12"/>
  <c r="AI12" i="12" s="1"/>
  <c r="AM8" i="12"/>
  <c r="W41" i="12"/>
  <c r="W23" i="12"/>
  <c r="W32" i="12"/>
  <c r="U5" i="6"/>
  <c r="AH10" i="6"/>
  <c r="AI10" i="6" s="1"/>
  <c r="AN15" i="6"/>
  <c r="W9" i="6"/>
  <c r="U17" i="6"/>
  <c r="W18" i="6"/>
  <c r="AL10" i="6"/>
  <c r="W5" i="6"/>
  <c r="AM10" i="6"/>
  <c r="AN13" i="6"/>
  <c r="AN14" i="6"/>
  <c r="W17" i="6"/>
  <c r="AD5" i="6"/>
  <c r="AN5" i="6" s="1"/>
  <c r="AM6" i="6"/>
  <c r="W8" i="6"/>
  <c r="AH9" i="6"/>
  <c r="AI9" i="6" s="1"/>
  <c r="AM12" i="6"/>
  <c r="AD16" i="6"/>
  <c r="AN16" i="6" s="1"/>
  <c r="AD17" i="6"/>
  <c r="AN17" i="6" s="1"/>
  <c r="U23" i="6"/>
  <c r="AH5" i="6"/>
  <c r="AI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N10" i="5" s="1"/>
  <c r="AD13" i="5"/>
  <c r="AM24" i="5"/>
  <c r="AL26" i="5"/>
  <c r="AM7" i="5"/>
  <c r="AN7" i="5" s="1"/>
  <c r="W9" i="5"/>
  <c r="AE13" i="5"/>
  <c r="AH14" i="5"/>
  <c r="AI14" i="5" s="1"/>
  <c r="AE16" i="5"/>
  <c r="AN16" i="5" s="1"/>
  <c r="AM19" i="5"/>
  <c r="AN19" i="5" s="1"/>
  <c r="W23" i="5"/>
  <c r="AL13" i="5"/>
  <c r="AM26" i="5"/>
  <c r="U5" i="5"/>
  <c r="AM16" i="5"/>
  <c r="W20" i="5"/>
  <c r="AN22" i="5"/>
  <c r="AE25" i="5"/>
  <c r="AN25" i="5" s="1"/>
  <c r="W5" i="5"/>
  <c r="AM6" i="5"/>
  <c r="S9" i="68" s="1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U17" i="3"/>
  <c r="W7" i="3"/>
  <c r="AN10" i="3"/>
  <c r="U6" i="3"/>
  <c r="U10" i="3"/>
  <c r="U5" i="3"/>
  <c r="W6" i="3"/>
  <c r="U9" i="3"/>
  <c r="U23" i="3"/>
  <c r="W5" i="3"/>
  <c r="AD6" i="3"/>
  <c r="AN6" i="3" s="1"/>
  <c r="AM7" i="3"/>
  <c r="AN7" i="3" s="1"/>
  <c r="A14" i="3"/>
  <c r="K8" i="68" s="1"/>
  <c r="AE9" i="3"/>
  <c r="AH10" i="3"/>
  <c r="AI10" i="3" s="1"/>
  <c r="U20" i="3"/>
  <c r="H8" i="68"/>
  <c r="W8" i="3"/>
  <c r="A8" i="36"/>
  <c r="X12" i="36" s="1"/>
  <c r="I46" i="67"/>
  <c r="N46" i="67" s="1"/>
  <c r="Q46" i="67" s="1"/>
  <c r="A8" i="26"/>
  <c r="X22" i="26" s="1"/>
  <c r="A8" i="30"/>
  <c r="A8" i="63"/>
  <c r="A8" i="55"/>
  <c r="Q65" i="67"/>
  <c r="I75" i="68"/>
  <c r="O75" i="68" s="1"/>
  <c r="R75" i="68" s="1"/>
  <c r="A8" i="34"/>
  <c r="X22" i="34" s="1"/>
  <c r="A8" i="32"/>
  <c r="I42" i="68" s="1"/>
  <c r="A8" i="74"/>
  <c r="X8" i="74" s="1"/>
  <c r="Z8" i="74" s="1"/>
  <c r="AB8" i="74" s="1"/>
  <c r="AO8" i="74" s="1"/>
  <c r="A8" i="40"/>
  <c r="A8" i="66"/>
  <c r="X125" i="66" s="1"/>
  <c r="A8" i="16"/>
  <c r="X24" i="16" s="1"/>
  <c r="A8" i="53"/>
  <c r="X43" i="53" s="1"/>
  <c r="A8" i="38"/>
  <c r="I57" i="68"/>
  <c r="O57" i="68" s="1"/>
  <c r="R57" i="68" s="1"/>
  <c r="A8" i="72"/>
  <c r="I29" i="68" s="1"/>
  <c r="A8" i="75"/>
  <c r="I16" i="67" s="1"/>
  <c r="A8" i="13"/>
  <c r="A20" i="13" s="1"/>
  <c r="O12" i="68" s="1"/>
  <c r="R12" i="68" s="1"/>
  <c r="I47" i="67"/>
  <c r="O47" i="67" s="1"/>
  <c r="R47" i="67" s="1"/>
  <c r="A8" i="27"/>
  <c r="X11" i="27" s="1"/>
  <c r="A8" i="33"/>
  <c r="X10" i="33" s="1"/>
  <c r="A8" i="5"/>
  <c r="A8" i="12"/>
  <c r="X12" i="12" s="1"/>
  <c r="A8" i="65"/>
  <c r="A20" i="65" s="1"/>
  <c r="O6" i="68" s="1"/>
  <c r="R6" i="68" s="1"/>
  <c r="A8" i="20"/>
  <c r="X10" i="20" s="1"/>
  <c r="Z10" i="20" s="1"/>
  <c r="AB10" i="20" s="1"/>
  <c r="AO10" i="20" s="1"/>
  <c r="A8" i="6"/>
  <c r="A8" i="23"/>
  <c r="A8" i="15"/>
  <c r="A8" i="19"/>
  <c r="I19" i="68" s="1"/>
  <c r="A8" i="3"/>
  <c r="X22" i="3" s="1"/>
  <c r="A8" i="46"/>
  <c r="A8" i="70"/>
  <c r="X15" i="70" s="1"/>
  <c r="A8" i="37"/>
  <c r="A8" i="14"/>
  <c r="A8" i="25"/>
  <c r="X12" i="25" s="1"/>
  <c r="A8" i="18"/>
  <c r="X17" i="18" s="1"/>
  <c r="I69" i="68"/>
  <c r="O69" i="68" s="1"/>
  <c r="R69" i="68" s="1"/>
  <c r="I53" i="68"/>
  <c r="O53" i="68" s="1"/>
  <c r="R53" i="68" s="1"/>
  <c r="I63" i="68"/>
  <c r="O63" i="68" s="1"/>
  <c r="R63" i="68" s="1"/>
  <c r="I51" i="67"/>
  <c r="O51" i="67" s="1"/>
  <c r="R51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46" i="5"/>
  <c r="AL34" i="12"/>
  <c r="AL24" i="13"/>
  <c r="AJ24" i="13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7" i="13"/>
  <c r="AJ5" i="65"/>
  <c r="AL110" i="65"/>
  <c r="AJ114" i="65"/>
  <c r="AL170" i="65"/>
  <c r="AJ170" i="65"/>
  <c r="AL182" i="65"/>
  <c r="AJ182" i="65"/>
  <c r="AL15" i="3"/>
  <c r="AL35" i="5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S8" i="68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L15" i="6"/>
  <c r="AJ15" i="6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L19" i="13"/>
  <c r="S10" i="68"/>
  <c r="AL12" i="12"/>
  <c r="AJ5" i="13"/>
  <c r="AL23" i="13"/>
  <c r="AJ70" i="15"/>
  <c r="AL70" i="15"/>
  <c r="AJ125" i="15"/>
  <c r="AJ143" i="15"/>
  <c r="AJ161" i="15"/>
  <c r="AJ179" i="15"/>
  <c r="AJ197" i="15"/>
  <c r="AL8" i="3"/>
  <c r="AL12" i="5"/>
  <c r="AL14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46" i="5"/>
  <c r="AJ52" i="5"/>
  <c r="AJ21" i="12"/>
  <c r="AL21" i="14"/>
  <c r="AJ21" i="14"/>
  <c r="AL21" i="5"/>
  <c r="AN11" i="5"/>
  <c r="AL6" i="12"/>
  <c r="AJ64" i="15"/>
  <c r="AL64" i="15"/>
  <c r="AL138" i="15"/>
  <c r="AJ138" i="15"/>
  <c r="AL156" i="15"/>
  <c r="AJ156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N8" i="12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44" i="15"/>
  <c r="AJ144" i="15"/>
  <c r="AL162" i="15"/>
  <c r="AJ162" i="15"/>
  <c r="AL180" i="15"/>
  <c r="AJ180" i="15"/>
  <c r="AL198" i="15"/>
  <c r="AJ198" i="15"/>
  <c r="AJ24" i="5"/>
  <c r="AN31" i="5"/>
  <c r="AL125" i="15"/>
  <c r="AL131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39" i="15"/>
  <c r="AJ145" i="15"/>
  <c r="AJ151" i="15"/>
  <c r="AJ157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34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28" i="15"/>
  <c r="AJ134" i="15"/>
  <c r="AJ140" i="15"/>
  <c r="AJ146" i="15"/>
  <c r="AJ152" i="15"/>
  <c r="AJ158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8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3" i="15"/>
  <c r="AJ129" i="15"/>
  <c r="AJ135" i="15"/>
  <c r="AJ141" i="15"/>
  <c r="AJ147" i="15"/>
  <c r="AJ153" i="15"/>
  <c r="AJ159" i="15"/>
  <c r="AJ165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6" i="16"/>
  <c r="AJ6" i="16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J61" i="20"/>
  <c r="AL66" i="20"/>
  <c r="AJ67" i="20"/>
  <c r="AL72" i="20"/>
  <c r="AJ73" i="20"/>
  <c r="AL78" i="20"/>
  <c r="AJ79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68" i="20"/>
  <c r="AJ74" i="20"/>
  <c r="AJ80" i="20"/>
  <c r="AJ13" i="21"/>
  <c r="AL23" i="21"/>
  <c r="AJ24" i="21"/>
  <c r="AL33" i="22"/>
  <c r="AL41" i="22"/>
  <c r="AL55" i="22"/>
  <c r="AJ55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L5" i="19"/>
  <c r="AJ23" i="19"/>
  <c r="AJ58" i="20"/>
  <c r="AJ64" i="20"/>
  <c r="AJ70" i="20"/>
  <c r="AJ76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15" i="20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9" i="25"/>
  <c r="AJ13" i="25"/>
  <c r="AJ17" i="25"/>
  <c r="AL17" i="25"/>
  <c r="AL19" i="25"/>
  <c r="AL14" i="26"/>
  <c r="AJ14" i="26"/>
  <c r="AJ16" i="26"/>
  <c r="AL40" i="28"/>
  <c r="AJ40" i="28"/>
  <c r="AL32" i="29"/>
  <c r="AJ32" i="29"/>
  <c r="AL30" i="31"/>
  <c r="AJ30" i="31"/>
  <c r="AL31" i="31"/>
  <c r="AL37" i="31"/>
  <c r="AL43" i="31"/>
  <c r="AL49" i="31"/>
  <c r="AL55" i="31"/>
  <c r="AL109" i="32"/>
  <c r="AJ109" i="32"/>
  <c r="AL119" i="32"/>
  <c r="AJ119" i="32"/>
  <c r="AL17" i="27"/>
  <c r="AJ17" i="27"/>
  <c r="AJ21" i="30"/>
  <c r="AL21" i="30"/>
  <c r="AL36" i="31"/>
  <c r="AJ36" i="31"/>
  <c r="AL42" i="31"/>
  <c r="AJ42" i="31"/>
  <c r="AL48" i="31"/>
  <c r="AJ48" i="31"/>
  <c r="AL54" i="31"/>
  <c r="AJ54" i="31"/>
  <c r="AL87" i="32"/>
  <c r="AJ87" i="32"/>
  <c r="AJ125" i="32"/>
  <c r="AL125" i="32"/>
  <c r="AL45" i="22"/>
  <c r="AL48" i="22"/>
  <c r="AL51" i="22"/>
  <c r="AJ17" i="69"/>
  <c r="AN25" i="69"/>
  <c r="AL15" i="23"/>
  <c r="AN9" i="24"/>
  <c r="AL21" i="26"/>
  <c r="AJ39" i="28"/>
  <c r="AL22" i="30"/>
  <c r="AJ22" i="30"/>
  <c r="AJ29" i="31"/>
  <c r="AL29" i="31"/>
  <c r="AL31" i="32"/>
  <c r="AL100" i="32"/>
  <c r="AJ100" i="32"/>
  <c r="AJ108" i="32"/>
  <c r="AL108" i="32"/>
  <c r="AJ41" i="22"/>
  <c r="AJ20" i="69"/>
  <c r="S27" i="68"/>
  <c r="AJ6" i="23"/>
  <c r="AN5" i="25"/>
  <c r="AL20" i="26"/>
  <c r="AJ20" i="26"/>
  <c r="AL37" i="28"/>
  <c r="AL48" i="28"/>
  <c r="AJ48" i="28"/>
  <c r="AL20" i="30"/>
  <c r="AJ35" i="31"/>
  <c r="AL35" i="31"/>
  <c r="AJ41" i="31"/>
  <c r="AL41" i="31"/>
  <c r="AJ47" i="31"/>
  <c r="AL47" i="31"/>
  <c r="AJ53" i="31"/>
  <c r="AL53" i="31"/>
  <c r="AJ59" i="31"/>
  <c r="AL59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0" i="31"/>
  <c r="AJ40" i="31"/>
  <c r="AL46" i="31"/>
  <c r="AJ46" i="31"/>
  <c r="AL52" i="31"/>
  <c r="AJ52" i="31"/>
  <c r="AL58" i="31"/>
  <c r="AJ58" i="31"/>
  <c r="AL22" i="32"/>
  <c r="AL98" i="32"/>
  <c r="AL107" i="32"/>
  <c r="AJ107" i="32"/>
  <c r="AL18" i="26"/>
  <c r="AJ18" i="26"/>
  <c r="AL36" i="29"/>
  <c r="AJ36" i="29"/>
  <c r="AL24" i="30"/>
  <c r="AJ24" i="30"/>
  <c r="AL105" i="32"/>
  <c r="AJ105" i="32"/>
  <c r="AL112" i="32"/>
  <c r="AJ112" i="32"/>
  <c r="AN5" i="72"/>
  <c r="AL7" i="24"/>
  <c r="AJ17" i="26"/>
  <c r="AL17" i="26"/>
  <c r="AL43" i="28"/>
  <c r="AJ43" i="28"/>
  <c r="AJ44" i="28"/>
  <c r="AL39" i="31"/>
  <c r="AJ39" i="31"/>
  <c r="AL45" i="31"/>
  <c r="AJ45" i="31"/>
  <c r="AL51" i="31"/>
  <c r="AJ51" i="31"/>
  <c r="AL57" i="31"/>
  <c r="AJ57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03" i="32"/>
  <c r="AJ103" i="32"/>
  <c r="AL104" i="32"/>
  <c r="AL111" i="32"/>
  <c r="AJ111" i="32"/>
  <c r="AL12" i="23"/>
  <c r="AJ10" i="24"/>
  <c r="AL23" i="30"/>
  <c r="AJ23" i="30"/>
  <c r="AL32" i="31"/>
  <c r="AJ32" i="31"/>
  <c r="AL38" i="31"/>
  <c r="AJ38" i="31"/>
  <c r="AL44" i="31"/>
  <c r="AJ44" i="31"/>
  <c r="AL50" i="31"/>
  <c r="AJ50" i="31"/>
  <c r="AL56" i="31"/>
  <c r="AJ56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2" i="32"/>
  <c r="AJ98" i="32"/>
  <c r="AL124" i="32"/>
  <c r="AJ124" i="32"/>
  <c r="AJ129" i="32"/>
  <c r="AJ133" i="32"/>
  <c r="AL145" i="32"/>
  <c r="AJ145" i="32"/>
  <c r="AJ18" i="33"/>
  <c r="AL18" i="33"/>
  <c r="AL14" i="37"/>
  <c r="AJ14" i="37"/>
  <c r="AJ23" i="37"/>
  <c r="AL23" i="37"/>
  <c r="AL18" i="38"/>
  <c r="AJ18" i="38"/>
  <c r="S38" i="68"/>
  <c r="AJ104" i="32"/>
  <c r="AJ110" i="32"/>
  <c r="AJ132" i="32"/>
  <c r="AJ143" i="32"/>
  <c r="AL143" i="32"/>
  <c r="AJ147" i="32"/>
  <c r="AL157" i="32"/>
  <c r="AJ157" i="32"/>
  <c r="AL160" i="32"/>
  <c r="AL168" i="32"/>
  <c r="AJ168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5" i="31"/>
  <c r="AN16" i="32"/>
  <c r="AL114" i="32"/>
  <c r="AJ120" i="32"/>
  <c r="AL120" i="32"/>
  <c r="AL164" i="32"/>
  <c r="AJ164" i="32"/>
  <c r="AL165" i="32"/>
  <c r="AJ166" i="32"/>
  <c r="AL7" i="33"/>
  <c r="AL8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N26" i="31"/>
  <c r="AL28" i="32"/>
  <c r="AJ88" i="32"/>
  <c r="AJ94" i="32"/>
  <c r="AL122" i="32"/>
  <c r="AL142" i="32"/>
  <c r="AJ142" i="32"/>
  <c r="AJ23" i="33"/>
  <c r="AL23" i="33"/>
  <c r="AL7" i="34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S36" i="6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0" i="32"/>
  <c r="AL151" i="32"/>
  <c r="AJ151" i="32"/>
  <c r="AL163" i="32"/>
  <c r="AJ163" i="32"/>
  <c r="AL21" i="33"/>
  <c r="AJ21" i="33"/>
  <c r="AL6" i="34"/>
  <c r="AJ7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62" i="32"/>
  <c r="AJ162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L5" i="32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0" i="32"/>
  <c r="AJ156" i="32"/>
  <c r="AJ9" i="33"/>
  <c r="AJ24" i="33"/>
  <c r="AJ10" i="34"/>
  <c r="AJ14" i="36"/>
  <c r="AJ12" i="38"/>
  <c r="AJ13" i="38"/>
  <c r="AN5" i="37"/>
  <c r="S46" i="68"/>
  <c r="S47" i="68" s="1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N5" i="33"/>
  <c r="AL42" i="66"/>
  <c r="AJ42" i="66"/>
  <c r="AJ54" i="66"/>
  <c r="AL54" i="66"/>
  <c r="AJ66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1" i="39"/>
  <c r="AJ11" i="39"/>
  <c r="AL12" i="39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L60" i="66"/>
  <c r="AJ60" i="66"/>
  <c r="AJ72" i="66"/>
  <c r="AL72" i="66"/>
  <c r="AL84" i="66"/>
  <c r="AJ84" i="66"/>
  <c r="AL96" i="66"/>
  <c r="AJ96" i="66"/>
  <c r="AL10" i="39"/>
  <c r="AJ10" i="39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L13" i="40"/>
  <c r="AJ13" i="40"/>
  <c r="AJ21" i="40"/>
  <c r="AL21" i="40"/>
  <c r="AL58" i="66"/>
  <c r="AL67" i="66"/>
  <c r="AL94" i="66"/>
  <c r="AL103" i="66"/>
  <c r="AL130" i="66"/>
  <c r="AJ12" i="39"/>
  <c r="AL17" i="39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0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43" i="66"/>
  <c r="AJ61" i="66"/>
  <c r="AJ70" i="66"/>
  <c r="AJ79" i="66"/>
  <c r="AJ97" i="66"/>
  <c r="AJ106" i="66"/>
  <c r="AJ124" i="66"/>
  <c r="AJ15" i="39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14" i="44"/>
  <c r="AJ14" i="44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6" i="40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L24" i="51"/>
  <c r="AJ24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S14" i="67"/>
  <c r="AN10" i="46"/>
  <c r="AN30" i="46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N8" i="44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N27" i="46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22" i="51"/>
  <c r="AL22" i="51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0" i="51"/>
  <c r="AJ20" i="51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N21" i="46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L10" i="44"/>
  <c r="AN18" i="46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3" i="58"/>
  <c r="AL18" i="58"/>
  <c r="AJ18" i="58"/>
  <c r="AL23" i="58"/>
  <c r="AJ23" i="58"/>
  <c r="AL20" i="59"/>
  <c r="AJ20" i="59"/>
  <c r="AL20" i="60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N12" i="51"/>
  <c r="AJ20" i="54"/>
  <c r="AL12" i="55"/>
  <c r="AJ12" i="55"/>
  <c r="AL12" i="58"/>
  <c r="AJ12" i="58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J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17" i="58"/>
  <c r="AJ17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21" i="58"/>
  <c r="AJ21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L15" i="58"/>
  <c r="AJ15" i="58"/>
  <c r="AL20" i="58"/>
  <c r="AJ20" i="58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N5" i="71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P22" i="50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5" i="60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24" i="60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4" i="67"/>
  <c r="W5" i="60"/>
  <c r="W14" i="60"/>
  <c r="W9" i="60"/>
  <c r="U12" i="60"/>
  <c r="W17" i="60"/>
  <c r="W20" i="60"/>
  <c r="W23" i="60"/>
  <c r="W6" i="60"/>
  <c r="U10" i="60"/>
  <c r="W15" i="60"/>
  <c r="U18" i="60"/>
  <c r="S34" i="67"/>
  <c r="U7" i="60"/>
  <c r="AJ8" i="60"/>
  <c r="U13" i="60"/>
  <c r="W18" i="60"/>
  <c r="W21" i="60"/>
  <c r="W24" i="60"/>
  <c r="U24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A16" i="60" s="1"/>
  <c r="F34" i="67" s="1"/>
  <c r="W8" i="60"/>
  <c r="W11" i="60"/>
  <c r="AJ5" i="59"/>
  <c r="AL5" i="59"/>
  <c r="AL11" i="59"/>
  <c r="AJ11" i="59"/>
  <c r="AL6" i="59"/>
  <c r="AJ6" i="59"/>
  <c r="AJ9" i="59"/>
  <c r="AL9" i="59"/>
  <c r="AN13" i="59"/>
  <c r="AL8" i="59"/>
  <c r="AJ8" i="59"/>
  <c r="AL13" i="59"/>
  <c r="AJ13" i="59"/>
  <c r="AL12" i="59"/>
  <c r="AJ12" i="59"/>
  <c r="U5" i="59"/>
  <c r="W11" i="59"/>
  <c r="U14" i="59"/>
  <c r="AD8" i="59"/>
  <c r="AN8" i="59" s="1"/>
  <c r="AD11" i="59"/>
  <c r="W14" i="59"/>
  <c r="X14" i="59" s="1"/>
  <c r="AE11" i="59"/>
  <c r="AD5" i="59"/>
  <c r="U6" i="59"/>
  <c r="AJ7" i="59"/>
  <c r="AJ10" i="59"/>
  <c r="U15" i="59"/>
  <c r="W12" i="59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7" i="58"/>
  <c r="AJ7" i="58"/>
  <c r="AL9" i="58"/>
  <c r="AJ9" i="58"/>
  <c r="AL6" i="58"/>
  <c r="AJ6" i="58"/>
  <c r="AJ5" i="58"/>
  <c r="AL5" i="58"/>
  <c r="U8" i="58"/>
  <c r="U11" i="58"/>
  <c r="L30" i="67"/>
  <c r="AH6" i="58"/>
  <c r="AI6" i="58" s="1"/>
  <c r="W16" i="58"/>
  <c r="W19" i="58"/>
  <c r="W22" i="58"/>
  <c r="P30" i="67"/>
  <c r="W11" i="58"/>
  <c r="X11" i="58" s="1"/>
  <c r="U14" i="58"/>
  <c r="U9" i="58"/>
  <c r="U17" i="58"/>
  <c r="U20" i="58"/>
  <c r="U23" i="58"/>
  <c r="AD8" i="58"/>
  <c r="AN8" i="58" s="1"/>
  <c r="W14" i="58"/>
  <c r="W9" i="58"/>
  <c r="U12" i="58"/>
  <c r="W17" i="58"/>
  <c r="W20" i="58"/>
  <c r="W23" i="58"/>
  <c r="X23" i="58" s="1"/>
  <c r="U6" i="58"/>
  <c r="A16" i="58" s="1"/>
  <c r="F32" i="67" s="1"/>
  <c r="U15" i="58"/>
  <c r="AD9" i="58"/>
  <c r="AN9" i="58" s="1"/>
  <c r="W12" i="58"/>
  <c r="U18" i="58"/>
  <c r="U21" i="58"/>
  <c r="U24" i="58"/>
  <c r="U10" i="58"/>
  <c r="W15" i="58"/>
  <c r="U13" i="58"/>
  <c r="W18" i="58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AJ24" i="57"/>
  <c r="W26" i="57"/>
  <c r="X26" i="57" s="1"/>
  <c r="AJ27" i="57"/>
  <c r="W29" i="57"/>
  <c r="X29" i="57" s="1"/>
  <c r="AJ30" i="57"/>
  <c r="W32" i="57"/>
  <c r="X32" i="57" s="1"/>
  <c r="AJ33" i="57"/>
  <c r="W35" i="57"/>
  <c r="W38" i="57"/>
  <c r="W41" i="57"/>
  <c r="W44" i="57"/>
  <c r="X44" i="57" s="1"/>
  <c r="W47" i="57"/>
  <c r="U15" i="57"/>
  <c r="AD9" i="57"/>
  <c r="AN9" i="57" s="1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A16" i="55" s="1"/>
  <c r="F28" i="67" s="1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5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L35" i="67"/>
  <c r="W9" i="71"/>
  <c r="U12" i="71"/>
  <c r="W17" i="71"/>
  <c r="W20" i="71"/>
  <c r="W23" i="71"/>
  <c r="P23" i="67"/>
  <c r="U15" i="71"/>
  <c r="W12" i="71"/>
  <c r="U18" i="71"/>
  <c r="U21" i="71"/>
  <c r="U24" i="71"/>
  <c r="W6" i="71"/>
  <c r="X6" i="71" s="1"/>
  <c r="U10" i="71"/>
  <c r="W15" i="71"/>
  <c r="U13" i="71"/>
  <c r="W18" i="71"/>
  <c r="W21" i="71"/>
  <c r="W24" i="71"/>
  <c r="AL22" i="53"/>
  <c r="AJ22" i="53"/>
  <c r="AJ6" i="53"/>
  <c r="K23" i="67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5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3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L23" i="67"/>
  <c r="AD5" i="53"/>
  <c r="AN5" i="53" s="1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A16" i="52" s="1"/>
  <c r="F20" i="67" s="1"/>
  <c r="U11" i="52"/>
  <c r="AH6" i="52"/>
  <c r="AI6" i="52" s="1"/>
  <c r="AJ6" i="52" s="1"/>
  <c r="AD7" i="52"/>
  <c r="AN7" i="52" s="1"/>
  <c r="W16" i="52"/>
  <c r="X16" i="52" s="1"/>
  <c r="W19" i="52"/>
  <c r="W22" i="52"/>
  <c r="U17" i="52"/>
  <c r="U20" i="52"/>
  <c r="U23" i="52"/>
  <c r="AH7" i="52"/>
  <c r="AI7" i="52" s="1"/>
  <c r="AL7" i="52" s="1"/>
  <c r="AD8" i="52"/>
  <c r="AN8" i="52" s="1"/>
  <c r="W14" i="52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W24" i="52"/>
  <c r="AN5" i="51"/>
  <c r="AJ8" i="51"/>
  <c r="AL8" i="51"/>
  <c r="AJ16" i="51"/>
  <c r="AL16" i="51"/>
  <c r="AL7" i="51"/>
  <c r="AJ7" i="51"/>
  <c r="AJ13" i="51"/>
  <c r="AL13" i="51"/>
  <c r="AL11" i="51"/>
  <c r="AJ11" i="51"/>
  <c r="AL15" i="51"/>
  <c r="AJ15" i="51"/>
  <c r="AD15" i="51"/>
  <c r="AJ5" i="51"/>
  <c r="AH9" i="51"/>
  <c r="AI9" i="51" s="1"/>
  <c r="AJ9" i="51" s="1"/>
  <c r="W13" i="51"/>
  <c r="AE15" i="51"/>
  <c r="U16" i="51"/>
  <c r="U19" i="51"/>
  <c r="U22" i="51"/>
  <c r="AJ14" i="51"/>
  <c r="AH6" i="51"/>
  <c r="AI6" i="51" s="1"/>
  <c r="AL6" i="51" s="1"/>
  <c r="AD7" i="51"/>
  <c r="AD13" i="51"/>
  <c r="AN13" i="51" s="1"/>
  <c r="W16" i="51"/>
  <c r="W19" i="51"/>
  <c r="W22" i="51"/>
  <c r="X22" i="51" s="1"/>
  <c r="U5" i="51"/>
  <c r="W11" i="5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AN14" i="51" s="1"/>
  <c r="U15" i="51"/>
  <c r="W12" i="5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7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W13" i="47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W28" i="47"/>
  <c r="W31" i="47"/>
  <c r="X31" i="47" s="1"/>
  <c r="W34" i="47"/>
  <c r="W37" i="47"/>
  <c r="W40" i="47"/>
  <c r="W43" i="47"/>
  <c r="X43" i="47" s="1"/>
  <c r="W46" i="47"/>
  <c r="W49" i="47"/>
  <c r="X49" i="47" s="1"/>
  <c r="W52" i="47"/>
  <c r="X52" i="47" s="1"/>
  <c r="W55" i="47"/>
  <c r="W58" i="47"/>
  <c r="W61" i="47"/>
  <c r="W64" i="47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W44" i="47"/>
  <c r="X44" i="47" s="1"/>
  <c r="W47" i="47"/>
  <c r="W50" i="47"/>
  <c r="X50" i="47" s="1"/>
  <c r="W53" i="47"/>
  <c r="X53" i="47" s="1"/>
  <c r="W56" i="47"/>
  <c r="W59" i="47"/>
  <c r="W62" i="47"/>
  <c r="W65" i="47"/>
  <c r="AJ7" i="47"/>
  <c r="U15" i="47"/>
  <c r="AN6" i="47"/>
  <c r="W12" i="47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N15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8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X52" i="46" s="1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AJ8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N9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AN10" i="44" s="1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Z10" i="43"/>
  <c r="AB10" i="43" s="1"/>
  <c r="AO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A14" i="43"/>
  <c r="AC14" i="43" s="1"/>
  <c r="Z14" i="43"/>
  <c r="AB14" i="43" s="1"/>
  <c r="AO14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S11" i="67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P7" i="67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K7" i="67"/>
  <c r="U5" i="40"/>
  <c r="W11" i="40"/>
  <c r="U14" i="40"/>
  <c r="AJ6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L7" i="67"/>
  <c r="W13" i="40"/>
  <c r="U16" i="40"/>
  <c r="U19" i="40"/>
  <c r="AL5" i="39"/>
  <c r="AJ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1" i="67"/>
  <c r="L22" i="67" s="1"/>
  <c r="AD6" i="39"/>
  <c r="W10" i="39"/>
  <c r="P21" i="67"/>
  <c r="P22" i="67" s="1"/>
  <c r="J21" i="67"/>
  <c r="J22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J11" i="66"/>
  <c r="AL11" i="66"/>
  <c r="AL16" i="66"/>
  <c r="AL19" i="66"/>
  <c r="AL22" i="66"/>
  <c r="AL25" i="66"/>
  <c r="AL28" i="66"/>
  <c r="AL31" i="66"/>
  <c r="AL34" i="66"/>
  <c r="AJ36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L33" i="66"/>
  <c r="AJ33" i="66"/>
  <c r="AL24" i="66"/>
  <c r="AJ24" i="66"/>
  <c r="AL10" i="66"/>
  <c r="AJ14" i="66"/>
  <c r="AN15" i="66"/>
  <c r="AL38" i="66"/>
  <c r="AJ38" i="66"/>
  <c r="AL27" i="66"/>
  <c r="AJ27" i="66"/>
  <c r="AL35" i="66"/>
  <c r="AJ35" i="66"/>
  <c r="AL13" i="66"/>
  <c r="AJ13" i="66"/>
  <c r="AL40" i="66"/>
  <c r="AJ40" i="66"/>
  <c r="AL9" i="66"/>
  <c r="AJ9" i="66"/>
  <c r="AL21" i="66"/>
  <c r="AJ21" i="66"/>
  <c r="AL6" i="66"/>
  <c r="AJ6" i="66"/>
  <c r="AL30" i="66"/>
  <c r="AJ30" i="66"/>
  <c r="AL37" i="66"/>
  <c r="AJ37" i="66"/>
  <c r="AL8" i="66"/>
  <c r="AJ12" i="66"/>
  <c r="AL12" i="66"/>
  <c r="AL39" i="66"/>
  <c r="AJ39" i="66"/>
  <c r="U5" i="66"/>
  <c r="AE7" i="66"/>
  <c r="AN7" i="66" s="1"/>
  <c r="AD10" i="66"/>
  <c r="U11" i="66"/>
  <c r="AE18" i="66"/>
  <c r="AN18" i="66" s="1"/>
  <c r="AE21" i="66"/>
  <c r="AN21" i="66" s="1"/>
  <c r="AE24" i="66"/>
  <c r="AN24" i="66" s="1"/>
  <c r="AE27" i="66"/>
  <c r="AE30" i="66"/>
  <c r="AN30" i="66" s="1"/>
  <c r="AE33" i="66"/>
  <c r="AN33" i="66" s="1"/>
  <c r="AE36" i="66"/>
  <c r="AE39" i="66"/>
  <c r="AN39" i="66" s="1"/>
  <c r="K6" i="2"/>
  <c r="W11" i="66"/>
  <c r="U14" i="66"/>
  <c r="U6" i="66"/>
  <c r="AE8" i="66"/>
  <c r="AN8" i="66" s="1"/>
  <c r="W14" i="66"/>
  <c r="AE16" i="66"/>
  <c r="AN16" i="66" s="1"/>
  <c r="AE19" i="66"/>
  <c r="AE22" i="66"/>
  <c r="AN22" i="66" s="1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X98" i="66" s="1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X21" i="66" s="1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X42" i="66" s="1"/>
  <c r="W45" i="66"/>
  <c r="W48" i="66"/>
  <c r="W51" i="66"/>
  <c r="W54" i="66"/>
  <c r="W57" i="66"/>
  <c r="W60" i="66"/>
  <c r="W63" i="66"/>
  <c r="W66" i="66"/>
  <c r="W69" i="66"/>
  <c r="W72" i="66"/>
  <c r="W75" i="66"/>
  <c r="W78" i="66"/>
  <c r="X78" i="66" s="1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X114" i="66" s="1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L6" i="38"/>
  <c r="AJ5" i="38"/>
  <c r="AL5" i="38"/>
  <c r="AN6" i="38"/>
  <c r="AH6" i="38"/>
  <c r="AI6" i="38" s="1"/>
  <c r="W16" i="38"/>
  <c r="X16" i="38" s="1"/>
  <c r="W19" i="38"/>
  <c r="W22" i="38"/>
  <c r="W8" i="38"/>
  <c r="W11" i="38"/>
  <c r="U14" i="38"/>
  <c r="AJ6" i="38"/>
  <c r="U17" i="38"/>
  <c r="U20" i="38"/>
  <c r="U23" i="38"/>
  <c r="L51" i="68"/>
  <c r="W14" i="38"/>
  <c r="W9" i="38"/>
  <c r="X9" i="38" s="1"/>
  <c r="U12" i="38"/>
  <c r="W17" i="38"/>
  <c r="W20" i="38"/>
  <c r="W23" i="38"/>
  <c r="S51" i="68"/>
  <c r="U15" i="38"/>
  <c r="C51" i="2"/>
  <c r="W12" i="38"/>
  <c r="U18" i="38"/>
  <c r="U21" i="38"/>
  <c r="U24" i="38"/>
  <c r="W6" i="38"/>
  <c r="U10" i="38"/>
  <c r="W15" i="38"/>
  <c r="K51" i="68"/>
  <c r="U13" i="38"/>
  <c r="W18" i="38"/>
  <c r="X18" i="38" s="1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6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L8" i="32"/>
  <c r="AJ8" i="32"/>
  <c r="AL40" i="32"/>
  <c r="AJ40" i="32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35" i="32"/>
  <c r="AJ35" i="32"/>
  <c r="AL6" i="32"/>
  <c r="AJ42" i="32"/>
  <c r="AL42" i="32"/>
  <c r="AL63" i="32"/>
  <c r="AJ21" i="32"/>
  <c r="AL21" i="32"/>
  <c r="AL38" i="32"/>
  <c r="AJ38" i="32"/>
  <c r="AL16" i="32"/>
  <c r="AJ16" i="32"/>
  <c r="AJ30" i="32"/>
  <c r="AL30" i="32"/>
  <c r="AL20" i="32"/>
  <c r="AJ20" i="32"/>
  <c r="AL37" i="32"/>
  <c r="AJ37" i="32"/>
  <c r="AL41" i="32"/>
  <c r="AJ41" i="32"/>
  <c r="AL11" i="32"/>
  <c r="AL29" i="32"/>
  <c r="AJ29" i="32"/>
  <c r="AL51" i="32"/>
  <c r="AL64" i="32"/>
  <c r="AH77" i="32"/>
  <c r="AI77" i="32" s="1"/>
  <c r="AJ77" i="32" s="1"/>
  <c r="AE77" i="32"/>
  <c r="AD77" i="32"/>
  <c r="AH67" i="32"/>
  <c r="AI67" i="32" s="1"/>
  <c r="AE67" i="32"/>
  <c r="AD67" i="32"/>
  <c r="U13" i="32"/>
  <c r="AJ19" i="32"/>
  <c r="AJ22" i="32"/>
  <c r="AJ25" i="32"/>
  <c r="AJ28" i="32"/>
  <c r="AJ31" i="32"/>
  <c r="W33" i="32"/>
  <c r="AJ34" i="32"/>
  <c r="W36" i="32"/>
  <c r="W39" i="32"/>
  <c r="W42" i="32"/>
  <c r="W85" i="32"/>
  <c r="W106" i="32"/>
  <c r="W142" i="32"/>
  <c r="AJ5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AL47" i="32"/>
  <c r="W79" i="32"/>
  <c r="W112" i="32"/>
  <c r="W148" i="32"/>
  <c r="AD7" i="32"/>
  <c r="AD10" i="32"/>
  <c r="U11" i="32"/>
  <c r="AE18" i="32"/>
  <c r="AN18" i="32" s="1"/>
  <c r="AE21" i="32"/>
  <c r="AN21" i="32" s="1"/>
  <c r="AE24" i="32"/>
  <c r="AN24" i="32" s="1"/>
  <c r="AE27" i="32"/>
  <c r="AE30" i="32"/>
  <c r="AE33" i="32"/>
  <c r="AN33" i="32" s="1"/>
  <c r="AE36" i="32"/>
  <c r="AN36" i="32" s="1"/>
  <c r="AE39" i="32"/>
  <c r="AN39" i="32" s="1"/>
  <c r="AE42" i="32"/>
  <c r="AN42" i="32" s="1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L67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J67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AL76" i="32"/>
  <c r="AJ76" i="32"/>
  <c r="W88" i="32"/>
  <c r="W124" i="32"/>
  <c r="W160" i="32"/>
  <c r="AD11" i="32"/>
  <c r="AN11" i="32" s="1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AN86" i="32" s="1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X114" i="32" s="1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X122" i="32" s="1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N14" i="31"/>
  <c r="AL24" i="31"/>
  <c r="AJ24" i="31"/>
  <c r="AL19" i="31"/>
  <c r="AL9" i="31"/>
  <c r="AJ13" i="31"/>
  <c r="AL13" i="31"/>
  <c r="AL28" i="31"/>
  <c r="AJ28" i="31"/>
  <c r="AL14" i="31"/>
  <c r="AJ14" i="31"/>
  <c r="AL16" i="31"/>
  <c r="AL21" i="31"/>
  <c r="AJ21" i="31"/>
  <c r="AL6" i="31"/>
  <c r="AJ6" i="31"/>
  <c r="AL25" i="31"/>
  <c r="AJ25" i="31"/>
  <c r="AL5" i="31"/>
  <c r="AL11" i="31"/>
  <c r="AJ11" i="31"/>
  <c r="AJ15" i="31"/>
  <c r="AL27" i="31"/>
  <c r="AJ27" i="31"/>
  <c r="U7" i="31"/>
  <c r="A16" i="31" s="1"/>
  <c r="F41" i="68" s="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39" i="31"/>
  <c r="W42" i="31"/>
  <c r="W45" i="31"/>
  <c r="W48" i="31"/>
  <c r="W51" i="31"/>
  <c r="W54" i="31"/>
  <c r="W57" i="31"/>
  <c r="AJ5" i="31"/>
  <c r="W7" i="31"/>
  <c r="AH9" i="31"/>
  <c r="AI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7" i="31"/>
  <c r="U40" i="31"/>
  <c r="U43" i="31"/>
  <c r="U46" i="31"/>
  <c r="U49" i="31"/>
  <c r="U52" i="31"/>
  <c r="U55" i="31"/>
  <c r="U58" i="31"/>
  <c r="U8" i="31"/>
  <c r="AD10" i="31"/>
  <c r="U11" i="31"/>
  <c r="AE18" i="31"/>
  <c r="AE21" i="31"/>
  <c r="AE24" i="31"/>
  <c r="AE27" i="31"/>
  <c r="AD7" i="31"/>
  <c r="AJ9" i="31"/>
  <c r="AD13" i="31"/>
  <c r="W16" i="31"/>
  <c r="W19" i="31"/>
  <c r="W22" i="31"/>
  <c r="W25" i="31"/>
  <c r="W28" i="31"/>
  <c r="W31" i="31"/>
  <c r="W34" i="31"/>
  <c r="W37" i="31"/>
  <c r="W40" i="31"/>
  <c r="W43" i="31"/>
  <c r="W46" i="31"/>
  <c r="W49" i="31"/>
  <c r="W52" i="31"/>
  <c r="W55" i="31"/>
  <c r="W58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8" i="31"/>
  <c r="U41" i="31"/>
  <c r="U44" i="31"/>
  <c r="U47" i="31"/>
  <c r="U50" i="31"/>
  <c r="U53" i="31"/>
  <c r="U56" i="31"/>
  <c r="U59" i="31"/>
  <c r="W5" i="31"/>
  <c r="AD8" i="31"/>
  <c r="AN8" i="31" s="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8" i="31"/>
  <c r="W41" i="31"/>
  <c r="W44" i="31"/>
  <c r="W47" i="31"/>
  <c r="W50" i="31"/>
  <c r="W53" i="31"/>
  <c r="W56" i="31"/>
  <c r="W59" i="31"/>
  <c r="U15" i="31"/>
  <c r="W12" i="31"/>
  <c r="U18" i="31"/>
  <c r="U21" i="31"/>
  <c r="U24" i="31"/>
  <c r="U27" i="31"/>
  <c r="U30" i="31"/>
  <c r="U33" i="31"/>
  <c r="U36" i="31"/>
  <c r="U39" i="31"/>
  <c r="U42" i="31"/>
  <c r="U45" i="31"/>
  <c r="U48" i="31"/>
  <c r="U51" i="31"/>
  <c r="U54" i="31"/>
  <c r="AJ7" i="30"/>
  <c r="AL7" i="30"/>
  <c r="AL10" i="30"/>
  <c r="AJ10" i="30"/>
  <c r="AL5" i="30"/>
  <c r="AJ5" i="30"/>
  <c r="AL17" i="30"/>
  <c r="AL13" i="30"/>
  <c r="AJ13" i="30"/>
  <c r="AN14" i="30"/>
  <c r="AL16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7" i="68"/>
  <c r="U7" i="30"/>
  <c r="U13" i="30"/>
  <c r="W18" i="30"/>
  <c r="AJ19" i="30"/>
  <c r="W21" i="30"/>
  <c r="W24" i="30"/>
  <c r="W10" i="30"/>
  <c r="X10" i="30" s="1"/>
  <c r="W7" i="30"/>
  <c r="W13" i="30"/>
  <c r="X13" i="30" s="1"/>
  <c r="AE15" i="30"/>
  <c r="U16" i="30"/>
  <c r="AD18" i="30"/>
  <c r="U19" i="30"/>
  <c r="U22" i="30"/>
  <c r="U8" i="30"/>
  <c r="U11" i="30"/>
  <c r="AE18" i="30"/>
  <c r="H40" i="68"/>
  <c r="AJ9" i="30"/>
  <c r="W16" i="30"/>
  <c r="X16" i="30" s="1"/>
  <c r="AJ17" i="30"/>
  <c r="W19" i="30"/>
  <c r="W22" i="30"/>
  <c r="U5" i="30"/>
  <c r="W8" i="30"/>
  <c r="W11" i="30"/>
  <c r="U14" i="30"/>
  <c r="U9" i="30"/>
  <c r="AD16" i="30"/>
  <c r="AN16" i="30" s="1"/>
  <c r="U17" i="30"/>
  <c r="AD19" i="30"/>
  <c r="AN19" i="30" s="1"/>
  <c r="U20" i="30"/>
  <c r="U23" i="30"/>
  <c r="U15" i="30"/>
  <c r="W5" i="30"/>
  <c r="W14" i="30"/>
  <c r="X23" i="30"/>
  <c r="Z23" i="30" s="1"/>
  <c r="AB23" i="30" s="1"/>
  <c r="AO23" i="30" s="1"/>
  <c r="W9" i="30"/>
  <c r="U12" i="30"/>
  <c r="W17" i="30"/>
  <c r="W20" i="30"/>
  <c r="AL17" i="29"/>
  <c r="AL11" i="29"/>
  <c r="AL22" i="29"/>
  <c r="AL15" i="29"/>
  <c r="AL24" i="29"/>
  <c r="AL8" i="29"/>
  <c r="AJ8" i="29"/>
  <c r="AL9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7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7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N14" i="28"/>
  <c r="AL7" i="28"/>
  <c r="AJ7" i="28"/>
  <c r="AL11" i="28"/>
  <c r="AJ11" i="28"/>
  <c r="AL19" i="28"/>
  <c r="AJ32" i="28"/>
  <c r="AL10" i="28"/>
  <c r="AJ10" i="28"/>
  <c r="AL16" i="28"/>
  <c r="AN15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N16" i="28" s="1"/>
  <c r="AE19" i="28"/>
  <c r="AN19" i="28" s="1"/>
  <c r="AE22" i="28"/>
  <c r="AE25" i="28"/>
  <c r="AN25" i="28" s="1"/>
  <c r="AE28" i="28"/>
  <c r="AN28" i="28" s="1"/>
  <c r="AE31" i="28"/>
  <c r="AN31" i="28" s="1"/>
  <c r="AE34" i="28"/>
  <c r="AN34" i="28" s="1"/>
  <c r="W9" i="28"/>
  <c r="U12" i="28"/>
  <c r="AL12" i="28"/>
  <c r="W17" i="28"/>
  <c r="AJ18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X44" i="28" s="1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AN5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16" i="28" s="1"/>
  <c r="F38" i="68" s="1"/>
  <c r="AJ8" i="28"/>
  <c r="U13" i="28"/>
  <c r="AJ16" i="28"/>
  <c r="W18" i="28"/>
  <c r="AJ19" i="28"/>
  <c r="W21" i="28"/>
  <c r="AJ22" i="28"/>
  <c r="W24" i="28"/>
  <c r="W27" i="28"/>
  <c r="W30" i="28"/>
  <c r="W33" i="28"/>
  <c r="W36" i="28"/>
  <c r="X36" i="28" s="1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AN27" i="28" s="1"/>
  <c r="U28" i="28"/>
  <c r="AD30" i="28"/>
  <c r="AN30" i="28" s="1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9" i="26"/>
  <c r="AJ9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X20" i="26" s="1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9" i="24"/>
  <c r="AJ9" i="24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W25" i="24"/>
  <c r="W28" i="24"/>
  <c r="S33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W20" i="24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J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X12" i="23" s="1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AN23" i="23" s="1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X25" i="23" s="1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AN22" i="23" s="1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X15" i="72" s="1"/>
  <c r="U13" i="72"/>
  <c r="W18" i="72"/>
  <c r="W21" i="72"/>
  <c r="W24" i="72"/>
  <c r="W10" i="72"/>
  <c r="X10" i="72" s="1"/>
  <c r="W7" i="72"/>
  <c r="W13" i="72"/>
  <c r="U16" i="72"/>
  <c r="U19" i="72"/>
  <c r="U22" i="72"/>
  <c r="U8" i="72"/>
  <c r="U11" i="72"/>
  <c r="W16" i="72"/>
  <c r="X16" i="72" s="1"/>
  <c r="W19" i="72"/>
  <c r="W22" i="72"/>
  <c r="W8" i="72"/>
  <c r="W11" i="72"/>
  <c r="X11" i="72" s="1"/>
  <c r="U14" i="72"/>
  <c r="U17" i="72"/>
  <c r="U20" i="72"/>
  <c r="U23" i="72"/>
  <c r="W5" i="72"/>
  <c r="AL6" i="70"/>
  <c r="AJ6" i="70"/>
  <c r="AJ9" i="70"/>
  <c r="AL9" i="70"/>
  <c r="AN10" i="70"/>
  <c r="AJ12" i="70"/>
  <c r="AL12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4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AE11" i="69"/>
  <c r="AN11" i="69" s="1"/>
  <c r="U12" i="69"/>
  <c r="AH13" i="69"/>
  <c r="AI13" i="69" s="1"/>
  <c r="AL13" i="69" s="1"/>
  <c r="W17" i="69"/>
  <c r="W20" i="69"/>
  <c r="W23" i="69"/>
  <c r="W26" i="69"/>
  <c r="W29" i="69"/>
  <c r="X29" i="69" s="1"/>
  <c r="W32" i="69"/>
  <c r="X32" i="69" s="1"/>
  <c r="W35" i="69"/>
  <c r="W38" i="69"/>
  <c r="W41" i="69"/>
  <c r="W44" i="69"/>
  <c r="W47" i="69"/>
  <c r="W50" i="69"/>
  <c r="W53" i="69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L44" i="68"/>
  <c r="AH5" i="69"/>
  <c r="AI5" i="69" s="1"/>
  <c r="AL5" i="69" s="1"/>
  <c r="U7" i="69"/>
  <c r="AD12" i="69"/>
  <c r="AN12" i="69" s="1"/>
  <c r="U13" i="69"/>
  <c r="W18" i="69"/>
  <c r="W21" i="69"/>
  <c r="W24" i="69"/>
  <c r="W27" i="69"/>
  <c r="W30" i="69"/>
  <c r="W33" i="69"/>
  <c r="W36" i="69"/>
  <c r="W39" i="69"/>
  <c r="W42" i="69"/>
  <c r="W45" i="69"/>
  <c r="W48" i="69"/>
  <c r="X48" i="69" s="1"/>
  <c r="W51" i="69"/>
  <c r="X51" i="69" s="1"/>
  <c r="W54" i="69"/>
  <c r="W57" i="69"/>
  <c r="W60" i="69"/>
  <c r="W63" i="69"/>
  <c r="W66" i="69"/>
  <c r="P44" i="68"/>
  <c r="W10" i="69"/>
  <c r="AJ5" i="69"/>
  <c r="U8" i="69"/>
  <c r="U11" i="69"/>
  <c r="AE18" i="69"/>
  <c r="AE21" i="69"/>
  <c r="AN21" i="69" s="1"/>
  <c r="AE24" i="69"/>
  <c r="AE27" i="69"/>
  <c r="AE30" i="69"/>
  <c r="AN30" i="69" s="1"/>
  <c r="AE33" i="69"/>
  <c r="AN33" i="69" s="1"/>
  <c r="AE36" i="69"/>
  <c r="AN36" i="69" s="1"/>
  <c r="AD7" i="69"/>
  <c r="AN7" i="69" s="1"/>
  <c r="AD13" i="69"/>
  <c r="AN13" i="69" s="1"/>
  <c r="W16" i="69"/>
  <c r="W19" i="69"/>
  <c r="W22" i="69"/>
  <c r="W25" i="69"/>
  <c r="X25" i="69" s="1"/>
  <c r="W28" i="69"/>
  <c r="X28" i="69" s="1"/>
  <c r="W31" i="69"/>
  <c r="W34" i="69"/>
  <c r="W37" i="69"/>
  <c r="W40" i="69"/>
  <c r="W43" i="69"/>
  <c r="W46" i="69"/>
  <c r="W49" i="69"/>
  <c r="W52" i="69"/>
  <c r="W55" i="69"/>
  <c r="W58" i="69"/>
  <c r="W61" i="69"/>
  <c r="X61" i="69" s="1"/>
  <c r="W64" i="69"/>
  <c r="X64" i="69" s="1"/>
  <c r="W67" i="69"/>
  <c r="W8" i="69"/>
  <c r="W11" i="69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L43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N38" i="22" s="1"/>
  <c r="AE41" i="22"/>
  <c r="AE44" i="22"/>
  <c r="AN44" i="22" s="1"/>
  <c r="AE47" i="22"/>
  <c r="AN47" i="22" s="1"/>
  <c r="AE50" i="22"/>
  <c r="AN50" i="22" s="1"/>
  <c r="AE53" i="22"/>
  <c r="AN53" i="22" s="1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AJ43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A16" i="21" s="1"/>
  <c r="F21" i="68" s="1"/>
  <c r="U15" i="21"/>
  <c r="AD9" i="21"/>
  <c r="W12" i="21"/>
  <c r="U18" i="21"/>
  <c r="U21" i="21"/>
  <c r="U24" i="21"/>
  <c r="AE9" i="21"/>
  <c r="U10" i="21"/>
  <c r="W15" i="21"/>
  <c r="U13" i="21"/>
  <c r="W18" i="21"/>
  <c r="W21" i="21"/>
  <c r="W24" i="2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N14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J15" i="20"/>
  <c r="AL54" i="20"/>
  <c r="AJ54" i="20"/>
  <c r="AJ11" i="20"/>
  <c r="AL11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AN10" i="20" s="1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AJ20" i="20"/>
  <c r="W22" i="20"/>
  <c r="AJ23" i="20"/>
  <c r="W25" i="20"/>
  <c r="W28" i="20"/>
  <c r="W31" i="20"/>
  <c r="AJ32" i="20"/>
  <c r="W34" i="20"/>
  <c r="W37" i="20"/>
  <c r="AJ38" i="20"/>
  <c r="W40" i="20"/>
  <c r="W43" i="20"/>
  <c r="W46" i="20"/>
  <c r="W49" i="20"/>
  <c r="AJ50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AN8" i="20" s="1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AN32" i="20" s="1"/>
  <c r="U33" i="20"/>
  <c r="AD35" i="20"/>
  <c r="AN35" i="20" s="1"/>
  <c r="U36" i="20"/>
  <c r="AD38" i="20"/>
  <c r="AN38" i="20" s="1"/>
  <c r="U39" i="20"/>
  <c r="AD41" i="20"/>
  <c r="AN41" i="20" s="1"/>
  <c r="U42" i="20"/>
  <c r="AD44" i="20"/>
  <c r="AN44" i="20" s="1"/>
  <c r="U45" i="20"/>
  <c r="AD47" i="20"/>
  <c r="AN47" i="20" s="1"/>
  <c r="U48" i="20"/>
  <c r="AD50" i="20"/>
  <c r="AN50" i="20" s="1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5" i="19"/>
  <c r="AL9" i="19"/>
  <c r="AJ9" i="19"/>
  <c r="AJ13" i="19"/>
  <c r="AL13" i="19"/>
  <c r="AN5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L37" i="15"/>
  <c r="AL40" i="15"/>
  <c r="AL12" i="15"/>
  <c r="AJ12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AL77" i="15"/>
  <c r="AJ77" i="15"/>
  <c r="AL80" i="15"/>
  <c r="AJ80" i="15"/>
  <c r="W14" i="15"/>
  <c r="AJ15" i="15"/>
  <c r="AL50" i="15"/>
  <c r="AL53" i="15"/>
  <c r="AL56" i="15"/>
  <c r="U79" i="15"/>
  <c r="U82" i="15"/>
  <c r="AL83" i="15"/>
  <c r="AJ83" i="15"/>
  <c r="AL93" i="15"/>
  <c r="AJ93" i="15"/>
  <c r="AL94" i="15"/>
  <c r="AH116" i="15"/>
  <c r="AI116" i="15" s="1"/>
  <c r="AE116" i="15"/>
  <c r="AD116" i="15"/>
  <c r="AH63" i="15"/>
  <c r="AI63" i="15" s="1"/>
  <c r="AE63" i="15"/>
  <c r="W9" i="15"/>
  <c r="U12" i="15"/>
  <c r="W17" i="15"/>
  <c r="W20" i="15"/>
  <c r="W23" i="15"/>
  <c r="W26" i="15"/>
  <c r="W29" i="15"/>
  <c r="W32" i="15"/>
  <c r="W35" i="15"/>
  <c r="W38" i="15"/>
  <c r="X38" i="15" s="1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X484" i="15" s="1"/>
  <c r="W481" i="15"/>
  <c r="X481" i="15" s="1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X445" i="15" s="1"/>
  <c r="W442" i="15"/>
  <c r="W439" i="15"/>
  <c r="W436" i="15"/>
  <c r="W433" i="15"/>
  <c r="W430" i="15"/>
  <c r="W427" i="15"/>
  <c r="W424" i="15"/>
  <c r="W421" i="15"/>
  <c r="W418" i="15"/>
  <c r="W415" i="15"/>
  <c r="W412" i="15"/>
  <c r="X412" i="15" s="1"/>
  <c r="W409" i="15"/>
  <c r="X409" i="15" s="1"/>
  <c r="W406" i="15"/>
  <c r="W403" i="15"/>
  <c r="W400" i="15"/>
  <c r="W397" i="15"/>
  <c r="W394" i="15"/>
  <c r="W391" i="15"/>
  <c r="W388" i="15"/>
  <c r="W385" i="15"/>
  <c r="W382" i="15"/>
  <c r="W379" i="15"/>
  <c r="W376" i="15"/>
  <c r="X376" i="15" s="1"/>
  <c r="W373" i="15"/>
  <c r="X373" i="15" s="1"/>
  <c r="W370" i="15"/>
  <c r="W367" i="15"/>
  <c r="W364" i="15"/>
  <c r="W361" i="15"/>
  <c r="W358" i="15"/>
  <c r="W355" i="15"/>
  <c r="W352" i="15"/>
  <c r="W349" i="15"/>
  <c r="W346" i="15"/>
  <c r="W343" i="15"/>
  <c r="W340" i="15"/>
  <c r="X340" i="15" s="1"/>
  <c r="W337" i="15"/>
  <c r="X337" i="15" s="1"/>
  <c r="W334" i="15"/>
  <c r="W331" i="15"/>
  <c r="W328" i="15"/>
  <c r="W325" i="15"/>
  <c r="W322" i="15"/>
  <c r="W319" i="15"/>
  <c r="W316" i="15"/>
  <c r="W313" i="15"/>
  <c r="W310" i="15"/>
  <c r="W307" i="15"/>
  <c r="W304" i="15"/>
  <c r="X304" i="15" s="1"/>
  <c r="W301" i="15"/>
  <c r="X301" i="15" s="1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X507" i="15" s="1"/>
  <c r="W504" i="15"/>
  <c r="X504" i="15" s="1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X468" i="15" s="1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X432" i="15" s="1"/>
  <c r="W429" i="15"/>
  <c r="W426" i="15"/>
  <c r="W423" i="15"/>
  <c r="W420" i="15"/>
  <c r="W417" i="15"/>
  <c r="W414" i="15"/>
  <c r="W411" i="15"/>
  <c r="W408" i="15"/>
  <c r="W405" i="15"/>
  <c r="W402" i="15"/>
  <c r="W399" i="15"/>
  <c r="X399" i="15" s="1"/>
  <c r="W396" i="15"/>
  <c r="X396" i="15" s="1"/>
  <c r="W393" i="15"/>
  <c r="W390" i="15"/>
  <c r="W387" i="15"/>
  <c r="W384" i="15"/>
  <c r="W381" i="15"/>
  <c r="W378" i="15"/>
  <c r="W375" i="15"/>
  <c r="W372" i="15"/>
  <c r="W369" i="15"/>
  <c r="W366" i="15"/>
  <c r="W363" i="15"/>
  <c r="X363" i="15" s="1"/>
  <c r="W360" i="15"/>
  <c r="X360" i="15" s="1"/>
  <c r="W357" i="15"/>
  <c r="W354" i="15"/>
  <c r="W351" i="15"/>
  <c r="W348" i="15"/>
  <c r="W345" i="15"/>
  <c r="W342" i="15"/>
  <c r="W339" i="15"/>
  <c r="W336" i="15"/>
  <c r="W333" i="15"/>
  <c r="W330" i="15"/>
  <c r="W327" i="15"/>
  <c r="X327" i="15" s="1"/>
  <c r="W324" i="15"/>
  <c r="X324" i="15" s="1"/>
  <c r="W321" i="15"/>
  <c r="W318" i="15"/>
  <c r="W315" i="15"/>
  <c r="W312" i="15"/>
  <c r="W309" i="15"/>
  <c r="W306" i="15"/>
  <c r="W303" i="15"/>
  <c r="W300" i="15"/>
  <c r="W297" i="15"/>
  <c r="W294" i="15"/>
  <c r="W291" i="15"/>
  <c r="X291" i="15" s="1"/>
  <c r="W288" i="15"/>
  <c r="X288" i="15" s="1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X515" i="15" s="1"/>
  <c r="W512" i="15"/>
  <c r="X512" i="15" s="1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X476" i="15" s="1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X440" i="15" s="1"/>
  <c r="W437" i="15"/>
  <c r="W434" i="15"/>
  <c r="W431" i="15"/>
  <c r="W428" i="15"/>
  <c r="W425" i="15"/>
  <c r="W422" i="15"/>
  <c r="W419" i="15"/>
  <c r="W416" i="15"/>
  <c r="W413" i="15"/>
  <c r="W410" i="15"/>
  <c r="W407" i="15"/>
  <c r="X407" i="15" s="1"/>
  <c r="W404" i="15"/>
  <c r="X404" i="15" s="1"/>
  <c r="W401" i="15"/>
  <c r="W398" i="15"/>
  <c r="W395" i="15"/>
  <c r="W392" i="15"/>
  <c r="W389" i="15"/>
  <c r="W386" i="15"/>
  <c r="W383" i="15"/>
  <c r="W380" i="15"/>
  <c r="W377" i="15"/>
  <c r="W374" i="15"/>
  <c r="W371" i="15"/>
  <c r="X371" i="15" s="1"/>
  <c r="W368" i="15"/>
  <c r="X368" i="15" s="1"/>
  <c r="W365" i="15"/>
  <c r="W362" i="15"/>
  <c r="W359" i="15"/>
  <c r="W356" i="15"/>
  <c r="W353" i="15"/>
  <c r="W350" i="15"/>
  <c r="W347" i="15"/>
  <c r="W344" i="15"/>
  <c r="W341" i="15"/>
  <c r="W338" i="15"/>
  <c r="W335" i="15"/>
  <c r="X335" i="15" s="1"/>
  <c r="W332" i="15"/>
  <c r="X332" i="15" s="1"/>
  <c r="W329" i="15"/>
  <c r="W326" i="15"/>
  <c r="W323" i="15"/>
  <c r="W320" i="15"/>
  <c r="W317" i="15"/>
  <c r="W314" i="15"/>
  <c r="W311" i="15"/>
  <c r="W308" i="15"/>
  <c r="W305" i="15"/>
  <c r="W302" i="15"/>
  <c r="W299" i="15"/>
  <c r="X299" i="15" s="1"/>
  <c r="W296" i="15"/>
  <c r="X296" i="15" s="1"/>
  <c r="W293" i="15"/>
  <c r="W290" i="15"/>
  <c r="W287" i="15"/>
  <c r="W284" i="15"/>
  <c r="W281" i="15"/>
  <c r="W278" i="15"/>
  <c r="W275" i="15"/>
  <c r="W272" i="15"/>
  <c r="W269" i="15"/>
  <c r="W266" i="15"/>
  <c r="W263" i="15"/>
  <c r="X263" i="15" s="1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X241" i="15" s="1"/>
  <c r="W238" i="15"/>
  <c r="X238" i="15" s="1"/>
  <c r="W235" i="15"/>
  <c r="W232" i="15"/>
  <c r="W229" i="15"/>
  <c r="W226" i="15"/>
  <c r="W223" i="15"/>
  <c r="W220" i="15"/>
  <c r="W217" i="15"/>
  <c r="W214" i="15"/>
  <c r="W211" i="15"/>
  <c r="W208" i="15"/>
  <c r="W205" i="15"/>
  <c r="X205" i="15" s="1"/>
  <c r="W202" i="15"/>
  <c r="X202" i="15" s="1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X166" i="15" s="1"/>
  <c r="W163" i="15"/>
  <c r="W160" i="15"/>
  <c r="W157" i="15"/>
  <c r="W154" i="15"/>
  <c r="W151" i="15"/>
  <c r="W148" i="15"/>
  <c r="W145" i="15"/>
  <c r="W142" i="15"/>
  <c r="W139" i="15"/>
  <c r="W136" i="15"/>
  <c r="W133" i="15"/>
  <c r="X133" i="15" s="1"/>
  <c r="W130" i="15"/>
  <c r="X130" i="15" s="1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X237" i="15" s="1"/>
  <c r="W234" i="15"/>
  <c r="X234" i="15" s="1"/>
  <c r="W231" i="15"/>
  <c r="W228" i="15"/>
  <c r="W225" i="15"/>
  <c r="W222" i="15"/>
  <c r="W219" i="15"/>
  <c r="W216" i="15"/>
  <c r="W213" i="15"/>
  <c r="W210" i="15"/>
  <c r="W207" i="15"/>
  <c r="W204" i="15"/>
  <c r="W201" i="15"/>
  <c r="X201" i="15" s="1"/>
  <c r="W198" i="15"/>
  <c r="X198" i="15" s="1"/>
  <c r="W195" i="15"/>
  <c r="W192" i="15"/>
  <c r="W189" i="15"/>
  <c r="W186" i="15"/>
  <c r="W183" i="15"/>
  <c r="W180" i="15"/>
  <c r="W177" i="15"/>
  <c r="W174" i="15"/>
  <c r="W171" i="15"/>
  <c r="W168" i="15"/>
  <c r="W165" i="15"/>
  <c r="X165" i="15" s="1"/>
  <c r="W162" i="15"/>
  <c r="X162" i="15" s="1"/>
  <c r="W159" i="15"/>
  <c r="W156" i="15"/>
  <c r="W153" i="15"/>
  <c r="W150" i="15"/>
  <c r="W147" i="15"/>
  <c r="W144" i="15"/>
  <c r="W141" i="15"/>
  <c r="W138" i="15"/>
  <c r="W135" i="15"/>
  <c r="W132" i="15"/>
  <c r="W129" i="15"/>
  <c r="X129" i="15" s="1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X268" i="15" s="1"/>
  <c r="W260" i="15"/>
  <c r="W257" i="15"/>
  <c r="W254" i="15"/>
  <c r="W251" i="15"/>
  <c r="W248" i="15"/>
  <c r="W245" i="15"/>
  <c r="W242" i="15"/>
  <c r="W239" i="15"/>
  <c r="W236" i="15"/>
  <c r="W233" i="15"/>
  <c r="W230" i="15"/>
  <c r="X230" i="15" s="1"/>
  <c r="W227" i="15"/>
  <c r="X227" i="15" s="1"/>
  <c r="W224" i="15"/>
  <c r="W221" i="15"/>
  <c r="W218" i="15"/>
  <c r="W215" i="15"/>
  <c r="W212" i="15"/>
  <c r="W209" i="15"/>
  <c r="W206" i="15"/>
  <c r="W203" i="15"/>
  <c r="W200" i="15"/>
  <c r="W197" i="15"/>
  <c r="W194" i="15"/>
  <c r="X194" i="15" s="1"/>
  <c r="W191" i="15"/>
  <c r="X191" i="15" s="1"/>
  <c r="W188" i="15"/>
  <c r="W185" i="15"/>
  <c r="W182" i="15"/>
  <c r="W179" i="15"/>
  <c r="W176" i="15"/>
  <c r="W173" i="15"/>
  <c r="W170" i="15"/>
  <c r="W167" i="15"/>
  <c r="W164" i="15"/>
  <c r="W161" i="15"/>
  <c r="W158" i="15"/>
  <c r="X158" i="15" s="1"/>
  <c r="W155" i="15"/>
  <c r="X155" i="15" s="1"/>
  <c r="W152" i="15"/>
  <c r="W149" i="15"/>
  <c r="W146" i="15"/>
  <c r="W143" i="15"/>
  <c r="W140" i="15"/>
  <c r="W137" i="15"/>
  <c r="W134" i="15"/>
  <c r="W131" i="15"/>
  <c r="W128" i="15"/>
  <c r="W125" i="15"/>
  <c r="W122" i="15"/>
  <c r="X122" i="15" s="1"/>
  <c r="W118" i="15"/>
  <c r="X118" i="15" s="1"/>
  <c r="W109" i="15"/>
  <c r="W119" i="15"/>
  <c r="W110" i="15"/>
  <c r="W96" i="15"/>
  <c r="W93" i="15"/>
  <c r="W90" i="15"/>
  <c r="W87" i="15"/>
  <c r="W84" i="15"/>
  <c r="W81" i="15"/>
  <c r="W78" i="15"/>
  <c r="W75" i="15"/>
  <c r="X75" i="15" s="1"/>
  <c r="W72" i="15"/>
  <c r="X72" i="15" s="1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X104" i="15" s="1"/>
  <c r="W98" i="15"/>
  <c r="X98" i="15" s="1"/>
  <c r="W95" i="15"/>
  <c r="W92" i="15"/>
  <c r="W89" i="15"/>
  <c r="W86" i="15"/>
  <c r="W83" i="15"/>
  <c r="W80" i="15"/>
  <c r="W77" i="15"/>
  <c r="W74" i="15"/>
  <c r="W71" i="15"/>
  <c r="W68" i="15"/>
  <c r="W65" i="15"/>
  <c r="X65" i="15" s="1"/>
  <c r="W62" i="15"/>
  <c r="X62" i="15" s="1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X88" i="15" s="1"/>
  <c r="W85" i="15"/>
  <c r="X85" i="15" s="1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N62" i="15" s="1"/>
  <c r="AD62" i="15"/>
  <c r="AL63" i="15"/>
  <c r="AJ63" i="15"/>
  <c r="U88" i="15"/>
  <c r="AL89" i="15"/>
  <c r="AJ89" i="15"/>
  <c r="AL96" i="15"/>
  <c r="AJ96" i="15"/>
  <c r="AL97" i="15"/>
  <c r="U14" i="15"/>
  <c r="AL90" i="15"/>
  <c r="AJ90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X42" i="15" s="1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X6" i="15" s="1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X43" i="15" s="1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116" i="15"/>
  <c r="AJ116" i="15"/>
  <c r="AL71" i="15"/>
  <c r="AJ71" i="15"/>
  <c r="AL87" i="15"/>
  <c r="AJ87" i="15"/>
  <c r="AH5" i="15"/>
  <c r="AI5" i="15" s="1"/>
  <c r="AJ5" i="15" s="1"/>
  <c r="U7" i="15"/>
  <c r="AJ8" i="15"/>
  <c r="AD12" i="15"/>
  <c r="AN12" i="15" s="1"/>
  <c r="U13" i="15"/>
  <c r="AJ16" i="15"/>
  <c r="W18" i="15"/>
  <c r="AJ19" i="15"/>
  <c r="W21" i="15"/>
  <c r="X21" i="15" s="1"/>
  <c r="AJ22" i="15"/>
  <c r="W24" i="15"/>
  <c r="AJ25" i="15"/>
  <c r="W27" i="15"/>
  <c r="AJ28" i="15"/>
  <c r="W30" i="15"/>
  <c r="AJ31" i="15"/>
  <c r="W33" i="15"/>
  <c r="AJ34" i="15"/>
  <c r="W36" i="15"/>
  <c r="AJ37" i="15"/>
  <c r="W39" i="15"/>
  <c r="AJ40" i="15"/>
  <c r="AD42" i="15"/>
  <c r="AN42" i="15" s="1"/>
  <c r="W44" i="15"/>
  <c r="W45" i="15"/>
  <c r="X45" i="15" s="1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AN57" i="15" s="1"/>
  <c r="U58" i="15"/>
  <c r="AE59" i="15"/>
  <c r="AD59" i="15"/>
  <c r="AL72" i="15"/>
  <c r="AJ72" i="15"/>
  <c r="AL73" i="15"/>
  <c r="AJ85" i="15"/>
  <c r="AN89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AL74" i="15"/>
  <c r="AJ74" i="15"/>
  <c r="W7" i="15"/>
  <c r="W13" i="15"/>
  <c r="U16" i="15"/>
  <c r="AD18" i="15"/>
  <c r="AN18" i="15" s="1"/>
  <c r="U19" i="15"/>
  <c r="AD21" i="15"/>
  <c r="AN21" i="15" s="1"/>
  <c r="U22" i="15"/>
  <c r="AD24" i="15"/>
  <c r="AN24" i="15" s="1"/>
  <c r="U25" i="15"/>
  <c r="AD27" i="15"/>
  <c r="AN27" i="15" s="1"/>
  <c r="U28" i="15"/>
  <c r="AD30" i="15"/>
  <c r="AN30" i="15" s="1"/>
  <c r="U31" i="15"/>
  <c r="AD33" i="15"/>
  <c r="AN33" i="15" s="1"/>
  <c r="U34" i="15"/>
  <c r="AD36" i="15"/>
  <c r="U37" i="15"/>
  <c r="AD39" i="15"/>
  <c r="AN39" i="15" s="1"/>
  <c r="U40" i="15"/>
  <c r="AE44" i="15"/>
  <c r="AN44" i="15" s="1"/>
  <c r="AD45" i="15"/>
  <c r="AN45" i="15" s="1"/>
  <c r="W47" i="15"/>
  <c r="X47" i="15" s="1"/>
  <c r="W48" i="15"/>
  <c r="X48" i="15" s="1"/>
  <c r="AE50" i="15"/>
  <c r="AD50" i="15"/>
  <c r="U52" i="15"/>
  <c r="AE53" i="15"/>
  <c r="AD53" i="15"/>
  <c r="U55" i="15"/>
  <c r="AE56" i="15"/>
  <c r="AD56" i="15"/>
  <c r="W57" i="15"/>
  <c r="W58" i="15"/>
  <c r="X58" i="15" s="1"/>
  <c r="AJ62" i="15"/>
  <c r="U64" i="15"/>
  <c r="AL65" i="15"/>
  <c r="AJ65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L98" i="15"/>
  <c r="AJ98" i="15"/>
  <c r="AD112" i="15"/>
  <c r="AH112" i="15"/>
  <c r="AI112" i="15" s="1"/>
  <c r="AJ112" i="15" s="1"/>
  <c r="AE112" i="15"/>
  <c r="AE66" i="15"/>
  <c r="AE69" i="15"/>
  <c r="AN69" i="15" s="1"/>
  <c r="AE72" i="15"/>
  <c r="AN72" i="15" s="1"/>
  <c r="AE75" i="15"/>
  <c r="AN75" i="15" s="1"/>
  <c r="AE78" i="15"/>
  <c r="AN78" i="15" s="1"/>
  <c r="AE81" i="15"/>
  <c r="AE84" i="15"/>
  <c r="AN84" i="15" s="1"/>
  <c r="AE87" i="15"/>
  <c r="AN87" i="15" s="1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N67" i="15" s="1"/>
  <c r="AD70" i="15"/>
  <c r="AN70" i="15" s="1"/>
  <c r="AD73" i="15"/>
  <c r="AN73" i="15" s="1"/>
  <c r="AD76" i="15"/>
  <c r="AN76" i="15" s="1"/>
  <c r="AD79" i="15"/>
  <c r="AN79" i="15" s="1"/>
  <c r="AD82" i="15"/>
  <c r="AN82" i="15" s="1"/>
  <c r="AD85" i="15"/>
  <c r="AD88" i="15"/>
  <c r="AN88" i="15" s="1"/>
  <c r="AD91" i="15"/>
  <c r="AN91" i="15" s="1"/>
  <c r="AD94" i="15"/>
  <c r="AN94" i="15" s="1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N80" i="15" s="1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L120" i="15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N6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L12" i="13"/>
  <c r="AJ12" i="13"/>
  <c r="AN15" i="13"/>
  <c r="AL5" i="13"/>
  <c r="AL14" i="13"/>
  <c r="AJ14" i="13"/>
  <c r="AJ11" i="13"/>
  <c r="AL11" i="13"/>
  <c r="AL7" i="13"/>
  <c r="AJ7" i="13"/>
  <c r="AL9" i="13"/>
  <c r="AJ9" i="13"/>
  <c r="AL13" i="13"/>
  <c r="AJ13" i="13"/>
  <c r="U8" i="13"/>
  <c r="U11" i="13"/>
  <c r="AH6" i="13"/>
  <c r="AI6" i="13" s="1"/>
  <c r="AJ6" i="13" s="1"/>
  <c r="AD13" i="13"/>
  <c r="AN13" i="13" s="1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2" i="68"/>
  <c r="L23" i="68" s="1"/>
  <c r="AD5" i="13"/>
  <c r="AN5" i="13" s="1"/>
  <c r="U6" i="13"/>
  <c r="AJ10" i="13"/>
  <c r="AD14" i="13"/>
  <c r="U15" i="13"/>
  <c r="W12" i="13"/>
  <c r="AE14" i="13"/>
  <c r="U18" i="13"/>
  <c r="U21" i="13"/>
  <c r="U24" i="13"/>
  <c r="W15" i="13"/>
  <c r="U7" i="13"/>
  <c r="AD12" i="13"/>
  <c r="AN12" i="13" s="1"/>
  <c r="U13" i="13"/>
  <c r="W18" i="13"/>
  <c r="W21" i="13"/>
  <c r="W24" i="13"/>
  <c r="AL20" i="12"/>
  <c r="AN11" i="12"/>
  <c r="AJ24" i="12"/>
  <c r="AL24" i="12"/>
  <c r="AL17" i="12"/>
  <c r="AJ7" i="12"/>
  <c r="AL7" i="12"/>
  <c r="AJ10" i="12"/>
  <c r="AL10" i="12"/>
  <c r="AL26" i="12"/>
  <c r="AL5" i="12"/>
  <c r="AJ5" i="12"/>
  <c r="AL14" i="12"/>
  <c r="AJ27" i="12"/>
  <c r="AL27" i="12"/>
  <c r="AL8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J14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AN16" i="12" s="1"/>
  <c r="U17" i="12"/>
  <c r="AD19" i="12"/>
  <c r="AN19" i="12" s="1"/>
  <c r="U20" i="12"/>
  <c r="AD22" i="12"/>
  <c r="AN22" i="12" s="1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J9" i="6"/>
  <c r="AL9" i="6"/>
  <c r="AL5" i="6"/>
  <c r="AJ5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X12" i="6" s="1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AN10" i="6" s="1"/>
  <c r="U11" i="6"/>
  <c r="W16" i="6"/>
  <c r="W19" i="6"/>
  <c r="X19" i="6" s="1"/>
  <c r="W22" i="6"/>
  <c r="W11" i="6"/>
  <c r="X11" i="6" s="1"/>
  <c r="AL9" i="5"/>
  <c r="AJ14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7" i="5"/>
  <c r="AJ7" i="5"/>
  <c r="AL18" i="5"/>
  <c r="AL11" i="5"/>
  <c r="AJ11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J13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2" i="68"/>
  <c r="P23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2" i="68"/>
  <c r="J23" i="68" s="1"/>
  <c r="AJ9" i="3"/>
  <c r="AL9" i="3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X17" i="3" s="1"/>
  <c r="W20" i="3"/>
  <c r="W23" i="3"/>
  <c r="AD5" i="3"/>
  <c r="AJ10" i="3"/>
  <c r="AD14" i="3"/>
  <c r="U15" i="3"/>
  <c r="W12" i="3"/>
  <c r="AE14" i="3"/>
  <c r="U18" i="3"/>
  <c r="U21" i="3"/>
  <c r="U24" i="3"/>
  <c r="W15" i="3"/>
  <c r="X15" i="3" s="1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X185" i="65" s="1"/>
  <c r="W182" i="65"/>
  <c r="X182" i="65" s="1"/>
  <c r="W179" i="65"/>
  <c r="W176" i="65"/>
  <c r="W173" i="65"/>
  <c r="W170" i="65"/>
  <c r="W168" i="65"/>
  <c r="W166" i="65"/>
  <c r="W163" i="65"/>
  <c r="W161" i="65"/>
  <c r="W159" i="65"/>
  <c r="W156" i="65"/>
  <c r="W153" i="65"/>
  <c r="X153" i="65" s="1"/>
  <c r="AA153" i="65" s="1"/>
  <c r="AC153" i="65" s="1"/>
  <c r="W147" i="65"/>
  <c r="X147" i="65" s="1"/>
  <c r="W145" i="65"/>
  <c r="W142" i="65"/>
  <c r="W139" i="65"/>
  <c r="W132" i="65"/>
  <c r="W129" i="65"/>
  <c r="W126" i="65"/>
  <c r="W123" i="65"/>
  <c r="W120" i="65"/>
  <c r="W113" i="65"/>
  <c r="W111" i="65"/>
  <c r="W109" i="65"/>
  <c r="X109" i="65" s="1"/>
  <c r="W106" i="65"/>
  <c r="X106" i="65" s="1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X184" i="65" s="1"/>
  <c r="Z184" i="65" s="1"/>
  <c r="AB184" i="65" s="1"/>
  <c r="AO184" i="65" s="1"/>
  <c r="W181" i="65"/>
  <c r="X181" i="65" s="1"/>
  <c r="W178" i="65"/>
  <c r="W175" i="65"/>
  <c r="W172" i="65"/>
  <c r="W169" i="65"/>
  <c r="W165" i="65"/>
  <c r="W160" i="65"/>
  <c r="W158" i="65"/>
  <c r="W155" i="65"/>
  <c r="W152" i="65"/>
  <c r="W144" i="65"/>
  <c r="W141" i="65"/>
  <c r="X141" i="65" s="1"/>
  <c r="W138" i="65"/>
  <c r="X138" i="65" s="1"/>
  <c r="W136" i="65"/>
  <c r="W134" i="65"/>
  <c r="W131" i="65"/>
  <c r="W128" i="65"/>
  <c r="W125" i="65"/>
  <c r="W122" i="65"/>
  <c r="W119" i="65"/>
  <c r="W117" i="65"/>
  <c r="W115" i="65"/>
  <c r="W108" i="65"/>
  <c r="W105" i="65"/>
  <c r="X105" i="65" s="1"/>
  <c r="Z105" i="65" s="1"/>
  <c r="AB105" i="65" s="1"/>
  <c r="W102" i="65"/>
  <c r="X102" i="65" s="1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X56" i="65" s="1"/>
  <c r="W54" i="65"/>
  <c r="X54" i="65" s="1"/>
  <c r="W52" i="65"/>
  <c r="W50" i="65"/>
  <c r="W45" i="65"/>
  <c r="W43" i="65"/>
  <c r="W40" i="65"/>
  <c r="W38" i="65"/>
  <c r="W35" i="65"/>
  <c r="W33" i="65"/>
  <c r="W30" i="65"/>
  <c r="W28" i="65"/>
  <c r="W23" i="65"/>
  <c r="X23" i="65" s="1"/>
  <c r="W20" i="65"/>
  <c r="X20" i="65" s="1"/>
  <c r="W17" i="65"/>
  <c r="U12" i="65"/>
  <c r="W174" i="65"/>
  <c r="W151" i="65"/>
  <c r="W127" i="65"/>
  <c r="W95" i="65"/>
  <c r="W14" i="65"/>
  <c r="W189" i="65"/>
  <c r="W157" i="65"/>
  <c r="W140" i="65"/>
  <c r="W110" i="65"/>
  <c r="X110" i="65" s="1"/>
  <c r="W149" i="65"/>
  <c r="X149" i="65" s="1"/>
  <c r="W121" i="65"/>
  <c r="W89" i="65"/>
  <c r="W183" i="65"/>
  <c r="W135" i="65"/>
  <c r="W104" i="65"/>
  <c r="W75" i="65"/>
  <c r="W69" i="65"/>
  <c r="W63" i="65"/>
  <c r="W57" i="65"/>
  <c r="W53" i="65"/>
  <c r="W51" i="65"/>
  <c r="X51" i="65" s="1"/>
  <c r="W49" i="65"/>
  <c r="X49" i="65" s="1"/>
  <c r="W47" i="65"/>
  <c r="W44" i="65"/>
  <c r="W42" i="65"/>
  <c r="W39" i="65"/>
  <c r="W37" i="65"/>
  <c r="W32" i="65"/>
  <c r="W27" i="65"/>
  <c r="W25" i="65"/>
  <c r="W22" i="65"/>
  <c r="W19" i="65"/>
  <c r="W16" i="65"/>
  <c r="X16" i="65" s="1"/>
  <c r="W164" i="65"/>
  <c r="X164" i="65" s="1"/>
  <c r="W148" i="65"/>
  <c r="W116" i="65"/>
  <c r="W83" i="65"/>
  <c r="W80" i="65"/>
  <c r="W177" i="65"/>
  <c r="W130" i="65"/>
  <c r="W98" i="65"/>
  <c r="W76" i="65"/>
  <c r="W70" i="65"/>
  <c r="W64" i="65"/>
  <c r="W58" i="65"/>
  <c r="X58" i="65" s="1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X77" i="65" s="1"/>
  <c r="W186" i="65"/>
  <c r="X186" i="65" s="1"/>
  <c r="W154" i="65"/>
  <c r="W137" i="65"/>
  <c r="W107" i="65"/>
  <c r="W167" i="65"/>
  <c r="W118" i="65"/>
  <c r="W86" i="65"/>
  <c r="W78" i="65"/>
  <c r="W72" i="65"/>
  <c r="W66" i="65"/>
  <c r="W60" i="65"/>
  <c r="W55" i="65"/>
  <c r="X55" i="65" s="1"/>
  <c r="U48" i="65"/>
  <c r="U46" i="65"/>
  <c r="U41" i="65"/>
  <c r="U36" i="65"/>
  <c r="U34" i="65"/>
  <c r="U31" i="65"/>
  <c r="U29" i="65"/>
  <c r="U26" i="65"/>
  <c r="U24" i="65"/>
  <c r="U21" i="65"/>
  <c r="U18" i="65"/>
  <c r="W12" i="65"/>
  <c r="X12" i="65" s="1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59" i="67"/>
  <c r="N59" i="67" s="1"/>
  <c r="Q59" i="67" s="1"/>
  <c r="N47" i="67"/>
  <c r="Q47" i="67" s="1"/>
  <c r="X5" i="62"/>
  <c r="Z5" i="62" s="1"/>
  <c r="AB5" i="62" s="1"/>
  <c r="A18" i="62"/>
  <c r="X6" i="62"/>
  <c r="AA6" i="62" s="1"/>
  <c r="AC6" i="62" s="1"/>
  <c r="AP6" i="62" s="1"/>
  <c r="A20" i="3"/>
  <c r="O8" i="68" s="1"/>
  <c r="I18" i="67"/>
  <c r="X5" i="50"/>
  <c r="AA5" i="50" s="1"/>
  <c r="AC5" i="50" s="1"/>
  <c r="Z22" i="50"/>
  <c r="AB22" i="50" s="1"/>
  <c r="AO22" i="50" s="1"/>
  <c r="X7" i="50"/>
  <c r="AA7" i="50" s="1"/>
  <c r="AC7" i="50" s="1"/>
  <c r="AP7" i="50" s="1"/>
  <c r="X13" i="50"/>
  <c r="AA13" i="50" s="1"/>
  <c r="AC13" i="50" s="1"/>
  <c r="I66" i="67"/>
  <c r="X6" i="50"/>
  <c r="AA6" i="50" s="1"/>
  <c r="AC6" i="50" s="1"/>
  <c r="AP6" i="50" s="1"/>
  <c r="I62" i="68"/>
  <c r="O62" i="68" s="1"/>
  <c r="R62" i="68" s="1"/>
  <c r="X14" i="62"/>
  <c r="AA14" i="62" s="1"/>
  <c r="AC14" i="62" s="1"/>
  <c r="AP14" i="62" s="1"/>
  <c r="I64" i="68"/>
  <c r="O64" i="68" s="1"/>
  <c r="R64" i="68" s="1"/>
  <c r="X18" i="50"/>
  <c r="Z18" i="50" s="1"/>
  <c r="AB18" i="50" s="1"/>
  <c r="AO18" i="50" s="1"/>
  <c r="I59" i="68"/>
  <c r="O59" i="68" s="1"/>
  <c r="R59" i="68" s="1"/>
  <c r="I61" i="68"/>
  <c r="O61" i="68" s="1"/>
  <c r="R61" i="68" s="1"/>
  <c r="O43" i="67"/>
  <c r="R43" i="67" s="1"/>
  <c r="I57" i="67"/>
  <c r="O57" i="67" s="1"/>
  <c r="R57" i="67" s="1"/>
  <c r="X11" i="50"/>
  <c r="Z11" i="50" s="1"/>
  <c r="AB11" i="50" s="1"/>
  <c r="AO11" i="50" s="1"/>
  <c r="X14" i="50"/>
  <c r="AA14" i="50" s="1"/>
  <c r="AC14" i="50" s="1"/>
  <c r="AP14" i="50" s="1"/>
  <c r="N39" i="67"/>
  <c r="Q39" i="67" s="1"/>
  <c r="I60" i="68"/>
  <c r="O60" i="68" s="1"/>
  <c r="R60" i="68" s="1"/>
  <c r="I68" i="68"/>
  <c r="O68" i="68" s="1"/>
  <c r="R68" i="68" s="1"/>
  <c r="I49" i="67"/>
  <c r="O49" i="67" s="1"/>
  <c r="R49" i="67" s="1"/>
  <c r="I56" i="67"/>
  <c r="O56" i="67" s="1"/>
  <c r="X19" i="50"/>
  <c r="AA19" i="50" s="1"/>
  <c r="AC19" i="50" s="1"/>
  <c r="AP19" i="50" s="1"/>
  <c r="X16" i="62"/>
  <c r="AA16" i="62" s="1"/>
  <c r="AC16" i="62" s="1"/>
  <c r="I70" i="68"/>
  <c r="N70" i="68" s="1"/>
  <c r="Q70" i="68" s="1"/>
  <c r="A8" i="22"/>
  <c r="I50" i="67"/>
  <c r="N50" i="67" s="1"/>
  <c r="Q50" i="67" s="1"/>
  <c r="X7" i="42"/>
  <c r="AA7" i="42" s="1"/>
  <c r="AC7" i="42" s="1"/>
  <c r="A8" i="61"/>
  <c r="I67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AP15" i="42" s="1"/>
  <c r="X11" i="42"/>
  <c r="AA11" i="42" s="1"/>
  <c r="AC11" i="42" s="1"/>
  <c r="AP11" i="42" s="1"/>
  <c r="X6" i="16"/>
  <c r="Z6" i="16" s="1"/>
  <c r="AB6" i="16" s="1"/>
  <c r="AO6" i="16" s="1"/>
  <c r="A8" i="54"/>
  <c r="I74" i="68"/>
  <c r="N74" i="68" s="1"/>
  <c r="I44" i="67"/>
  <c r="O44" i="67" s="1"/>
  <c r="R44" i="67" s="1"/>
  <c r="I58" i="68"/>
  <c r="N58" i="68" s="1"/>
  <c r="Q58" i="68" s="1"/>
  <c r="A8" i="45"/>
  <c r="I52" i="67"/>
  <c r="N52" i="67" s="1"/>
  <c r="Q52" i="67" s="1"/>
  <c r="I56" i="68"/>
  <c r="O56" i="68" s="1"/>
  <c r="R56" i="68" s="1"/>
  <c r="I45" i="67"/>
  <c r="O45" i="67" s="1"/>
  <c r="R45" i="67" s="1"/>
  <c r="A18" i="42"/>
  <c r="X9" i="50"/>
  <c r="X10" i="50"/>
  <c r="X20" i="50"/>
  <c r="Z20" i="50" s="1"/>
  <c r="AB20" i="50" s="1"/>
  <c r="AO20" i="50" s="1"/>
  <c r="X17" i="62"/>
  <c r="AA17" i="62" s="1"/>
  <c r="AC17" i="62" s="1"/>
  <c r="A8" i="39"/>
  <c r="I53" i="67"/>
  <c r="O53" i="67" s="1"/>
  <c r="R53" i="67" s="1"/>
  <c r="A8" i="60"/>
  <c r="A18" i="50"/>
  <c r="N18" i="67" s="1"/>
  <c r="X8" i="50"/>
  <c r="X12" i="50"/>
  <c r="AA12" i="50" s="1"/>
  <c r="AC12" i="50" s="1"/>
  <c r="X17" i="50"/>
  <c r="Z17" i="50" s="1"/>
  <c r="AB17" i="50" s="1"/>
  <c r="AO17" i="50" s="1"/>
  <c r="X24" i="55"/>
  <c r="X23" i="55"/>
  <c r="X16" i="55"/>
  <c r="X15" i="55"/>
  <c r="X20" i="55"/>
  <c r="X6" i="55"/>
  <c r="X14" i="55"/>
  <c r="X11" i="55"/>
  <c r="X8" i="55"/>
  <c r="X22" i="55"/>
  <c r="A20" i="55"/>
  <c r="O28" i="67" s="1"/>
  <c r="R28" i="67" s="1"/>
  <c r="X19" i="55"/>
  <c r="X18" i="55"/>
  <c r="X10" i="55"/>
  <c r="X13" i="55"/>
  <c r="X7" i="55"/>
  <c r="X21" i="55"/>
  <c r="X17" i="55"/>
  <c r="X12" i="55"/>
  <c r="X5" i="55"/>
  <c r="I28" i="67"/>
  <c r="N55" i="68"/>
  <c r="Q55" i="68" s="1"/>
  <c r="X24" i="72"/>
  <c r="X23" i="72"/>
  <c r="X6" i="72"/>
  <c r="X18" i="72"/>
  <c r="X17" i="72"/>
  <c r="X9" i="72"/>
  <c r="X7" i="72"/>
  <c r="X8" i="72"/>
  <c r="X21" i="72"/>
  <c r="A18" i="72"/>
  <c r="N29" i="68" s="1"/>
  <c r="Q29" i="68" s="1"/>
  <c r="U29" i="68" s="1"/>
  <c r="X13" i="72"/>
  <c r="X20" i="72"/>
  <c r="X14" i="72"/>
  <c r="X19" i="72"/>
  <c r="X12" i="72"/>
  <c r="X5" i="72"/>
  <c r="X20" i="21"/>
  <c r="X19" i="21"/>
  <c r="X12" i="21"/>
  <c r="X11" i="21"/>
  <c r="X7" i="21"/>
  <c r="X21" i="21"/>
  <c r="A20" i="21"/>
  <c r="O21" i="68" s="1"/>
  <c r="R21" i="68" s="1"/>
  <c r="X14" i="21"/>
  <c r="X8" i="21"/>
  <c r="X5" i="21"/>
  <c r="X16" i="21"/>
  <c r="X15" i="21"/>
  <c r="X10" i="21"/>
  <c r="X6" i="21"/>
  <c r="X17" i="21"/>
  <c r="X24" i="21"/>
  <c r="X9" i="21"/>
  <c r="X18" i="21"/>
  <c r="I21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X13" i="49"/>
  <c r="X5" i="49"/>
  <c r="X7" i="49"/>
  <c r="X11" i="49"/>
  <c r="X19" i="49"/>
  <c r="X12" i="49"/>
  <c r="X14" i="49"/>
  <c r="A18" i="49"/>
  <c r="N17" i="67" s="1"/>
  <c r="X8" i="49"/>
  <c r="I17" i="67"/>
  <c r="A20" i="15"/>
  <c r="O14" i="68" s="1"/>
  <c r="R14" i="68" s="1"/>
  <c r="X108" i="15"/>
  <c r="X111" i="15"/>
  <c r="X236" i="15"/>
  <c r="A20" i="72"/>
  <c r="O29" i="68" s="1"/>
  <c r="R29" i="68" s="1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1" i="56"/>
  <c r="A20" i="56"/>
  <c r="O29" i="67" s="1"/>
  <c r="R29" i="67" s="1"/>
  <c r="X14" i="56"/>
  <c r="X13" i="56"/>
  <c r="X8" i="56"/>
  <c r="X5" i="56"/>
  <c r="X24" i="56"/>
  <c r="X17" i="56"/>
  <c r="X12" i="56"/>
  <c r="X10" i="56"/>
  <c r="A18" i="56"/>
  <c r="N29" i="67" s="1"/>
  <c r="X15" i="56"/>
  <c r="X9" i="56"/>
  <c r="X6" i="56"/>
  <c r="X23" i="56"/>
  <c r="X20" i="56"/>
  <c r="X11" i="56"/>
  <c r="X19" i="56"/>
  <c r="X16" i="56"/>
  <c r="X18" i="56"/>
  <c r="X7" i="56"/>
  <c r="I29" i="67"/>
  <c r="X172" i="15"/>
  <c r="X428" i="15"/>
  <c r="Q43" i="67"/>
  <c r="O48" i="67"/>
  <c r="R48" i="67" s="1"/>
  <c r="N48" i="67"/>
  <c r="Q48" i="67" s="1"/>
  <c r="X57" i="69"/>
  <c r="X53" i="69"/>
  <c r="X49" i="69"/>
  <c r="X45" i="69"/>
  <c r="X41" i="69"/>
  <c r="X37" i="69"/>
  <c r="X33" i="69"/>
  <c r="X18" i="69"/>
  <c r="X17" i="69"/>
  <c r="X10" i="69"/>
  <c r="X9" i="69"/>
  <c r="X66" i="69"/>
  <c r="X62" i="69"/>
  <c r="X58" i="69"/>
  <c r="X54" i="69"/>
  <c r="X50" i="69"/>
  <c r="X46" i="69"/>
  <c r="X42" i="69"/>
  <c r="X38" i="69"/>
  <c r="X34" i="69"/>
  <c r="X30" i="69"/>
  <c r="X26" i="69"/>
  <c r="X20" i="69"/>
  <c r="X19" i="69"/>
  <c r="A18" i="69"/>
  <c r="N26" i="68" s="1"/>
  <c r="Q26" i="68" s="1"/>
  <c r="X12" i="69"/>
  <c r="X11" i="69"/>
  <c r="X7" i="69"/>
  <c r="X60" i="69"/>
  <c r="X52" i="69"/>
  <c r="X44" i="69"/>
  <c r="X36" i="69"/>
  <c r="X16" i="69"/>
  <c r="X14" i="69"/>
  <c r="X13" i="69"/>
  <c r="X63" i="69"/>
  <c r="X55" i="69"/>
  <c r="X47" i="69"/>
  <c r="X39" i="69"/>
  <c r="X31" i="69"/>
  <c r="X22" i="69"/>
  <c r="X21" i="69"/>
  <c r="A20" i="69"/>
  <c r="O26" i="68" s="1"/>
  <c r="R26" i="68" s="1"/>
  <c r="X15" i="69"/>
  <c r="X5" i="69"/>
  <c r="X67" i="69"/>
  <c r="X35" i="69"/>
  <c r="X56" i="69"/>
  <c r="X43" i="69"/>
  <c r="X8" i="69"/>
  <c r="X23" i="69"/>
  <c r="I26" i="68"/>
  <c r="X59" i="69"/>
  <c r="X40" i="69"/>
  <c r="X27" i="69"/>
  <c r="X24" i="69"/>
  <c r="X16" i="58"/>
  <c r="X15" i="58"/>
  <c r="X6" i="58"/>
  <c r="X18" i="58"/>
  <c r="X17" i="58"/>
  <c r="X10" i="58"/>
  <c r="X9" i="58"/>
  <c r="X22" i="58"/>
  <c r="A20" i="58"/>
  <c r="O32" i="67" s="1"/>
  <c r="R32" i="67" s="1"/>
  <c r="X13" i="58"/>
  <c r="X5" i="58"/>
  <c r="X7" i="58"/>
  <c r="X20" i="58"/>
  <c r="X19" i="58"/>
  <c r="X12" i="58"/>
  <c r="A18" i="58"/>
  <c r="N32" i="67" s="1"/>
  <c r="X8" i="58"/>
  <c r="X14" i="58"/>
  <c r="I32" i="67"/>
  <c r="X18" i="59"/>
  <c r="X17" i="59"/>
  <c r="X10" i="59"/>
  <c r="X9" i="59"/>
  <c r="X21" i="59"/>
  <c r="X24" i="59"/>
  <c r="X11" i="59"/>
  <c r="X8" i="59"/>
  <c r="X5" i="59"/>
  <c r="X23" i="59"/>
  <c r="X22" i="59"/>
  <c r="X20" i="59"/>
  <c r="X13" i="59"/>
  <c r="X6" i="59"/>
  <c r="A20" i="59"/>
  <c r="O33" i="67" s="1"/>
  <c r="R33" i="67" s="1"/>
  <c r="X15" i="59"/>
  <c r="X7" i="59"/>
  <c r="X12" i="59"/>
  <c r="X19" i="59"/>
  <c r="A18" i="59"/>
  <c r="N33" i="67" s="1"/>
  <c r="I33" i="67"/>
  <c r="X27" i="24"/>
  <c r="X22" i="24"/>
  <c r="X21" i="24"/>
  <c r="A20" i="24"/>
  <c r="O33" i="68" s="1"/>
  <c r="R33" i="68" s="1"/>
  <c r="X14" i="24"/>
  <c r="X13" i="24"/>
  <c r="X8" i="24"/>
  <c r="X5" i="24"/>
  <c r="X28" i="24"/>
  <c r="X24" i="24"/>
  <c r="X23" i="24"/>
  <c r="X15" i="24"/>
  <c r="X6" i="24"/>
  <c r="X17" i="24"/>
  <c r="X10" i="24"/>
  <c r="X9" i="24"/>
  <c r="X20" i="24"/>
  <c r="X11" i="24"/>
  <c r="X26" i="24"/>
  <c r="X25" i="24"/>
  <c r="X7" i="24"/>
  <c r="I33" i="68"/>
  <c r="X22" i="38"/>
  <c r="X21" i="38"/>
  <c r="A20" i="38"/>
  <c r="X14" i="38"/>
  <c r="X13" i="38"/>
  <c r="X8" i="38"/>
  <c r="X5" i="38"/>
  <c r="X24" i="38"/>
  <c r="X23" i="38"/>
  <c r="X15" i="38"/>
  <c r="X6" i="38"/>
  <c r="X17" i="38"/>
  <c r="X12" i="38"/>
  <c r="X10" i="38"/>
  <c r="A18" i="38"/>
  <c r="N49" i="68" s="1"/>
  <c r="X19" i="38"/>
  <c r="X7" i="38"/>
  <c r="X20" i="38"/>
  <c r="X11" i="38"/>
  <c r="I49" i="68"/>
  <c r="O49" i="68" s="1"/>
  <c r="R49" i="68" s="1"/>
  <c r="X22" i="52"/>
  <c r="X21" i="52"/>
  <c r="A20" i="52"/>
  <c r="O20" i="67" s="1"/>
  <c r="R20" i="67" s="1"/>
  <c r="X14" i="52"/>
  <c r="X13" i="52"/>
  <c r="X15" i="52"/>
  <c r="X11" i="52"/>
  <c r="X9" i="52"/>
  <c r="X24" i="52"/>
  <c r="X17" i="52"/>
  <c r="X12" i="52"/>
  <c r="X10" i="52"/>
  <c r="X7" i="52"/>
  <c r="X19" i="52"/>
  <c r="X23" i="52"/>
  <c r="X6" i="52"/>
  <c r="X5" i="52"/>
  <c r="X8" i="52"/>
  <c r="X20" i="3"/>
  <c r="X7" i="3"/>
  <c r="X23" i="3"/>
  <c r="X24" i="3"/>
  <c r="X20" i="34"/>
  <c r="X12" i="34"/>
  <c r="X8" i="34"/>
  <c r="X7" i="34"/>
  <c r="X132" i="32"/>
  <c r="X68" i="32"/>
  <c r="X19" i="32"/>
  <c r="X29" i="32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0" i="67"/>
  <c r="A18" i="3"/>
  <c r="N8" i="68" s="1"/>
  <c r="X16" i="6"/>
  <c r="X50" i="15"/>
  <c r="X60" i="15"/>
  <c r="X63" i="15"/>
  <c r="X114" i="15"/>
  <c r="X124" i="15"/>
  <c r="X127" i="15"/>
  <c r="X196" i="15"/>
  <c r="X228" i="15"/>
  <c r="X260" i="15"/>
  <c r="X292" i="15"/>
  <c r="X356" i="15"/>
  <c r="X388" i="15"/>
  <c r="X420" i="15"/>
  <c r="X452" i="15"/>
  <c r="X22" i="72"/>
  <c r="A18" i="24"/>
  <c r="N33" i="68" s="1"/>
  <c r="A8" i="31"/>
  <c r="A18" i="31" s="1"/>
  <c r="N41" i="68" s="1"/>
  <c r="X20" i="30"/>
  <c r="X19" i="30"/>
  <c r="X12" i="30"/>
  <c r="X11" i="30"/>
  <c r="X7" i="30"/>
  <c r="X22" i="30"/>
  <c r="X21" i="30"/>
  <c r="A20" i="30"/>
  <c r="O40" i="68" s="1"/>
  <c r="R40" i="68" s="1"/>
  <c r="X14" i="30"/>
  <c r="X8" i="30"/>
  <c r="X5" i="30"/>
  <c r="X15" i="30"/>
  <c r="X6" i="30"/>
  <c r="X17" i="30"/>
  <c r="X24" i="30"/>
  <c r="X9" i="30"/>
  <c r="X18" i="30"/>
  <c r="I40" i="68"/>
  <c r="X66" i="47"/>
  <c r="X62" i="47"/>
  <c r="X58" i="47"/>
  <c r="X54" i="47"/>
  <c r="X46" i="47"/>
  <c r="X42" i="47"/>
  <c r="X34" i="47"/>
  <c r="X26" i="47"/>
  <c r="X20" i="47"/>
  <c r="X19" i="47"/>
  <c r="X12" i="47"/>
  <c r="X7" i="47"/>
  <c r="X63" i="47"/>
  <c r="X59" i="47"/>
  <c r="X55" i="47"/>
  <c r="X51" i="47"/>
  <c r="X47" i="47"/>
  <c r="X35" i="47"/>
  <c r="X27" i="47"/>
  <c r="X22" i="47"/>
  <c r="X21" i="47"/>
  <c r="A20" i="47"/>
  <c r="O15" i="67" s="1"/>
  <c r="R15" i="67" s="1"/>
  <c r="X13" i="47"/>
  <c r="X8" i="47"/>
  <c r="X64" i="47"/>
  <c r="X60" i="47"/>
  <c r="X56" i="47"/>
  <c r="X48" i="47"/>
  <c r="X40" i="47"/>
  <c r="X28" i="47"/>
  <c r="X24" i="47"/>
  <c r="X23" i="47"/>
  <c r="X15" i="47"/>
  <c r="X6" i="47"/>
  <c r="X61" i="47"/>
  <c r="X45" i="47"/>
  <c r="X29" i="47"/>
  <c r="X18" i="47"/>
  <c r="X9" i="47"/>
  <c r="X65" i="47"/>
  <c r="X33" i="47"/>
  <c r="X10" i="47"/>
  <c r="X37" i="47"/>
  <c r="X57" i="47"/>
  <c r="X25" i="47"/>
  <c r="X41" i="47"/>
  <c r="I15" i="67"/>
  <c r="X22" i="20"/>
  <c r="X22" i="6"/>
  <c r="X21" i="6"/>
  <c r="A20" i="6"/>
  <c r="O10" i="68" s="1"/>
  <c r="R10" i="68" s="1"/>
  <c r="X14" i="6"/>
  <c r="X13" i="6"/>
  <c r="X8" i="6"/>
  <c r="X5" i="6"/>
  <c r="X23" i="6"/>
  <c r="X18" i="6"/>
  <c r="X9" i="6"/>
  <c r="X10" i="6"/>
  <c r="X20" i="6"/>
  <c r="X15" i="6"/>
  <c r="X7" i="6"/>
  <c r="X6" i="6"/>
  <c r="I10" i="68"/>
  <c r="X24" i="6"/>
  <c r="X17" i="6"/>
  <c r="X45" i="46"/>
  <c r="X37" i="46"/>
  <c r="X74" i="46"/>
  <c r="X66" i="46"/>
  <c r="X26" i="46"/>
  <c r="X19" i="46"/>
  <c r="X55" i="46"/>
  <c r="X43" i="46"/>
  <c r="X8" i="46"/>
  <c r="X76" i="46"/>
  <c r="X6" i="46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X513" i="15"/>
  <c r="X509" i="15"/>
  <c r="X505" i="15"/>
  <c r="X501" i="15"/>
  <c r="X497" i="15"/>
  <c r="X493" i="15"/>
  <c r="X489" i="15"/>
  <c r="X485" i="15"/>
  <c r="X477" i="15"/>
  <c r="X473" i="15"/>
  <c r="X469" i="15"/>
  <c r="X465" i="15"/>
  <c r="X461" i="15"/>
  <c r="X457" i="15"/>
  <c r="X453" i="15"/>
  <c r="X449" i="15"/>
  <c r="X441" i="15"/>
  <c r="X437" i="15"/>
  <c r="X433" i="15"/>
  <c r="X429" i="15"/>
  <c r="X425" i="15"/>
  <c r="X421" i="15"/>
  <c r="X417" i="15"/>
  <c r="X413" i="15"/>
  <c r="X405" i="15"/>
  <c r="X401" i="15"/>
  <c r="X397" i="15"/>
  <c r="X393" i="15"/>
  <c r="X389" i="15"/>
  <c r="X385" i="15"/>
  <c r="X381" i="15"/>
  <c r="X377" i="15"/>
  <c r="X369" i="15"/>
  <c r="X365" i="15"/>
  <c r="X361" i="15"/>
  <c r="X357" i="15"/>
  <c r="X353" i="15"/>
  <c r="X349" i="15"/>
  <c r="X345" i="15"/>
  <c r="X341" i="15"/>
  <c r="X333" i="15"/>
  <c r="X329" i="15"/>
  <c r="X325" i="15"/>
  <c r="X321" i="15"/>
  <c r="X317" i="15"/>
  <c r="X313" i="15"/>
  <c r="X309" i="15"/>
  <c r="X305" i="15"/>
  <c r="X297" i="15"/>
  <c r="X293" i="15"/>
  <c r="X289" i="15"/>
  <c r="X285" i="15"/>
  <c r="X281" i="15"/>
  <c r="X277" i="15"/>
  <c r="X273" i="15"/>
  <c r="X269" i="15"/>
  <c r="X265" i="15"/>
  <c r="X261" i="15"/>
  <c r="X257" i="15"/>
  <c r="X253" i="15"/>
  <c r="X249" i="15"/>
  <c r="X245" i="15"/>
  <c r="X233" i="15"/>
  <c r="X229" i="15"/>
  <c r="X225" i="15"/>
  <c r="X221" i="15"/>
  <c r="X217" i="15"/>
  <c r="X213" i="15"/>
  <c r="X209" i="15"/>
  <c r="X197" i="15"/>
  <c r="X193" i="15"/>
  <c r="X189" i="15"/>
  <c r="X185" i="15"/>
  <c r="X181" i="15"/>
  <c r="X177" i="15"/>
  <c r="X173" i="15"/>
  <c r="X169" i="15"/>
  <c r="X161" i="15"/>
  <c r="X157" i="15"/>
  <c r="X153" i="15"/>
  <c r="X149" i="15"/>
  <c r="X145" i="15"/>
  <c r="X141" i="15"/>
  <c r="X137" i="15"/>
  <c r="X125" i="15"/>
  <c r="X121" i="15"/>
  <c r="X117" i="15"/>
  <c r="X113" i="15"/>
  <c r="X109" i="15"/>
  <c r="X105" i="15"/>
  <c r="X101" i="15"/>
  <c r="X97" i="15"/>
  <c r="X93" i="15"/>
  <c r="X89" i="15"/>
  <c r="X81" i="15"/>
  <c r="X77" i="15"/>
  <c r="X73" i="15"/>
  <c r="X69" i="15"/>
  <c r="X61" i="15"/>
  <c r="X57" i="15"/>
  <c r="X53" i="15"/>
  <c r="X49" i="15"/>
  <c r="X41" i="15"/>
  <c r="X37" i="15"/>
  <c r="X33" i="15"/>
  <c r="X29" i="15"/>
  <c r="X25" i="15"/>
  <c r="X18" i="15"/>
  <c r="X17" i="15"/>
  <c r="X10" i="15"/>
  <c r="X9" i="15"/>
  <c r="X514" i="15"/>
  <c r="X510" i="15"/>
  <c r="X506" i="15"/>
  <c r="X502" i="15"/>
  <c r="X498" i="15"/>
  <c r="X494" i="15"/>
  <c r="X490" i="15"/>
  <c r="X486" i="15"/>
  <c r="X482" i="15"/>
  <c r="X478" i="15"/>
  <c r="X474" i="15"/>
  <c r="X470" i="15"/>
  <c r="X466" i="15"/>
  <c r="X462" i="15"/>
  <c r="X458" i="15"/>
  <c r="X454" i="15"/>
  <c r="X450" i="15"/>
  <c r="X446" i="15"/>
  <c r="X442" i="15"/>
  <c r="X438" i="15"/>
  <c r="X434" i="15"/>
  <c r="X430" i="15"/>
  <c r="X426" i="15"/>
  <c r="X422" i="15"/>
  <c r="X418" i="15"/>
  <c r="X414" i="15"/>
  <c r="X410" i="15"/>
  <c r="X406" i="15"/>
  <c r="X402" i="15"/>
  <c r="X398" i="15"/>
  <c r="X394" i="15"/>
  <c r="X390" i="15"/>
  <c r="X386" i="15"/>
  <c r="X382" i="15"/>
  <c r="X378" i="15"/>
  <c r="X374" i="15"/>
  <c r="X370" i="15"/>
  <c r="X366" i="15"/>
  <c r="X362" i="15"/>
  <c r="X358" i="15"/>
  <c r="X354" i="15"/>
  <c r="X350" i="15"/>
  <c r="X346" i="15"/>
  <c r="X342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46" i="15"/>
  <c r="X242" i="15"/>
  <c r="X226" i="15"/>
  <c r="X222" i="15"/>
  <c r="X218" i="15"/>
  <c r="X214" i="15"/>
  <c r="X210" i="15"/>
  <c r="X206" i="15"/>
  <c r="X190" i="15"/>
  <c r="X186" i="15"/>
  <c r="X182" i="15"/>
  <c r="X178" i="15"/>
  <c r="X174" i="15"/>
  <c r="X511" i="15"/>
  <c r="X503" i="15"/>
  <c r="X495" i="15"/>
  <c r="X487" i="15"/>
  <c r="X479" i="15"/>
  <c r="X471" i="15"/>
  <c r="X463" i="15"/>
  <c r="X455" i="15"/>
  <c r="X447" i="15"/>
  <c r="X439" i="15"/>
  <c r="X431" i="15"/>
  <c r="X423" i="15"/>
  <c r="X415" i="15"/>
  <c r="X391" i="15"/>
  <c r="X383" i="15"/>
  <c r="X375" i="15"/>
  <c r="X367" i="15"/>
  <c r="X359" i="15"/>
  <c r="X351" i="15"/>
  <c r="X343" i="15"/>
  <c r="X319" i="15"/>
  <c r="X311" i="15"/>
  <c r="X303" i="15"/>
  <c r="X295" i="15"/>
  <c r="X287" i="15"/>
  <c r="X279" i="15"/>
  <c r="X271" i="15"/>
  <c r="X255" i="15"/>
  <c r="X247" i="15"/>
  <c r="X239" i="15"/>
  <c r="X231" i="15"/>
  <c r="X223" i="15"/>
  <c r="X215" i="15"/>
  <c r="X207" i="15"/>
  <c r="X199" i="15"/>
  <c r="X183" i="15"/>
  <c r="X175" i="15"/>
  <c r="X171" i="15"/>
  <c r="X168" i="15"/>
  <c r="X152" i="15"/>
  <c r="X142" i="15"/>
  <c r="X139" i="15"/>
  <c r="X136" i="15"/>
  <c r="X126" i="15"/>
  <c r="X123" i="15"/>
  <c r="X120" i="15"/>
  <c r="X110" i="15"/>
  <c r="X107" i="15"/>
  <c r="X94" i="15"/>
  <c r="X91" i="15"/>
  <c r="X78" i="15"/>
  <c r="X59" i="15"/>
  <c r="X56" i="15"/>
  <c r="X46" i="15"/>
  <c r="X40" i="15"/>
  <c r="X30" i="15"/>
  <c r="X27" i="15"/>
  <c r="X24" i="15"/>
  <c r="X19" i="15"/>
  <c r="X15" i="15"/>
  <c r="X12" i="15"/>
  <c r="X499" i="15"/>
  <c r="X491" i="15"/>
  <c r="X483" i="15"/>
  <c r="X459" i="15"/>
  <c r="X451" i="15"/>
  <c r="X427" i="15"/>
  <c r="X403" i="15"/>
  <c r="X395" i="15"/>
  <c r="X379" i="15"/>
  <c r="X347" i="15"/>
  <c r="X323" i="15"/>
  <c r="X307" i="15"/>
  <c r="X283" i="15"/>
  <c r="X275" i="15"/>
  <c r="X267" i="15"/>
  <c r="X251" i="15"/>
  <c r="X243" i="15"/>
  <c r="X187" i="15"/>
  <c r="X160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54" i="15"/>
  <c r="X35" i="15"/>
  <c r="X23" i="15"/>
  <c r="A18" i="15"/>
  <c r="N14" i="68" s="1"/>
  <c r="X8" i="15"/>
  <c r="X5" i="15"/>
  <c r="X496" i="15"/>
  <c r="X488" i="15"/>
  <c r="X480" i="15"/>
  <c r="X472" i="15"/>
  <c r="X464" i="15"/>
  <c r="X456" i="15"/>
  <c r="X448" i="15"/>
  <c r="X424" i="15"/>
  <c r="X416" i="15"/>
  <c r="X408" i="15"/>
  <c r="X400" i="15"/>
  <c r="X392" i="15"/>
  <c r="X384" i="15"/>
  <c r="X352" i="15"/>
  <c r="X344" i="15"/>
  <c r="X336" i="15"/>
  <c r="X328" i="15"/>
  <c r="X320" i="15"/>
  <c r="X312" i="15"/>
  <c r="X280" i="15"/>
  <c r="X272" i="15"/>
  <c r="X264" i="15"/>
  <c r="X256" i="15"/>
  <c r="X248" i="15"/>
  <c r="X240" i="15"/>
  <c r="X232" i="15"/>
  <c r="X224" i="15"/>
  <c r="X216" i="15"/>
  <c r="X208" i="15"/>
  <c r="X200" i="15"/>
  <c r="X192" i="15"/>
  <c r="X184" i="15"/>
  <c r="X176" i="15"/>
  <c r="X170" i="15"/>
  <c r="X167" i="15"/>
  <c r="X164" i="15"/>
  <c r="X154" i="15"/>
  <c r="X151" i="15"/>
  <c r="X148" i="15"/>
  <c r="X138" i="15"/>
  <c r="X135" i="15"/>
  <c r="X132" i="15"/>
  <c r="X119" i="15"/>
  <c r="X116" i="15"/>
  <c r="X106" i="15"/>
  <c r="X103" i="15"/>
  <c r="X100" i="15"/>
  <c r="X90" i="15"/>
  <c r="X87" i="15"/>
  <c r="X84" i="15"/>
  <c r="X74" i="15"/>
  <c r="X71" i="15"/>
  <c r="X68" i="15"/>
  <c r="X55" i="15"/>
  <c r="X52" i="15"/>
  <c r="X39" i="15"/>
  <c r="X36" i="15"/>
  <c r="X16" i="15"/>
  <c r="X14" i="15"/>
  <c r="I14" i="68"/>
  <c r="X475" i="15"/>
  <c r="X467" i="15"/>
  <c r="X443" i="15"/>
  <c r="X435" i="15"/>
  <c r="X419" i="15"/>
  <c r="X411" i="15"/>
  <c r="X387" i="15"/>
  <c r="X355" i="15"/>
  <c r="X339" i="15"/>
  <c r="X331" i="15"/>
  <c r="X315" i="15"/>
  <c r="X259" i="15"/>
  <c r="X235" i="15"/>
  <c r="X219" i="15"/>
  <c r="X211" i="15"/>
  <c r="X203" i="15"/>
  <c r="X195" i="15"/>
  <c r="X179" i="15"/>
  <c r="X163" i="15"/>
  <c r="X134" i="15"/>
  <c r="X96" i="15"/>
  <c r="X83" i="15"/>
  <c r="X70" i="15"/>
  <c r="X67" i="15"/>
  <c r="X51" i="15"/>
  <c r="X32" i="15"/>
  <c r="X20" i="15"/>
  <c r="X11" i="15"/>
  <c r="X22" i="15"/>
  <c r="X28" i="15"/>
  <c r="X31" i="15"/>
  <c r="X82" i="15"/>
  <c r="X92" i="15"/>
  <c r="X95" i="15"/>
  <c r="X146" i="15"/>
  <c r="X156" i="15"/>
  <c r="X159" i="15"/>
  <c r="X180" i="15"/>
  <c r="X212" i="15"/>
  <c r="X244" i="15"/>
  <c r="X276" i="15"/>
  <c r="X308" i="15"/>
  <c r="X372" i="15"/>
  <c r="X436" i="15"/>
  <c r="X500" i="15"/>
  <c r="A20" i="29"/>
  <c r="O39" i="68" s="1"/>
  <c r="R39" i="68" s="1"/>
  <c r="X27" i="29"/>
  <c r="I39" i="68"/>
  <c r="X19" i="51"/>
  <c r="X12" i="51"/>
  <c r="X11" i="51"/>
  <c r="X7" i="51"/>
  <c r="X21" i="51"/>
  <c r="A20" i="51"/>
  <c r="O19" i="67" s="1"/>
  <c r="R19" i="67" s="1"/>
  <c r="X13" i="51"/>
  <c r="X8" i="51"/>
  <c r="X5" i="51"/>
  <c r="X18" i="51"/>
  <c r="X17" i="51"/>
  <c r="X24" i="51"/>
  <c r="X16" i="51"/>
  <c r="X6" i="51"/>
  <c r="X15" i="51"/>
  <c r="X10" i="51"/>
  <c r="I19" i="67"/>
  <c r="X6" i="13"/>
  <c r="X34" i="15"/>
  <c r="X44" i="15"/>
  <c r="X204" i="15"/>
  <c r="X300" i="15"/>
  <c r="X364" i="15"/>
  <c r="X460" i="15"/>
  <c r="X492" i="15"/>
  <c r="V39" i="67"/>
  <c r="O35" i="2" s="1"/>
  <c r="O65" i="67"/>
  <c r="R65" i="67" s="1"/>
  <c r="X14" i="71"/>
  <c r="X13" i="71"/>
  <c r="X12" i="71"/>
  <c r="I25" i="67"/>
  <c r="X27" i="23"/>
  <c r="X22" i="23"/>
  <c r="A20" i="23"/>
  <c r="O32" i="68" s="1"/>
  <c r="R32" i="68" s="1"/>
  <c r="X14" i="23"/>
  <c r="X13" i="23"/>
  <c r="X8" i="23"/>
  <c r="X5" i="23"/>
  <c r="X24" i="23"/>
  <c r="X23" i="23"/>
  <c r="X16" i="23"/>
  <c r="X15" i="23"/>
  <c r="X6" i="23"/>
  <c r="X18" i="23"/>
  <c r="X17" i="23"/>
  <c r="X10" i="23"/>
  <c r="X9" i="23"/>
  <c r="X20" i="23"/>
  <c r="X19" i="23"/>
  <c r="X11" i="23"/>
  <c r="X26" i="23"/>
  <c r="I32" i="68"/>
  <c r="X41" i="57"/>
  <c r="X37" i="57"/>
  <c r="X33" i="57"/>
  <c r="X17" i="57"/>
  <c r="X46" i="57"/>
  <c r="X42" i="57"/>
  <c r="X38" i="57"/>
  <c r="X34" i="57"/>
  <c r="X30" i="57"/>
  <c r="X47" i="57"/>
  <c r="X39" i="57"/>
  <c r="X22" i="57"/>
  <c r="X21" i="57"/>
  <c r="A20" i="57"/>
  <c r="O31" i="67" s="1"/>
  <c r="X15" i="57"/>
  <c r="X13" i="57"/>
  <c r="X8" i="57"/>
  <c r="X24" i="57"/>
  <c r="X23" i="57"/>
  <c r="X10" i="57"/>
  <c r="X35" i="57"/>
  <c r="X27" i="57"/>
  <c r="X5" i="57"/>
  <c r="I31" i="67"/>
  <c r="A8" i="35"/>
  <c r="X5" i="16"/>
  <c r="X18" i="16"/>
  <c r="X20" i="73"/>
  <c r="X19" i="73"/>
  <c r="X12" i="73"/>
  <c r="X11" i="73"/>
  <c r="X7" i="73"/>
  <c r="X23" i="73"/>
  <c r="X18" i="73"/>
  <c r="X13" i="73"/>
  <c r="X9" i="73"/>
  <c r="X8" i="73"/>
  <c r="X22" i="73"/>
  <c r="A20" i="73"/>
  <c r="O26" i="67" s="1"/>
  <c r="R26" i="67" s="1"/>
  <c r="X15" i="73"/>
  <c r="X10" i="73"/>
  <c r="X6" i="73"/>
  <c r="X14" i="73"/>
  <c r="X16" i="73"/>
  <c r="X5" i="73"/>
  <c r="X17" i="73"/>
  <c r="X21" i="73"/>
  <c r="X24" i="73"/>
  <c r="I26" i="67"/>
  <c r="X20" i="75"/>
  <c r="X23" i="18"/>
  <c r="X20" i="18"/>
  <c r="A18" i="6"/>
  <c r="N10" i="68" s="1"/>
  <c r="X7" i="15"/>
  <c r="X13" i="15"/>
  <c r="X66" i="15"/>
  <c r="X76" i="15"/>
  <c r="X79" i="15"/>
  <c r="X140" i="15"/>
  <c r="X143" i="15"/>
  <c r="X188" i="15"/>
  <c r="X220" i="15"/>
  <c r="X252" i="15"/>
  <c r="X284" i="15"/>
  <c r="X316" i="15"/>
  <c r="X348" i="15"/>
  <c r="X380" i="15"/>
  <c r="X444" i="15"/>
  <c r="X508" i="15"/>
  <c r="X10" i="16"/>
  <c r="X23" i="21"/>
  <c r="X7" i="23"/>
  <c r="I54" i="68"/>
  <c r="I66" i="68"/>
  <c r="I54" i="67"/>
  <c r="I58" i="67"/>
  <c r="N64" i="67"/>
  <c r="A8" i="44"/>
  <c r="O64" i="67"/>
  <c r="A18" i="21"/>
  <c r="N21" i="68" s="1"/>
  <c r="A18" i="23"/>
  <c r="N32" i="68" s="1"/>
  <c r="A18" i="30"/>
  <c r="N40" i="68" s="1"/>
  <c r="A18" i="34"/>
  <c r="N45" i="68" s="1"/>
  <c r="A18" i="29"/>
  <c r="N39" i="68" s="1"/>
  <c r="AA12" i="42"/>
  <c r="AC12" i="42" s="1"/>
  <c r="AP12" i="42" s="1"/>
  <c r="Z12" i="42"/>
  <c r="AB12" i="42" s="1"/>
  <c r="AO12" i="42" s="1"/>
  <c r="A18" i="47"/>
  <c r="N15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5"/>
  <c r="N28" i="67" s="1"/>
  <c r="A18" i="52"/>
  <c r="N20" i="67" s="1"/>
  <c r="A18" i="73"/>
  <c r="N26" i="67" s="1"/>
  <c r="Q26" i="67" s="1"/>
  <c r="A18" i="51"/>
  <c r="N19" i="67" s="1"/>
  <c r="A18" i="57"/>
  <c r="N31" i="67" s="1"/>
  <c r="X15" i="50"/>
  <c r="X16" i="50"/>
  <c r="X23" i="50"/>
  <c r="X24" i="50"/>
  <c r="A20" i="50"/>
  <c r="O18" i="67" s="1"/>
  <c r="R18" i="67" s="1"/>
  <c r="V18" i="67" s="1"/>
  <c r="O18" i="2" s="1"/>
  <c r="X21" i="50"/>
  <c r="A18" i="63"/>
  <c r="A18" i="64"/>
  <c r="N37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6" i="27"/>
  <c r="AN85" i="15" l="1"/>
  <c r="AN68" i="15"/>
  <c r="AN98" i="15"/>
  <c r="AN64" i="15"/>
  <c r="S14" i="68"/>
  <c r="S7" i="68" s="1"/>
  <c r="AN9" i="18"/>
  <c r="M37" i="2"/>
  <c r="C9" i="2"/>
  <c r="H7" i="68"/>
  <c r="C8" i="2" s="1"/>
  <c r="K7" i="68"/>
  <c r="X12" i="27"/>
  <c r="X118" i="32"/>
  <c r="X24" i="32"/>
  <c r="X39" i="32"/>
  <c r="X72" i="32"/>
  <c r="X27" i="32"/>
  <c r="X136" i="32"/>
  <c r="AA136" i="32" s="1"/>
  <c r="AC136" i="32" s="1"/>
  <c r="AP136" i="32" s="1"/>
  <c r="X73" i="32"/>
  <c r="X55" i="32"/>
  <c r="X50" i="32"/>
  <c r="X95" i="32"/>
  <c r="AA95" i="32" s="1"/>
  <c r="AC95" i="32" s="1"/>
  <c r="AP95" i="32" s="1"/>
  <c r="X78" i="32"/>
  <c r="Z78" i="32" s="1"/>
  <c r="AB78" i="32" s="1"/>
  <c r="AO78" i="32" s="1"/>
  <c r="X103" i="32"/>
  <c r="X110" i="32"/>
  <c r="X85" i="32"/>
  <c r="X6" i="70"/>
  <c r="X123" i="32"/>
  <c r="X89" i="32"/>
  <c r="X14" i="70"/>
  <c r="Z14" i="70" s="1"/>
  <c r="AB14" i="70" s="1"/>
  <c r="AO14" i="70" s="1"/>
  <c r="X21" i="70"/>
  <c r="X67" i="32"/>
  <c r="X133" i="32"/>
  <c r="X20" i="70"/>
  <c r="AA20" i="70" s="1"/>
  <c r="AC20" i="70" s="1"/>
  <c r="AP20" i="70" s="1"/>
  <c r="X11" i="32"/>
  <c r="Z11" i="32" s="1"/>
  <c r="AB11" i="32" s="1"/>
  <c r="AO11" i="32" s="1"/>
  <c r="X137" i="32"/>
  <c r="X10" i="70"/>
  <c r="A20" i="27"/>
  <c r="O36" i="68" s="1"/>
  <c r="R36" i="68" s="1"/>
  <c r="X15" i="27"/>
  <c r="X115" i="32"/>
  <c r="X23" i="32"/>
  <c r="X33" i="28"/>
  <c r="AA33" i="28" s="1"/>
  <c r="AC33" i="28" s="1"/>
  <c r="AP33" i="28" s="1"/>
  <c r="X9" i="28"/>
  <c r="Z9" i="28" s="1"/>
  <c r="AB9" i="28" s="1"/>
  <c r="AO9" i="28" s="1"/>
  <c r="X20" i="28"/>
  <c r="X129" i="66"/>
  <c r="AA129" i="66" s="1"/>
  <c r="AC129" i="66" s="1"/>
  <c r="AP129" i="66" s="1"/>
  <c r="X15" i="71"/>
  <c r="Z15" i="71" s="1"/>
  <c r="AB15" i="71" s="1"/>
  <c r="AO15" i="71" s="1"/>
  <c r="A20" i="71"/>
  <c r="O25" i="67" s="1"/>
  <c r="R25" i="67" s="1"/>
  <c r="V25" i="67" s="1"/>
  <c r="X11" i="3"/>
  <c r="X41" i="28"/>
  <c r="X17" i="71"/>
  <c r="X6" i="3"/>
  <c r="Z6" i="3" s="1"/>
  <c r="AB6" i="3" s="1"/>
  <c r="AO6" i="3" s="1"/>
  <c r="X12" i="3"/>
  <c r="Z12" i="3" s="1"/>
  <c r="AB12" i="3" s="1"/>
  <c r="AO12" i="3" s="1"/>
  <c r="X14" i="28"/>
  <c r="X22" i="71"/>
  <c r="AA22" i="71" s="1"/>
  <c r="AC22" i="71" s="1"/>
  <c r="AP22" i="71" s="1"/>
  <c r="X7" i="71"/>
  <c r="X16" i="3"/>
  <c r="X19" i="3"/>
  <c r="A20" i="28"/>
  <c r="O38" i="68" s="1"/>
  <c r="R38" i="68" s="1"/>
  <c r="I8" i="68"/>
  <c r="AA11" i="50"/>
  <c r="AC11" i="50" s="1"/>
  <c r="AP11" i="50" s="1"/>
  <c r="X10" i="71"/>
  <c r="X8" i="3"/>
  <c r="X21" i="71"/>
  <c r="X23" i="71"/>
  <c r="Z23" i="71" s="1"/>
  <c r="AB23" i="71" s="1"/>
  <c r="AO23" i="71" s="1"/>
  <c r="X11" i="71"/>
  <c r="X18" i="3"/>
  <c r="Z18" i="3" s="1"/>
  <c r="AB18" i="3" s="1"/>
  <c r="AO18" i="3" s="1"/>
  <c r="X18" i="71"/>
  <c r="X20" i="71"/>
  <c r="X8" i="71"/>
  <c r="Z8" i="71" s="1"/>
  <c r="AB8" i="71" s="1"/>
  <c r="AO8" i="71" s="1"/>
  <c r="X9" i="71"/>
  <c r="Z9" i="71" s="1"/>
  <c r="AB9" i="71" s="1"/>
  <c r="AO9" i="71" s="1"/>
  <c r="A18" i="71"/>
  <c r="N25" i="67" s="1"/>
  <c r="Q25" i="67" s="1"/>
  <c r="U25" i="67" s="1"/>
  <c r="X19" i="71"/>
  <c r="X14" i="3"/>
  <c r="X16" i="7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6" i="67" s="1"/>
  <c r="X10" i="3"/>
  <c r="X30" i="28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X37" i="28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AP22" i="28" s="1"/>
  <c r="X11" i="28"/>
  <c r="AA11" i="28" s="1"/>
  <c r="AC11" i="28" s="1"/>
  <c r="AP11" i="28" s="1"/>
  <c r="X23" i="28"/>
  <c r="X27" i="28"/>
  <c r="AA27" i="28" s="1"/>
  <c r="AC27" i="28" s="1"/>
  <c r="AP27" i="28" s="1"/>
  <c r="X45" i="28"/>
  <c r="I38" i="68"/>
  <c r="X38" i="28"/>
  <c r="AA38" i="28" s="1"/>
  <c r="AC38" i="28" s="1"/>
  <c r="AP38" i="28" s="1"/>
  <c r="X10" i="28"/>
  <c r="X32" i="28"/>
  <c r="X35" i="28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X28" i="28"/>
  <c r="Z28" i="28" s="1"/>
  <c r="AB28" i="28" s="1"/>
  <c r="AO28" i="28" s="1"/>
  <c r="A18" i="28"/>
  <c r="N38" i="68" s="1"/>
  <c r="X18" i="28"/>
  <c r="Z18" i="28" s="1"/>
  <c r="AB18" i="28" s="1"/>
  <c r="AO18" i="28" s="1"/>
  <c r="X48" i="28"/>
  <c r="AA48" i="28" s="1"/>
  <c r="AC48" i="28" s="1"/>
  <c r="AP48" i="28" s="1"/>
  <c r="X47" i="28"/>
  <c r="X47" i="12"/>
  <c r="X21" i="25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X26" i="28"/>
  <c r="AA26" i="28" s="1"/>
  <c r="AC26" i="28" s="1"/>
  <c r="X5" i="28"/>
  <c r="X49" i="12"/>
  <c r="AA49" i="12" s="1"/>
  <c r="AC49" i="12" s="1"/>
  <c r="AP49" i="12" s="1"/>
  <c r="X51" i="66"/>
  <c r="AA51" i="66" s="1"/>
  <c r="AC51" i="66" s="1"/>
  <c r="X34" i="28"/>
  <c r="X8" i="28"/>
  <c r="X19" i="12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X18" i="25"/>
  <c r="AA18" i="25" s="1"/>
  <c r="AC18" i="25" s="1"/>
  <c r="AP18" i="25" s="1"/>
  <c r="X111" i="66"/>
  <c r="X75" i="66"/>
  <c r="Z75" i="66" s="1"/>
  <c r="AB75" i="66" s="1"/>
  <c r="AO75" i="66" s="1"/>
  <c r="X39" i="66"/>
  <c r="Z39" i="66" s="1"/>
  <c r="AB39" i="66" s="1"/>
  <c r="AO39" i="66" s="1"/>
  <c r="X131" i="66"/>
  <c r="X59" i="66"/>
  <c r="X23" i="66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AP10" i="12" s="1"/>
  <c r="X23" i="12"/>
  <c r="X5" i="12"/>
  <c r="Z5" i="12" s="1"/>
  <c r="AB5" i="12" s="1"/>
  <c r="X26" i="12"/>
  <c r="X16" i="12"/>
  <c r="Z16" i="12" s="1"/>
  <c r="AB16" i="12" s="1"/>
  <c r="AO16" i="12" s="1"/>
  <c r="X108" i="66"/>
  <c r="AA108" i="66" s="1"/>
  <c r="AC108" i="66" s="1"/>
  <c r="AP108" i="66" s="1"/>
  <c r="X72" i="66"/>
  <c r="X36" i="66"/>
  <c r="X18" i="66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AP20" i="66" s="1"/>
  <c r="X7" i="66"/>
  <c r="X20" i="12"/>
  <c r="AA20" i="12" s="1"/>
  <c r="AC20" i="12" s="1"/>
  <c r="AP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X10" i="36"/>
  <c r="X5" i="25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X15" i="12"/>
  <c r="Z15" i="12" s="1"/>
  <c r="AB15" i="12" s="1"/>
  <c r="AO15" i="12" s="1"/>
  <c r="X29" i="12"/>
  <c r="X14" i="12"/>
  <c r="Z14" i="12" s="1"/>
  <c r="AB14" i="12" s="1"/>
  <c r="AO14" i="12" s="1"/>
  <c r="X30" i="12"/>
  <c r="Z30" i="12" s="1"/>
  <c r="AB30" i="12" s="1"/>
  <c r="AO30" i="12" s="1"/>
  <c r="X40" i="12"/>
  <c r="X105" i="66"/>
  <c r="X69" i="66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X15" i="25"/>
  <c r="Z15" i="25" s="1"/>
  <c r="AB15" i="25" s="1"/>
  <c r="AO15" i="25" s="1"/>
  <c r="X67" i="66"/>
  <c r="A18" i="12"/>
  <c r="N11" i="68" s="1"/>
  <c r="Q11" i="68" s="1"/>
  <c r="U11" i="68" s="1"/>
  <c r="F12" i="2" s="1"/>
  <c r="X54" i="66"/>
  <c r="Z54" i="66" s="1"/>
  <c r="AB54" i="66" s="1"/>
  <c r="AO54" i="66" s="1"/>
  <c r="X6" i="36"/>
  <c r="X8" i="25"/>
  <c r="X31" i="66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X34" i="12"/>
  <c r="AA34" i="12" s="1"/>
  <c r="AC34" i="12" s="1"/>
  <c r="AP34" i="12" s="1"/>
  <c r="X102" i="66"/>
  <c r="Z102" i="66" s="1"/>
  <c r="AB102" i="66" s="1"/>
  <c r="AO102" i="66" s="1"/>
  <c r="X66" i="66"/>
  <c r="X33" i="66"/>
  <c r="X122" i="66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X17" i="36"/>
  <c r="X15" i="36"/>
  <c r="AA15" i="36" s="1"/>
  <c r="AC15" i="36" s="1"/>
  <c r="AP15" i="36" s="1"/>
  <c r="X18" i="36"/>
  <c r="X13" i="25"/>
  <c r="AA13" i="25" s="1"/>
  <c r="AC13" i="25" s="1"/>
  <c r="X87" i="66"/>
  <c r="AA87" i="66" s="1"/>
  <c r="AC87" i="66" s="1"/>
  <c r="AP87" i="66" s="1"/>
  <c r="X94" i="66"/>
  <c r="X6" i="66"/>
  <c r="X61" i="66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AP24" i="12" s="1"/>
  <c r="X38" i="12"/>
  <c r="X25" i="28"/>
  <c r="AA25" i="28" s="1"/>
  <c r="AC25" i="28" s="1"/>
  <c r="AP25" i="28" s="1"/>
  <c r="X24" i="28"/>
  <c r="X13" i="66"/>
  <c r="AA13" i="66" s="1"/>
  <c r="AC13" i="66" s="1"/>
  <c r="AP13" i="66" s="1"/>
  <c r="X99" i="66"/>
  <c r="Z99" i="66" s="1"/>
  <c r="AB99" i="66" s="1"/>
  <c r="AO99" i="66" s="1"/>
  <c r="X63" i="66"/>
  <c r="X119" i="66"/>
  <c r="X83" i="66"/>
  <c r="X47" i="66"/>
  <c r="AA47" i="66" s="1"/>
  <c r="AC47" i="66" s="1"/>
  <c r="AP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X27" i="12"/>
  <c r="AA27" i="12" s="1"/>
  <c r="AC27" i="12" s="1"/>
  <c r="AP27" i="12" s="1"/>
  <c r="X46" i="12"/>
  <c r="AA46" i="12" s="1"/>
  <c r="AC46" i="12" s="1"/>
  <c r="AP46" i="12" s="1"/>
  <c r="I34" i="68"/>
  <c r="X96" i="66"/>
  <c r="AA96" i="66" s="1"/>
  <c r="AC96" i="66" s="1"/>
  <c r="X60" i="66"/>
  <c r="X30" i="66"/>
  <c r="X116" i="66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X58" i="66"/>
  <c r="Z58" i="66" s="1"/>
  <c r="AB58" i="66" s="1"/>
  <c r="AO58" i="66" s="1"/>
  <c r="X28" i="12"/>
  <c r="X48" i="12"/>
  <c r="AA48" i="12" s="1"/>
  <c r="AC48" i="12" s="1"/>
  <c r="AP48" i="12" s="1"/>
  <c r="X37" i="12"/>
  <c r="Z37" i="12" s="1"/>
  <c r="AB37" i="12" s="1"/>
  <c r="AO37" i="12" s="1"/>
  <c r="X50" i="12"/>
  <c r="X118" i="66"/>
  <c r="I50" i="68"/>
  <c r="O50" i="68" s="1"/>
  <c r="R50" i="68" s="1"/>
  <c r="V50" i="68" s="1"/>
  <c r="X22" i="36"/>
  <c r="Z22" i="36" s="1"/>
  <c r="AB22" i="36" s="1"/>
  <c r="AO22" i="36" s="1"/>
  <c r="X9" i="25"/>
  <c r="AA9" i="25" s="1"/>
  <c r="AC9" i="25" s="1"/>
  <c r="AP9" i="25" s="1"/>
  <c r="X22" i="25"/>
  <c r="Z22" i="25" s="1"/>
  <c r="AB22" i="25" s="1"/>
  <c r="AO22" i="25" s="1"/>
  <c r="X71" i="66"/>
  <c r="X126" i="66"/>
  <c r="X74" i="66"/>
  <c r="Z74" i="66" s="1"/>
  <c r="AB74" i="66" s="1"/>
  <c r="AO74" i="66" s="1"/>
  <c r="X97" i="66"/>
  <c r="X31" i="12"/>
  <c r="AA31" i="12" s="1"/>
  <c r="AC31" i="12" s="1"/>
  <c r="AP31" i="12" s="1"/>
  <c r="I11" i="68"/>
  <c r="X43" i="12"/>
  <c r="X18" i="12"/>
  <c r="A20" i="25"/>
  <c r="O34" i="68" s="1"/>
  <c r="R34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A18" i="36"/>
  <c r="N50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X106" i="66"/>
  <c r="X121" i="66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X68" i="66"/>
  <c r="X29" i="13"/>
  <c r="X20" i="36"/>
  <c r="AA20" i="36" s="1"/>
  <c r="AC20" i="36" s="1"/>
  <c r="AP20" i="36" s="1"/>
  <c r="X9" i="12"/>
  <c r="AA9" i="12" s="1"/>
  <c r="AC9" i="12" s="1"/>
  <c r="AP9" i="12" s="1"/>
  <c r="X95" i="66"/>
  <c r="AA95" i="66" s="1"/>
  <c r="AC95" i="66" s="1"/>
  <c r="X26" i="66"/>
  <c r="Z26" i="66" s="1"/>
  <c r="AB26" i="66" s="1"/>
  <c r="AO26" i="66" s="1"/>
  <c r="X7" i="36"/>
  <c r="X7" i="25"/>
  <c r="Z7" i="25" s="1"/>
  <c r="AB7" i="25" s="1"/>
  <c r="AO7" i="25" s="1"/>
  <c r="X90" i="66"/>
  <c r="AA90" i="66" s="1"/>
  <c r="AC90" i="66" s="1"/>
  <c r="AP90" i="66" s="1"/>
  <c r="A18" i="25"/>
  <c r="N34" i="68" s="1"/>
  <c r="Q34" i="68" s="1"/>
  <c r="X8" i="36"/>
  <c r="Z8" i="36" s="1"/>
  <c r="AB8" i="36" s="1"/>
  <c r="AO8" i="36" s="1"/>
  <c r="X6" i="25"/>
  <c r="A18" i="66"/>
  <c r="N6" i="67" s="1"/>
  <c r="X43" i="66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AP81" i="66" s="1"/>
  <c r="X45" i="66"/>
  <c r="Z45" i="66" s="1"/>
  <c r="AB45" i="66" s="1"/>
  <c r="AO45" i="66" s="1"/>
  <c r="X101" i="66"/>
  <c r="X65" i="66"/>
  <c r="AP12" i="50"/>
  <c r="AP16" i="62"/>
  <c r="AN19" i="69"/>
  <c r="AN69" i="66"/>
  <c r="AN105" i="66"/>
  <c r="N57" i="68"/>
  <c r="Q57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X17" i="65"/>
  <c r="AA17" i="65" s="1"/>
  <c r="AC17" i="65" s="1"/>
  <c r="AP17" i="65" s="1"/>
  <c r="X52" i="65"/>
  <c r="AA52" i="65" s="1"/>
  <c r="AC52" i="65" s="1"/>
  <c r="X99" i="65"/>
  <c r="X136" i="65"/>
  <c r="X178" i="65"/>
  <c r="AA178" i="65" s="1"/>
  <c r="AC178" i="65" s="1"/>
  <c r="X103" i="65"/>
  <c r="AA103" i="65" s="1"/>
  <c r="AC103" i="65" s="1"/>
  <c r="AP103" i="65" s="1"/>
  <c r="X145" i="65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X92" i="65"/>
  <c r="Z92" i="65" s="1"/>
  <c r="AB92" i="65" s="1"/>
  <c r="AO92" i="65" s="1"/>
  <c r="X64" i="65"/>
  <c r="Z64" i="65" s="1"/>
  <c r="AB64" i="65" s="1"/>
  <c r="AO64" i="65" s="1"/>
  <c r="X19" i="65"/>
  <c r="X53" i="65"/>
  <c r="X140" i="65"/>
  <c r="AA140" i="65" s="1"/>
  <c r="AC140" i="65" s="1"/>
  <c r="X28" i="65"/>
  <c r="AA28" i="65" s="1"/>
  <c r="AC28" i="65" s="1"/>
  <c r="X61" i="65"/>
  <c r="X108" i="65"/>
  <c r="AA108" i="65" s="1"/>
  <c r="AC108" i="65" s="1"/>
  <c r="AP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X26" i="53"/>
  <c r="X18" i="65"/>
  <c r="AA18" i="65" s="1"/>
  <c r="AC18" i="65" s="1"/>
  <c r="AP18" i="65" s="1"/>
  <c r="X180" i="65"/>
  <c r="AA180" i="65" s="1"/>
  <c r="AC180" i="65" s="1"/>
  <c r="X66" i="65"/>
  <c r="X124" i="65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X159" i="65"/>
  <c r="AA159" i="65" s="1"/>
  <c r="AC159" i="65" s="1"/>
  <c r="X191" i="65"/>
  <c r="Z191" i="65" s="1"/>
  <c r="AB191" i="65" s="1"/>
  <c r="AO191" i="65" s="1"/>
  <c r="X15" i="18"/>
  <c r="X14" i="16"/>
  <c r="AA14" i="16" s="1"/>
  <c r="AC14" i="16" s="1"/>
  <c r="AP14" i="16" s="1"/>
  <c r="X19" i="18"/>
  <c r="AA19" i="18" s="1"/>
  <c r="AC19" i="18" s="1"/>
  <c r="AP19" i="18" s="1"/>
  <c r="A20" i="16"/>
  <c r="O15" i="68" s="1"/>
  <c r="R15" i="68" s="1"/>
  <c r="V15" i="68" s="1"/>
  <c r="G16" i="2" s="1"/>
  <c r="X34" i="53"/>
  <c r="AA34" i="53" s="1"/>
  <c r="AC34" i="53" s="1"/>
  <c r="AP34" i="53" s="1"/>
  <c r="X72" i="65"/>
  <c r="X150" i="65"/>
  <c r="X76" i="65"/>
  <c r="Z76" i="65" s="1"/>
  <c r="AB76" i="65" s="1"/>
  <c r="AO76" i="65" s="1"/>
  <c r="X25" i="65"/>
  <c r="AA25" i="65" s="1"/>
  <c r="AC25" i="65" s="1"/>
  <c r="X63" i="65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X193" i="65"/>
  <c r="AA193" i="65" s="1"/>
  <c r="AC193" i="65" s="1"/>
  <c r="X82" i="65"/>
  <c r="Z82" i="65" s="1"/>
  <c r="AB82" i="65" s="1"/>
  <c r="AO82" i="65" s="1"/>
  <c r="X120" i="65"/>
  <c r="X161" i="65"/>
  <c r="AA161" i="65" s="1"/>
  <c r="AC161" i="65" s="1"/>
  <c r="AP161" i="65" s="1"/>
  <c r="X194" i="65"/>
  <c r="AA194" i="65" s="1"/>
  <c r="AC194" i="65" s="1"/>
  <c r="AP194" i="65" s="1"/>
  <c r="X24" i="18"/>
  <c r="Z24" i="18" s="1"/>
  <c r="AB24" i="18" s="1"/>
  <c r="AO24" i="18" s="1"/>
  <c r="X21" i="16"/>
  <c r="X36" i="53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AP9" i="18" s="1"/>
  <c r="X7" i="18"/>
  <c r="X7" i="16"/>
  <c r="A18" i="65"/>
  <c r="N6" i="68" s="1"/>
  <c r="D6" i="2" s="1"/>
  <c r="X55" i="53"/>
  <c r="AA55" i="53" s="1"/>
  <c r="AC55" i="53" s="1"/>
  <c r="AP55" i="53" s="1"/>
  <c r="X62" i="65"/>
  <c r="X86" i="65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AP32" i="65" s="1"/>
  <c r="X75" i="65"/>
  <c r="X95" i="65"/>
  <c r="AA95" i="65" s="1"/>
  <c r="AC95" i="65" s="1"/>
  <c r="X38" i="65"/>
  <c r="AA38" i="65" s="1"/>
  <c r="AC38" i="65" s="1"/>
  <c r="X146" i="65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X126" i="65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O46" i="67"/>
  <c r="R46" i="67" s="1"/>
  <c r="X14" i="18"/>
  <c r="Z14" i="18" s="1"/>
  <c r="AB14" i="18" s="1"/>
  <c r="AO14" i="18" s="1"/>
  <c r="X74" i="65"/>
  <c r="X21" i="65"/>
  <c r="AA21" i="65" s="1"/>
  <c r="AC21" i="65" s="1"/>
  <c r="AP21" i="65" s="1"/>
  <c r="X26" i="65"/>
  <c r="AA26" i="65" s="1"/>
  <c r="AC26" i="65" s="1"/>
  <c r="AP26" i="65" s="1"/>
  <c r="X59" i="65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X87" i="65"/>
  <c r="X125" i="65"/>
  <c r="AA125" i="65" s="1"/>
  <c r="AC125" i="65" s="1"/>
  <c r="X165" i="65"/>
  <c r="Z165" i="65" s="1"/>
  <c r="AB165" i="65" s="1"/>
  <c r="AO165" i="65" s="1"/>
  <c r="X91" i="65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8" i="68" s="1"/>
  <c r="X13" i="18"/>
  <c r="Z13" i="18" s="1"/>
  <c r="AB13" i="18" s="1"/>
  <c r="AO13" i="18" s="1"/>
  <c r="X167" i="65"/>
  <c r="Z167" i="65" s="1"/>
  <c r="AB167" i="65" s="1"/>
  <c r="AO167" i="65" s="1"/>
  <c r="X80" i="65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X192" i="65"/>
  <c r="AA192" i="65" s="1"/>
  <c r="AC192" i="65" s="1"/>
  <c r="AP192" i="65" s="1"/>
  <c r="X8" i="18"/>
  <c r="Z8" i="18" s="1"/>
  <c r="AB8" i="18" s="1"/>
  <c r="AO8" i="18" s="1"/>
  <c r="I18" i="68"/>
  <c r="I15" i="68"/>
  <c r="X12" i="16"/>
  <c r="Z12" i="16" s="1"/>
  <c r="AB12" i="16" s="1"/>
  <c r="AO12" i="16" s="1"/>
  <c r="X20" i="20"/>
  <c r="AA20" i="20" s="1"/>
  <c r="AC20" i="20" s="1"/>
  <c r="A18" i="16"/>
  <c r="N15" i="68" s="1"/>
  <c r="D16" i="2" s="1"/>
  <c r="X5" i="18"/>
  <c r="Z5" i="18" s="1"/>
  <c r="AB5" i="18" s="1"/>
  <c r="A20" i="18"/>
  <c r="O18" i="68" s="1"/>
  <c r="R18" i="68" s="1"/>
  <c r="X23" i="16"/>
  <c r="Z23" i="16" s="1"/>
  <c r="AB23" i="16" s="1"/>
  <c r="AO23" i="16" s="1"/>
  <c r="X20" i="16"/>
  <c r="AA20" i="16" s="1"/>
  <c r="AC20" i="16" s="1"/>
  <c r="AP20" i="16" s="1"/>
  <c r="X58" i="20"/>
  <c r="X11" i="65"/>
  <c r="X46" i="65"/>
  <c r="Z46" i="65" s="1"/>
  <c r="AB46" i="65" s="1"/>
  <c r="AO46" i="65" s="1"/>
  <c r="X10" i="65"/>
  <c r="AA10" i="65" s="1"/>
  <c r="AC10" i="65" s="1"/>
  <c r="AP10" i="65" s="1"/>
  <c r="X107" i="65"/>
  <c r="X7" i="65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X45" i="65"/>
  <c r="AA45" i="65" s="1"/>
  <c r="AC45" i="65" s="1"/>
  <c r="X93" i="65"/>
  <c r="AA93" i="65" s="1"/>
  <c r="AC93" i="65" s="1"/>
  <c r="X131" i="65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X12" i="20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AP41" i="65" s="1"/>
  <c r="X31" i="65"/>
  <c r="AA31" i="65" s="1"/>
  <c r="AC31" i="65" s="1"/>
  <c r="AP31" i="65" s="1"/>
  <c r="X137" i="65"/>
  <c r="AA137" i="65" s="1"/>
  <c r="AC137" i="65" s="1"/>
  <c r="X13" i="65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X96" i="65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X176" i="65"/>
  <c r="Z176" i="65" s="1"/>
  <c r="AB176" i="65" s="1"/>
  <c r="AO176" i="65" s="1"/>
  <c r="A18" i="20"/>
  <c r="N20" i="68" s="1"/>
  <c r="Q20" i="68" s="1"/>
  <c r="U20" i="68" s="1"/>
  <c r="F21" i="2" s="1"/>
  <c r="X54" i="20"/>
  <c r="X42" i="20"/>
  <c r="X73" i="20"/>
  <c r="Z73" i="20" s="1"/>
  <c r="AB73" i="20" s="1"/>
  <c r="AO73" i="20" s="1"/>
  <c r="X52" i="20"/>
  <c r="Z52" i="20" s="1"/>
  <c r="AB52" i="20" s="1"/>
  <c r="AO52" i="20" s="1"/>
  <c r="A20" i="20"/>
  <c r="O20" i="68" s="1"/>
  <c r="R20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0" i="68"/>
  <c r="X50" i="20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AP21" i="20" s="1"/>
  <c r="X67" i="20"/>
  <c r="X23" i="26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X5" i="53"/>
  <c r="Z5" i="53" s="1"/>
  <c r="AB5" i="53" s="1"/>
  <c r="V29" i="68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AP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X75" i="20"/>
  <c r="X6" i="26"/>
  <c r="AA6" i="26" s="1"/>
  <c r="AC6" i="26" s="1"/>
  <c r="AP6" i="26" s="1"/>
  <c r="X7" i="26"/>
  <c r="AA7" i="26" s="1"/>
  <c r="AC7" i="26" s="1"/>
  <c r="AP7" i="26" s="1"/>
  <c r="X29" i="53"/>
  <c r="X40" i="53"/>
  <c r="X46" i="53"/>
  <c r="AA46" i="53" s="1"/>
  <c r="AC46" i="53" s="1"/>
  <c r="AP46" i="53" s="1"/>
  <c r="AA10" i="20"/>
  <c r="AC10" i="20" s="1"/>
  <c r="AP10" i="20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X74" i="20"/>
  <c r="AA74" i="20" s="1"/>
  <c r="AC74" i="20" s="1"/>
  <c r="AP74" i="20" s="1"/>
  <c r="X23" i="20"/>
  <c r="AA23" i="20" s="1"/>
  <c r="AC23" i="20" s="1"/>
  <c r="AP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5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X35" i="20"/>
  <c r="X12" i="26"/>
  <c r="Z12" i="26" s="1"/>
  <c r="AB12" i="26" s="1"/>
  <c r="AO12" i="26" s="1"/>
  <c r="X10" i="53"/>
  <c r="AA10" i="53" s="1"/>
  <c r="AC10" i="53" s="1"/>
  <c r="AP10" i="53" s="1"/>
  <c r="X42" i="53"/>
  <c r="X52" i="53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5" i="68" s="1"/>
  <c r="Q35" i="68" s="1"/>
  <c r="X61" i="20"/>
  <c r="Z61" i="20" s="1"/>
  <c r="AB61" i="20" s="1"/>
  <c r="AO61" i="20" s="1"/>
  <c r="X53" i="20"/>
  <c r="Z53" i="20" s="1"/>
  <c r="AB53" i="20" s="1"/>
  <c r="AO53" i="20" s="1"/>
  <c r="X25" i="20"/>
  <c r="X28" i="20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4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AP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AP32" i="20" s="1"/>
  <c r="X80" i="20"/>
  <c r="X43" i="20"/>
  <c r="X21" i="26"/>
  <c r="Z21" i="26" s="1"/>
  <c r="AB21" i="26" s="1"/>
  <c r="AO21" i="26" s="1"/>
  <c r="X18" i="26"/>
  <c r="AA18" i="26" s="1"/>
  <c r="AC18" i="26" s="1"/>
  <c r="AP18" i="26" s="1"/>
  <c r="X18" i="53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4" i="67"/>
  <c r="X8" i="53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AP78" i="20" s="1"/>
  <c r="X49" i="20"/>
  <c r="X40" i="20"/>
  <c r="X8" i="20"/>
  <c r="AA8" i="20" s="1"/>
  <c r="AC8" i="20" s="1"/>
  <c r="AP8" i="20" s="1"/>
  <c r="X51" i="20"/>
  <c r="AA51" i="20" s="1"/>
  <c r="AC51" i="20" s="1"/>
  <c r="AP51" i="20" s="1"/>
  <c r="A20" i="26"/>
  <c r="O35" i="68" s="1"/>
  <c r="R35" i="68" s="1"/>
  <c r="X53" i="53"/>
  <c r="X9" i="53"/>
  <c r="AA9" i="53" s="1"/>
  <c r="AC9" i="53" s="1"/>
  <c r="AP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X44" i="20"/>
  <c r="X13" i="20"/>
  <c r="AA13" i="20" s="1"/>
  <c r="AC13" i="20" s="1"/>
  <c r="AP13" i="20" s="1"/>
  <c r="X55" i="20"/>
  <c r="AA55" i="20" s="1"/>
  <c r="AC55" i="20" s="1"/>
  <c r="AP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16" i="78"/>
  <c r="AB16" i="78" s="1"/>
  <c r="AO16" i="78" s="1"/>
  <c r="AA16" i="78"/>
  <c r="AC16" i="78" s="1"/>
  <c r="AP16" i="78" s="1"/>
  <c r="A18" i="53"/>
  <c r="N24" i="67" s="1"/>
  <c r="Q24" i="67" s="1"/>
  <c r="X18" i="20"/>
  <c r="X17" i="20"/>
  <c r="X34" i="20"/>
  <c r="AA34" i="20" s="1"/>
  <c r="AC34" i="20" s="1"/>
  <c r="AP34" i="20" s="1"/>
  <c r="X65" i="20"/>
  <c r="Z65" i="20" s="1"/>
  <c r="AB65" i="20" s="1"/>
  <c r="AO65" i="20" s="1"/>
  <c r="X48" i="20"/>
  <c r="AA48" i="20" s="1"/>
  <c r="AC48" i="20" s="1"/>
  <c r="AP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AP20" i="53" s="1"/>
  <c r="X38" i="53"/>
  <c r="X19" i="53"/>
  <c r="X13" i="53"/>
  <c r="Z13" i="53" s="1"/>
  <c r="AB13" i="53" s="1"/>
  <c r="AO13" i="53" s="1"/>
  <c r="X24" i="53"/>
  <c r="AA24" i="53" s="1"/>
  <c r="AC24" i="53" s="1"/>
  <c r="AP24" i="53" s="1"/>
  <c r="X14" i="53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1" i="68"/>
  <c r="A18" i="79"/>
  <c r="N31" i="68" s="1"/>
  <c r="Q31" i="68" s="1"/>
  <c r="U31" i="68" s="1"/>
  <c r="A20" i="79"/>
  <c r="O31" i="68" s="1"/>
  <c r="R31" i="68" s="1"/>
  <c r="V31" i="68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6" i="68"/>
  <c r="AN15" i="27"/>
  <c r="AN81" i="15"/>
  <c r="AN27" i="32"/>
  <c r="AP17" i="62"/>
  <c r="AN62" i="46"/>
  <c r="AN8" i="51"/>
  <c r="AN83" i="66"/>
  <c r="AN10" i="39"/>
  <c r="V49" i="68"/>
  <c r="G50" i="2" s="1"/>
  <c r="AN17" i="5"/>
  <c r="AP7" i="42"/>
  <c r="T41" i="67"/>
  <c r="C25" i="2"/>
  <c r="AN26" i="5"/>
  <c r="AN27" i="12"/>
  <c r="AN78" i="66"/>
  <c r="AN27" i="5"/>
  <c r="AN32" i="5"/>
  <c r="AN120" i="15"/>
  <c r="AN105" i="15"/>
  <c r="AN66" i="32"/>
  <c r="T19" i="67"/>
  <c r="M19" i="2" s="1"/>
  <c r="AN23" i="13"/>
  <c r="T8" i="67"/>
  <c r="M9" i="2" s="1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3" i="68"/>
  <c r="Q63" i="68" s="1"/>
  <c r="AL6" i="29"/>
  <c r="AJ42" i="29"/>
  <c r="T51" i="68"/>
  <c r="E51" i="2" s="1"/>
  <c r="N53" i="68"/>
  <c r="Q53" i="68" s="1"/>
  <c r="AN12" i="29"/>
  <c r="AJ41" i="29"/>
  <c r="AN49" i="29"/>
  <c r="H44" i="68"/>
  <c r="AJ31" i="29"/>
  <c r="AN28" i="29"/>
  <c r="AJ34" i="29"/>
  <c r="AL37" i="29"/>
  <c r="AJ49" i="29"/>
  <c r="AL33" i="29"/>
  <c r="K37" i="68"/>
  <c r="AN10" i="29"/>
  <c r="AN32" i="29"/>
  <c r="AJ35" i="29"/>
  <c r="K44" i="68"/>
  <c r="N75" i="68"/>
  <c r="Q75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X103" i="66"/>
  <c r="AA103" i="66" s="1"/>
  <c r="AC103" i="66" s="1"/>
  <c r="X8" i="66"/>
  <c r="AA8" i="66" s="1"/>
  <c r="AC8" i="66" s="1"/>
  <c r="AP8" i="66" s="1"/>
  <c r="X5" i="66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3" i="67"/>
  <c r="A16" i="59"/>
  <c r="F33" i="67" s="1"/>
  <c r="K35" i="67"/>
  <c r="AN11" i="59"/>
  <c r="K30" i="67"/>
  <c r="A16" i="57"/>
  <c r="F31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1" i="67"/>
  <c r="S30" i="67" s="1"/>
  <c r="AN35" i="57"/>
  <c r="AJ5" i="56"/>
  <c r="AN5" i="56"/>
  <c r="T29" i="67"/>
  <c r="M29" i="2" s="1"/>
  <c r="A16" i="56"/>
  <c r="F29" i="67" s="1"/>
  <c r="AN10" i="55"/>
  <c r="S28" i="67"/>
  <c r="AJ8" i="55"/>
  <c r="AN10" i="54"/>
  <c r="A16" i="54"/>
  <c r="F27" i="67" s="1"/>
  <c r="AN6" i="73"/>
  <c r="AN5" i="73"/>
  <c r="A16" i="73"/>
  <c r="F26" i="67" s="1"/>
  <c r="S26" i="67"/>
  <c r="U26" i="67" s="1"/>
  <c r="AN21" i="53"/>
  <c r="S24" i="67"/>
  <c r="S23" i="67" s="1"/>
  <c r="AN6" i="53"/>
  <c r="AN14" i="53"/>
  <c r="A16" i="53"/>
  <c r="F24" i="67" s="1"/>
  <c r="AN26" i="53"/>
  <c r="S19" i="67"/>
  <c r="AL9" i="51"/>
  <c r="AL12" i="51"/>
  <c r="AL6" i="52"/>
  <c r="A16" i="51"/>
  <c r="F19" i="67" s="1"/>
  <c r="A16" i="47"/>
  <c r="F15" i="67" s="1"/>
  <c r="X29" i="46"/>
  <c r="AA29" i="46" s="1"/>
  <c r="AC29" i="46" s="1"/>
  <c r="AN52" i="46"/>
  <c r="AJ42" i="46"/>
  <c r="A16" i="46"/>
  <c r="F14" i="67" s="1"/>
  <c r="AN43" i="46"/>
  <c r="AJ30" i="46"/>
  <c r="AN70" i="46"/>
  <c r="AN57" i="46"/>
  <c r="A16" i="45"/>
  <c r="F13" i="67" s="1"/>
  <c r="S12" i="67"/>
  <c r="A16" i="44"/>
  <c r="F12" i="67" s="1"/>
  <c r="AN12" i="44"/>
  <c r="AN8" i="40"/>
  <c r="AN14" i="40"/>
  <c r="AN10" i="40"/>
  <c r="AP9" i="43"/>
  <c r="AP12" i="43"/>
  <c r="AL5" i="43"/>
  <c r="AP11" i="43"/>
  <c r="AA5" i="43"/>
  <c r="AC5" i="43" s="1"/>
  <c r="AP5" i="43" s="1"/>
  <c r="H21" i="67"/>
  <c r="H22" i="67" s="1"/>
  <c r="K22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S7" i="67" s="1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O105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2" i="68"/>
  <c r="H23" i="68" s="1"/>
  <c r="C24" i="2" s="1"/>
  <c r="AN193" i="65"/>
  <c r="C23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S21" i="67" s="1"/>
  <c r="S22" i="67" s="1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2" i="67"/>
  <c r="A16" i="71"/>
  <c r="F25" i="67" s="1"/>
  <c r="AN7" i="34"/>
  <c r="T45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AA5" i="77"/>
  <c r="AC5" i="77" s="1"/>
  <c r="Z5" i="77"/>
  <c r="AB5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8" i="2"/>
  <c r="Q17" i="68"/>
  <c r="U17" i="68" s="1"/>
  <c r="F18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6" i="77"/>
  <c r="AC6" i="77" s="1"/>
  <c r="AP6" i="77" s="1"/>
  <c r="Z6" i="77"/>
  <c r="AB6" i="77" s="1"/>
  <c r="AO6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49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5" i="67"/>
  <c r="M15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4" i="68"/>
  <c r="E35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68" i="68"/>
  <c r="Q68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P143" i="65" s="1"/>
  <c r="AN104" i="65"/>
  <c r="AN142" i="65"/>
  <c r="AN67" i="65"/>
  <c r="AN83" i="65"/>
  <c r="AN153" i="65"/>
  <c r="AP153" i="65" s="1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6" i="68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4" i="67"/>
  <c r="M14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3" i="68"/>
  <c r="E43" i="2" s="1"/>
  <c r="AN83" i="32"/>
  <c r="AJ73" i="32"/>
  <c r="AJ74" i="32"/>
  <c r="AJ55" i="32"/>
  <c r="AN84" i="32"/>
  <c r="A16" i="32"/>
  <c r="F42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1" i="68"/>
  <c r="AN17" i="31"/>
  <c r="AN28" i="31"/>
  <c r="AN27" i="31"/>
  <c r="AJ33" i="31"/>
  <c r="AN24" i="31"/>
  <c r="AN19" i="31"/>
  <c r="AN31" i="31"/>
  <c r="AN5" i="30"/>
  <c r="S40" i="68"/>
  <c r="AL14" i="30"/>
  <c r="A16" i="30"/>
  <c r="F40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39" i="68"/>
  <c r="AL40" i="29"/>
  <c r="AN19" i="29"/>
  <c r="AN13" i="29"/>
  <c r="A16" i="29"/>
  <c r="F39" i="68" s="1"/>
  <c r="AN24" i="29"/>
  <c r="AN17" i="29"/>
  <c r="AN5" i="29"/>
  <c r="AN10" i="28"/>
  <c r="AN20" i="28"/>
  <c r="AJ35" i="28"/>
  <c r="AN7" i="28"/>
  <c r="AL27" i="28"/>
  <c r="AN9" i="28"/>
  <c r="A16" i="27"/>
  <c r="F36" i="68" s="1"/>
  <c r="X19" i="27"/>
  <c r="Z19" i="27" s="1"/>
  <c r="AB19" i="27" s="1"/>
  <c r="AO19" i="27" s="1"/>
  <c r="T35" i="68"/>
  <c r="E36" i="2" s="1"/>
  <c r="A16" i="26"/>
  <c r="F35" i="68" s="1"/>
  <c r="S35" i="68"/>
  <c r="AN12" i="26"/>
  <c r="A16" i="25"/>
  <c r="F34" i="68" s="1"/>
  <c r="S34" i="68"/>
  <c r="AN6" i="25"/>
  <c r="AN7" i="24"/>
  <c r="A16" i="24"/>
  <c r="F33" i="68" s="1"/>
  <c r="AJ6" i="24"/>
  <c r="T33" i="68"/>
  <c r="E34" i="2" s="1"/>
  <c r="A16" i="23"/>
  <c r="F32" i="68" s="1"/>
  <c r="T32" i="68"/>
  <c r="E33" i="2" s="1"/>
  <c r="AN21" i="23"/>
  <c r="S32" i="68"/>
  <c r="AN19" i="23"/>
  <c r="A16" i="72"/>
  <c r="F29" i="68" s="1"/>
  <c r="X12" i="70"/>
  <c r="Z12" i="70" s="1"/>
  <c r="AB12" i="70" s="1"/>
  <c r="AO12" i="70" s="1"/>
  <c r="AJ11" i="70"/>
  <c r="A16" i="70"/>
  <c r="F27" i="68" s="1"/>
  <c r="S26" i="68"/>
  <c r="U26" i="68" s="1"/>
  <c r="AN24" i="69"/>
  <c r="AN20" i="69"/>
  <c r="A16" i="69"/>
  <c r="F26" i="68" s="1"/>
  <c r="AN15" i="69"/>
  <c r="AN27" i="69"/>
  <c r="S25" i="68"/>
  <c r="AJ59" i="22"/>
  <c r="AN37" i="22"/>
  <c r="A16" i="22"/>
  <c r="F25" i="68" s="1"/>
  <c r="AN16" i="22"/>
  <c r="AN28" i="22"/>
  <c r="AJ11" i="22"/>
  <c r="T21" i="68"/>
  <c r="E22" i="2" s="1"/>
  <c r="AN48" i="20"/>
  <c r="AN30" i="20"/>
  <c r="AN21" i="20"/>
  <c r="A16" i="20"/>
  <c r="F20" i="68" s="1"/>
  <c r="AN13" i="20"/>
  <c r="A16" i="19"/>
  <c r="F19" i="68" s="1"/>
  <c r="S19" i="68"/>
  <c r="S18" i="68"/>
  <c r="AN10" i="18"/>
  <c r="A16" i="18"/>
  <c r="F18" i="68" s="1"/>
  <c r="AN11" i="18"/>
  <c r="A16" i="16"/>
  <c r="F15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F13" i="68" s="1"/>
  <c r="X11" i="14"/>
  <c r="AJ18" i="13"/>
  <c r="AN11" i="13"/>
  <c r="AN10" i="13"/>
  <c r="Z29" i="13"/>
  <c r="AB29" i="13" s="1"/>
  <c r="AO29" i="13" s="1"/>
  <c r="AA29" i="13"/>
  <c r="AC29" i="13" s="1"/>
  <c r="AP29" i="13" s="1"/>
  <c r="K22" i="68"/>
  <c r="K23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Z23" i="25"/>
  <c r="AB23" i="25" s="1"/>
  <c r="AO23" i="25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AP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AP16" i="32" s="1"/>
  <c r="X64" i="32"/>
  <c r="Z64" i="32" s="1"/>
  <c r="AB64" i="32" s="1"/>
  <c r="AO64" i="32" s="1"/>
  <c r="X124" i="32"/>
  <c r="Z124" i="32" s="1"/>
  <c r="AB124" i="32" s="1"/>
  <c r="AO124" i="32" s="1"/>
  <c r="I27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AP28" i="32" s="1"/>
  <c r="X76" i="32"/>
  <c r="AA76" i="32" s="1"/>
  <c r="AC76" i="32" s="1"/>
  <c r="X140" i="32"/>
  <c r="AA140" i="32" s="1"/>
  <c r="AC140" i="32" s="1"/>
  <c r="AP140" i="32" s="1"/>
  <c r="X16" i="70"/>
  <c r="AA16" i="70" s="1"/>
  <c r="AC16" i="70" s="1"/>
  <c r="AP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AP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6" i="68"/>
  <c r="X57" i="32"/>
  <c r="AA57" i="32" s="1"/>
  <c r="AC57" i="32" s="1"/>
  <c r="AP57" i="32" s="1"/>
  <c r="X23" i="27"/>
  <c r="AA23" i="27" s="1"/>
  <c r="AC23" i="27" s="1"/>
  <c r="AP23" i="27" s="1"/>
  <c r="A18" i="70"/>
  <c r="N27" i="68" s="1"/>
  <c r="Q27" i="68" s="1"/>
  <c r="U27" i="68" s="1"/>
  <c r="X18" i="27"/>
  <c r="Z18" i="27" s="1"/>
  <c r="AB18" i="27" s="1"/>
  <c r="AO18" i="27" s="1"/>
  <c r="X9" i="27"/>
  <c r="AA9" i="27" s="1"/>
  <c r="AC9" i="27" s="1"/>
  <c r="A20" i="32"/>
  <c r="O42" i="68" s="1"/>
  <c r="R42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7" i="68" s="1"/>
  <c r="R27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AP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AP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AP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2" i="68" s="1"/>
  <c r="N37" i="68" s="1"/>
  <c r="Q37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AP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6" i="68" s="1"/>
  <c r="Q36" i="68" s="1"/>
  <c r="U36" i="68" s="1"/>
  <c r="F37" i="2" s="1"/>
  <c r="X22" i="32"/>
  <c r="AA22" i="32" s="1"/>
  <c r="AC22" i="32" s="1"/>
  <c r="AP22" i="32" s="1"/>
  <c r="X35" i="32"/>
  <c r="AA35" i="32" s="1"/>
  <c r="AC35" i="32" s="1"/>
  <c r="AP35" i="32" s="1"/>
  <c r="X98" i="32"/>
  <c r="AA98" i="32" s="1"/>
  <c r="AC98" i="32" s="1"/>
  <c r="AP98" i="32" s="1"/>
  <c r="X77" i="32"/>
  <c r="AA77" i="32" s="1"/>
  <c r="AC77" i="32" s="1"/>
  <c r="AP77" i="32" s="1"/>
  <c r="X15" i="32"/>
  <c r="AA15" i="32" s="1"/>
  <c r="AC15" i="32" s="1"/>
  <c r="AP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AP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I13" i="68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AP32" i="5" s="1"/>
  <c r="X16" i="14"/>
  <c r="Z16" i="14" s="1"/>
  <c r="AB16" i="14" s="1"/>
  <c r="AO16" i="14" s="1"/>
  <c r="X20" i="14"/>
  <c r="Z20" i="14" s="1"/>
  <c r="AB20" i="14" s="1"/>
  <c r="AO20" i="14" s="1"/>
  <c r="A18" i="14"/>
  <c r="N13" i="68" s="1"/>
  <c r="Q13" i="68" s="1"/>
  <c r="U13" i="68" s="1"/>
  <c r="F14" i="2" s="1"/>
  <c r="A20" i="40"/>
  <c r="O9" i="67" s="1"/>
  <c r="R9" i="67" s="1"/>
  <c r="X17" i="40"/>
  <c r="AA17" i="40" s="1"/>
  <c r="AC17" i="40" s="1"/>
  <c r="AP17" i="40" s="1"/>
  <c r="A18" i="5"/>
  <c r="N9" i="68" s="1"/>
  <c r="Q9" i="68" s="1"/>
  <c r="U9" i="68" s="1"/>
  <c r="F10" i="2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AP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AP21" i="5" s="1"/>
  <c r="X41" i="5"/>
  <c r="AA41" i="5" s="1"/>
  <c r="AC41" i="5" s="1"/>
  <c r="AP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O13" i="68" s="1"/>
  <c r="R13" i="68" s="1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AP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4" i="67" s="1"/>
  <c r="L14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AP70" i="46" s="1"/>
  <c r="X41" i="46"/>
  <c r="AA41" i="46" s="1"/>
  <c r="AC41" i="46" s="1"/>
  <c r="AP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AA133" i="65"/>
  <c r="AC133" i="65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4" i="67"/>
  <c r="X32" i="46"/>
  <c r="Z32" i="46" s="1"/>
  <c r="AB32" i="46" s="1"/>
  <c r="AO32" i="46" s="1"/>
  <c r="A20" i="46"/>
  <c r="O14" i="67" s="1"/>
  <c r="R14" i="67" s="1"/>
  <c r="V14" i="67" s="1"/>
  <c r="O14" i="2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AP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AP24" i="46" s="1"/>
  <c r="X64" i="46"/>
  <c r="AA64" i="46" s="1"/>
  <c r="AC64" i="46" s="1"/>
  <c r="AP64" i="46" s="1"/>
  <c r="X22" i="46"/>
  <c r="AA22" i="46" s="1"/>
  <c r="AC22" i="46" s="1"/>
  <c r="AP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I45" i="68"/>
  <c r="X14" i="34"/>
  <c r="AA14" i="34" s="1"/>
  <c r="AC14" i="34" s="1"/>
  <c r="AP14" i="34" s="1"/>
  <c r="X24" i="74"/>
  <c r="AA24" i="74" s="1"/>
  <c r="AC24" i="74" s="1"/>
  <c r="AP24" i="74" s="1"/>
  <c r="N61" i="68"/>
  <c r="Q61" i="68" s="1"/>
  <c r="A20" i="33"/>
  <c r="O43" i="68" s="1"/>
  <c r="R43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O45" i="68" s="1"/>
  <c r="R45" i="68" s="1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3" i="68" s="1"/>
  <c r="Q43" i="68" s="1"/>
  <c r="U43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8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6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8" i="68"/>
  <c r="I51" i="68" s="1"/>
  <c r="X22" i="37"/>
  <c r="AA22" i="37" s="1"/>
  <c r="AC22" i="37" s="1"/>
  <c r="AP22" i="37" s="1"/>
  <c r="A20" i="74"/>
  <c r="O16" i="68" s="1"/>
  <c r="R16" i="68" s="1"/>
  <c r="V16" i="68" s="1"/>
  <c r="G17" i="2" s="1"/>
  <c r="X10" i="74"/>
  <c r="AA10" i="74" s="1"/>
  <c r="AC10" i="74" s="1"/>
  <c r="AP10" i="74" s="1"/>
  <c r="X6" i="33"/>
  <c r="AA6" i="33" s="1"/>
  <c r="AC6" i="33" s="1"/>
  <c r="AP6" i="33" s="1"/>
  <c r="I43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6" i="68" s="1"/>
  <c r="Q16" i="68" s="1"/>
  <c r="U16" i="68" s="1"/>
  <c r="F17" i="2" s="1"/>
  <c r="X12" i="33"/>
  <c r="AA12" i="33" s="1"/>
  <c r="AC12" i="33" s="1"/>
  <c r="AP12" i="33" s="1"/>
  <c r="X5" i="33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49" i="67"/>
  <c r="Q49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69" i="68"/>
  <c r="Q69" i="68" s="1"/>
  <c r="X46" i="75"/>
  <c r="Z46" i="75" s="1"/>
  <c r="AB46" i="75" s="1"/>
  <c r="AO46" i="75" s="1"/>
  <c r="A20" i="75"/>
  <c r="O16" i="67" s="1"/>
  <c r="R16" i="67" s="1"/>
  <c r="V16" i="67" s="1"/>
  <c r="O16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1" i="67"/>
  <c r="Q51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AA23" i="30"/>
  <c r="AC23" i="30" s="1"/>
  <c r="AP23" i="30" s="1"/>
  <c r="X21" i="13"/>
  <c r="AA21" i="13" s="1"/>
  <c r="AC21" i="13" s="1"/>
  <c r="AP21" i="13" s="1"/>
  <c r="X20" i="13"/>
  <c r="Z20" i="13" s="1"/>
  <c r="AB20" i="13" s="1"/>
  <c r="AO20" i="13" s="1"/>
  <c r="X14" i="19"/>
  <c r="AA14" i="19" s="1"/>
  <c r="AC14" i="19" s="1"/>
  <c r="AP14" i="19" s="1"/>
  <c r="N64" i="68"/>
  <c r="Q64" i="68" s="1"/>
  <c r="X10" i="13"/>
  <c r="Z10" i="13" s="1"/>
  <c r="AB10" i="13" s="1"/>
  <c r="AO10" i="13" s="1"/>
  <c r="A18" i="19"/>
  <c r="N19" i="68" s="1"/>
  <c r="Q19" i="68" s="1"/>
  <c r="Z29" i="28"/>
  <c r="AB29" i="28" s="1"/>
  <c r="AO29" i="2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5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U12" i="68" s="1"/>
  <c r="F13" i="2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19" i="68" s="1"/>
  <c r="R19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O13" i="67" s="1"/>
  <c r="R13" i="67" s="1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I13" i="67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N13" i="67" s="1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U12" i="67" s="1"/>
  <c r="N12" i="2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AP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7" i="67"/>
  <c r="X22" i="54"/>
  <c r="Z22" i="54" s="1"/>
  <c r="AB22" i="54" s="1"/>
  <c r="AO22" i="54" s="1"/>
  <c r="A20" i="54"/>
  <c r="O27" i="67" s="1"/>
  <c r="R27" i="67" s="1"/>
  <c r="X13" i="54"/>
  <c r="Z13" i="54" s="1"/>
  <c r="AB13" i="54" s="1"/>
  <c r="AO13" i="54" s="1"/>
  <c r="X5" i="54"/>
  <c r="AA5" i="54" s="1"/>
  <c r="AC5" i="54" s="1"/>
  <c r="X18" i="54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7" i="67" s="1"/>
  <c r="Q27" i="67" s="1"/>
  <c r="U27" i="67" s="1"/>
  <c r="N27" i="2" s="1"/>
  <c r="X19" i="54"/>
  <c r="AA19" i="54" s="1"/>
  <c r="AC19" i="54" s="1"/>
  <c r="AP19" i="54" s="1"/>
  <c r="X11" i="54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6" i="67"/>
  <c r="I38" i="67" s="1"/>
  <c r="A20" i="61"/>
  <c r="O36" i="67" s="1"/>
  <c r="O38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6" i="67" s="1"/>
  <c r="Q36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4" i="67"/>
  <c r="I30" i="67" s="1"/>
  <c r="X8" i="60"/>
  <c r="AA8" i="60" s="1"/>
  <c r="AC8" i="60" s="1"/>
  <c r="AP8" i="60" s="1"/>
  <c r="X19" i="60"/>
  <c r="AA19" i="60" s="1"/>
  <c r="AC19" i="60" s="1"/>
  <c r="AP19" i="60" s="1"/>
  <c r="X24" i="60"/>
  <c r="AA24" i="60" s="1"/>
  <c r="AC24" i="60" s="1"/>
  <c r="AP24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4" i="67" s="1"/>
  <c r="N30" i="67" s="1"/>
  <c r="X6" i="60"/>
  <c r="AA6" i="60" s="1"/>
  <c r="AC6" i="60" s="1"/>
  <c r="AP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4" i="67" s="1"/>
  <c r="R34" i="67" s="1"/>
  <c r="V34" i="67" s="1"/>
  <c r="O33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Q8" i="67" s="1"/>
  <c r="X13" i="39"/>
  <c r="AA13" i="39" s="1"/>
  <c r="AC13" i="39" s="1"/>
  <c r="AP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5" i="68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R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AP8" i="39" s="1"/>
  <c r="X19" i="39"/>
  <c r="Z19" i="39" s="1"/>
  <c r="AB19" i="39" s="1"/>
  <c r="AO19" i="39" s="1"/>
  <c r="X51" i="22"/>
  <c r="Z51" i="22" s="1"/>
  <c r="AB51" i="22" s="1"/>
  <c r="AO51" i="22" s="1"/>
  <c r="AA17" i="28"/>
  <c r="AC17" i="28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AP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5" i="68" s="1"/>
  <c r="X91" i="22"/>
  <c r="Z91" i="22" s="1"/>
  <c r="AB91" i="22" s="1"/>
  <c r="AO91" i="22" s="1"/>
  <c r="X12" i="22"/>
  <c r="AA12" i="22" s="1"/>
  <c r="AC12" i="22" s="1"/>
  <c r="AP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AP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AP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5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4" i="68"/>
  <c r="R74" i="68" s="1"/>
  <c r="Z153" i="65"/>
  <c r="AB153" i="65" s="1"/>
  <c r="AO153" i="65" s="1"/>
  <c r="N56" i="67"/>
  <c r="Q56" i="67" s="1"/>
  <c r="O59" i="67"/>
  <c r="R59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0" i="67"/>
  <c r="K33" i="2"/>
  <c r="H35" i="67"/>
  <c r="J62" i="67"/>
  <c r="T33" i="67"/>
  <c r="M32" i="2" s="1"/>
  <c r="AN5" i="59"/>
  <c r="T32" i="67"/>
  <c r="M31" i="2" s="1"/>
  <c r="K62" i="67"/>
  <c r="L62" i="67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1" i="67"/>
  <c r="T28" i="67"/>
  <c r="M28" i="2" s="1"/>
  <c r="AN5" i="55"/>
  <c r="T27" i="67"/>
  <c r="M27" i="2" s="1"/>
  <c r="AN5" i="54"/>
  <c r="AN9" i="53"/>
  <c r="AL18" i="53"/>
  <c r="AN25" i="53"/>
  <c r="AJ24" i="53"/>
  <c r="AJ21" i="53"/>
  <c r="T24" i="67"/>
  <c r="AJ27" i="53"/>
  <c r="AN22" i="53"/>
  <c r="T20" i="67"/>
  <c r="M20" i="2" s="1"/>
  <c r="AJ7" i="52"/>
  <c r="AN7" i="51"/>
  <c r="V19" i="67"/>
  <c r="O19" i="2" s="1"/>
  <c r="AJ6" i="51"/>
  <c r="AN5" i="49"/>
  <c r="T17" i="67"/>
  <c r="M17" i="2" s="1"/>
  <c r="AJ21" i="46"/>
  <c r="AL27" i="46"/>
  <c r="AN23" i="46"/>
  <c r="AN38" i="46"/>
  <c r="AN20" i="46"/>
  <c r="AN35" i="46"/>
  <c r="AN17" i="46"/>
  <c r="AN32" i="46"/>
  <c r="AN9" i="46"/>
  <c r="AN29" i="46"/>
  <c r="T13" i="67"/>
  <c r="M13" i="2" s="1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8" i="2"/>
  <c r="K9" i="2"/>
  <c r="K21" i="2" s="1"/>
  <c r="AN38" i="66"/>
  <c r="AN20" i="66"/>
  <c r="AN17" i="66"/>
  <c r="T6" i="67"/>
  <c r="AN6" i="66"/>
  <c r="AN9" i="66"/>
  <c r="AN29" i="66"/>
  <c r="AN26" i="66"/>
  <c r="H47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2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1" i="68"/>
  <c r="E41" i="2" s="1"/>
  <c r="AN7" i="31"/>
  <c r="AL20" i="31"/>
  <c r="AN25" i="31"/>
  <c r="AJ23" i="31"/>
  <c r="AL17" i="31"/>
  <c r="AN16" i="31"/>
  <c r="T40" i="68"/>
  <c r="E40" i="2" s="1"/>
  <c r="AJ11" i="30"/>
  <c r="H37" i="68"/>
  <c r="C40" i="2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39" i="68"/>
  <c r="E39" i="2" s="1"/>
  <c r="AJ28" i="29"/>
  <c r="AN27" i="29"/>
  <c r="AN23" i="28"/>
  <c r="AN17" i="28"/>
  <c r="AN32" i="28"/>
  <c r="AN8" i="28"/>
  <c r="T38" i="68"/>
  <c r="AN29" i="28"/>
  <c r="AP29" i="28" s="1"/>
  <c r="AJ23" i="28"/>
  <c r="T36" i="68"/>
  <c r="E37" i="2" s="1"/>
  <c r="AN5" i="27"/>
  <c r="AJ7" i="27"/>
  <c r="J72" i="68"/>
  <c r="AJ10" i="27"/>
  <c r="Z16" i="26"/>
  <c r="AB16" i="26" s="1"/>
  <c r="AO16" i="26" s="1"/>
  <c r="AN8" i="24"/>
  <c r="Z25" i="23"/>
  <c r="AB25" i="23" s="1"/>
  <c r="AO25" i="23" s="1"/>
  <c r="AA25" i="23"/>
  <c r="AC25" i="23" s="1"/>
  <c r="AP25" i="23" s="1"/>
  <c r="AL16" i="23"/>
  <c r="AJ22" i="23"/>
  <c r="AL19" i="23"/>
  <c r="L72" i="68"/>
  <c r="T27" i="68"/>
  <c r="AN5" i="70"/>
  <c r="AL5" i="70"/>
  <c r="AJ25" i="69"/>
  <c r="AJ8" i="69"/>
  <c r="AJ28" i="69"/>
  <c r="AJ22" i="69"/>
  <c r="AJ19" i="69"/>
  <c r="AJ34" i="69"/>
  <c r="AJ31" i="69"/>
  <c r="AN5" i="69"/>
  <c r="AN10" i="22"/>
  <c r="T25" i="68"/>
  <c r="T24" i="68" s="1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0" i="68"/>
  <c r="E21" i="2" s="1"/>
  <c r="AL14" i="19"/>
  <c r="T19" i="68"/>
  <c r="E20" i="2" s="1"/>
  <c r="T18" i="68"/>
  <c r="E19" i="2" s="1"/>
  <c r="AN6" i="18"/>
  <c r="AJ6" i="18"/>
  <c r="AA484" i="15"/>
  <c r="AC484" i="15" s="1"/>
  <c r="AP484" i="15" s="1"/>
  <c r="Z484" i="15"/>
  <c r="AB484" i="15" s="1"/>
  <c r="AO484" i="15" s="1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4" i="68"/>
  <c r="E15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T13" i="68"/>
  <c r="E14" i="2" s="1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AA19" i="6"/>
  <c r="AC19" i="6" s="1"/>
  <c r="AP19" i="6" s="1"/>
  <c r="Z19" i="6"/>
  <c r="AB19" i="6" s="1"/>
  <c r="AO19" i="6" s="1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A172" i="65"/>
  <c r="AC172" i="65" s="1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P33" i="65" s="1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T6" i="68"/>
  <c r="Z20" i="42"/>
  <c r="AB20" i="42" s="1"/>
  <c r="AO20" i="42" s="1"/>
  <c r="Z156" i="65"/>
  <c r="AB156" i="65" s="1"/>
  <c r="AO156" i="65" s="1"/>
  <c r="Z7" i="50"/>
  <c r="AB7" i="50" s="1"/>
  <c r="AO7" i="50" s="1"/>
  <c r="N56" i="68"/>
  <c r="Q56" i="68" s="1"/>
  <c r="AA184" i="65"/>
  <c r="AC184" i="65" s="1"/>
  <c r="N62" i="68"/>
  <c r="Q62" i="68" s="1"/>
  <c r="AA105" i="65"/>
  <c r="AC105" i="65" s="1"/>
  <c r="O58" i="68"/>
  <c r="R58" i="68" s="1"/>
  <c r="Z10" i="42"/>
  <c r="AB10" i="42" s="1"/>
  <c r="AO10" i="42" s="1"/>
  <c r="N53" i="67"/>
  <c r="Q53" i="67" s="1"/>
  <c r="N59" i="68"/>
  <c r="Q59" i="68" s="1"/>
  <c r="Z12" i="50"/>
  <c r="AB12" i="50" s="1"/>
  <c r="AO12" i="50" s="1"/>
  <c r="Z11" i="42"/>
  <c r="AB11" i="42" s="1"/>
  <c r="AO11" i="42" s="1"/>
  <c r="AA17" i="42"/>
  <c r="AC17" i="42" s="1"/>
  <c r="AP17" i="42" s="1"/>
  <c r="I60" i="67"/>
  <c r="L42" i="2" s="1"/>
  <c r="AA14" i="18"/>
  <c r="AC14" i="18" s="1"/>
  <c r="AP14" i="18" s="1"/>
  <c r="Z7" i="42"/>
  <c r="AB7" i="42" s="1"/>
  <c r="AO7" i="42" s="1"/>
  <c r="N57" i="67"/>
  <c r="Q57" i="67" s="1"/>
  <c r="N45" i="67"/>
  <c r="Q45" i="67" s="1"/>
  <c r="N44" i="67"/>
  <c r="Q44" i="67" s="1"/>
  <c r="AA6" i="16"/>
  <c r="AC6" i="16" s="1"/>
  <c r="AP6" i="16" s="1"/>
  <c r="O70" i="68"/>
  <c r="R70" i="68" s="1"/>
  <c r="Z17" i="62"/>
  <c r="AB17" i="62" s="1"/>
  <c r="AO17" i="62" s="1"/>
  <c r="Z6" i="42"/>
  <c r="AB6" i="42" s="1"/>
  <c r="AO6" i="42" s="1"/>
  <c r="Z43" i="65"/>
  <c r="AB43" i="65" s="1"/>
  <c r="AO43" i="65" s="1"/>
  <c r="Z33" i="65"/>
  <c r="AB33" i="65" s="1"/>
  <c r="AO33" i="65" s="1"/>
  <c r="Z15" i="42"/>
  <c r="AB15" i="42" s="1"/>
  <c r="AO15" i="42" s="1"/>
  <c r="O52" i="67"/>
  <c r="R52" i="67" s="1"/>
  <c r="N60" i="68"/>
  <c r="Q60" i="68" s="1"/>
  <c r="Z14" i="65"/>
  <c r="AB14" i="65" s="1"/>
  <c r="AO14" i="65" s="1"/>
  <c r="Z115" i="65"/>
  <c r="AB115" i="65" s="1"/>
  <c r="AO115" i="65" s="1"/>
  <c r="O50" i="67"/>
  <c r="R50" i="67" s="1"/>
  <c r="I65" i="68"/>
  <c r="Z69" i="65"/>
  <c r="AB69" i="65" s="1"/>
  <c r="AO6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67" i="68"/>
  <c r="R67" i="68" s="1"/>
  <c r="N67" i="68"/>
  <c r="Q67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39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1" i="68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16" i="36"/>
  <c r="AC16" i="36" s="1"/>
  <c r="AP16" i="36" s="1"/>
  <c r="Z16" i="36"/>
  <c r="AB16" i="36" s="1"/>
  <c r="AO16" i="36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AA21" i="25"/>
  <c r="AC21" i="25" s="1"/>
  <c r="AP21" i="25" s="1"/>
  <c r="Z21" i="25"/>
  <c r="AB21" i="25" s="1"/>
  <c r="AO21" i="25" s="1"/>
  <c r="X20" i="35"/>
  <c r="X19" i="35"/>
  <c r="X12" i="35"/>
  <c r="X11" i="35"/>
  <c r="X7" i="35"/>
  <c r="X22" i="35"/>
  <c r="X21" i="35"/>
  <c r="A20" i="35"/>
  <c r="O46" i="68" s="1"/>
  <c r="R46" i="68" s="1"/>
  <c r="V46" i="68" s="1"/>
  <c r="G46" i="2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6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Z55" i="15"/>
  <c r="AB55" i="15" s="1"/>
  <c r="AO55" i="15" s="1"/>
  <c r="AA55" i="15"/>
  <c r="AC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D15" i="2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Z46" i="15"/>
  <c r="AB46" i="15" s="1"/>
  <c r="AO46" i="15" s="1"/>
  <c r="AA110" i="15"/>
  <c r="AC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52" i="46"/>
  <c r="AC52" i="46" s="1"/>
  <c r="AP52" i="46" s="1"/>
  <c r="Z52" i="46"/>
  <c r="AB52" i="46" s="1"/>
  <c r="AO52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AA54" i="20"/>
  <c r="AC54" i="20" s="1"/>
  <c r="Z54" i="20"/>
  <c r="AB54" i="20" s="1"/>
  <c r="AO54" i="20" s="1"/>
  <c r="Z37" i="20"/>
  <c r="AB37" i="20" s="1"/>
  <c r="AO37" i="20" s="1"/>
  <c r="AA37" i="20"/>
  <c r="AC37" i="20" s="1"/>
  <c r="AA42" i="20"/>
  <c r="AC42" i="20" s="1"/>
  <c r="Z42" i="20"/>
  <c r="AB42" i="20" s="1"/>
  <c r="AO42" i="20" s="1"/>
  <c r="Z36" i="20"/>
  <c r="AB36" i="20" s="1"/>
  <c r="AO36" i="20" s="1"/>
  <c r="AA36" i="20"/>
  <c r="AC36" i="20" s="1"/>
  <c r="AP36" i="20" s="1"/>
  <c r="AA5" i="20"/>
  <c r="AC5" i="20" s="1"/>
  <c r="Z63" i="20"/>
  <c r="AB63" i="20" s="1"/>
  <c r="AO63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49" i="65"/>
  <c r="AC149" i="65" s="1"/>
  <c r="AP149" i="65" s="1"/>
  <c r="Z149" i="65"/>
  <c r="AB149" i="65" s="1"/>
  <c r="AO149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Z110" i="32"/>
  <c r="AB110" i="32" s="1"/>
  <c r="AO110" i="32" s="1"/>
  <c r="AA110" i="32"/>
  <c r="AC110" i="32" s="1"/>
  <c r="AP110" i="32" s="1"/>
  <c r="AA67" i="32"/>
  <c r="AC67" i="32" s="1"/>
  <c r="Z67" i="32"/>
  <c r="AB67" i="32" s="1"/>
  <c r="AO67" i="32" s="1"/>
  <c r="Z122" i="32"/>
  <c r="AB122" i="32" s="1"/>
  <c r="AO122" i="32" s="1"/>
  <c r="AA122" i="32"/>
  <c r="AC122" i="32" s="1"/>
  <c r="AP122" i="32" s="1"/>
  <c r="AA103" i="32"/>
  <c r="AC103" i="32" s="1"/>
  <c r="AP103" i="32" s="1"/>
  <c r="Z103" i="32"/>
  <c r="AB103" i="32" s="1"/>
  <c r="AO103" i="32" s="1"/>
  <c r="AA137" i="32"/>
  <c r="AC137" i="32" s="1"/>
  <c r="AP137" i="32" s="1"/>
  <c r="Z137" i="32"/>
  <c r="AB137" i="32" s="1"/>
  <c r="AO137" i="32" s="1"/>
  <c r="AA20" i="34"/>
  <c r="AC20" i="34" s="1"/>
  <c r="AP20" i="34" s="1"/>
  <c r="Z20" i="34"/>
  <c r="AB20" i="34" s="1"/>
  <c r="AO20" i="34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12" i="19"/>
  <c r="AC12" i="19" s="1"/>
  <c r="AP12" i="19" s="1"/>
  <c r="Z12" i="65"/>
  <c r="AB12" i="65" s="1"/>
  <c r="AO12" i="65" s="1"/>
  <c r="AA12" i="65"/>
  <c r="AC12" i="65" s="1"/>
  <c r="AA113" i="65"/>
  <c r="AC113" i="65" s="1"/>
  <c r="Z113" i="65"/>
  <c r="AB113" i="65" s="1"/>
  <c r="AO113" i="65" s="1"/>
  <c r="AA141" i="65"/>
  <c r="AC141" i="65" s="1"/>
  <c r="Z141" i="65"/>
  <c r="AB141" i="65" s="1"/>
  <c r="AO141" i="65" s="1"/>
  <c r="AA182" i="65"/>
  <c r="AC182" i="65" s="1"/>
  <c r="Z182" i="65"/>
  <c r="AB182" i="65" s="1"/>
  <c r="AO182" i="65" s="1"/>
  <c r="Z35" i="65"/>
  <c r="AB35" i="65" s="1"/>
  <c r="AO35" i="65" s="1"/>
  <c r="AA179" i="65"/>
  <c r="AC179" i="65" s="1"/>
  <c r="AA58" i="65"/>
  <c r="AC58" i="65" s="1"/>
  <c r="Z58" i="65"/>
  <c r="AB58" i="65" s="1"/>
  <c r="AO58" i="65" s="1"/>
  <c r="AA90" i="65"/>
  <c r="AC90" i="65" s="1"/>
  <c r="AA118" i="65"/>
  <c r="AC118" i="65" s="1"/>
  <c r="Z147" i="65"/>
  <c r="AB147" i="65" s="1"/>
  <c r="AO147" i="65" s="1"/>
  <c r="AA147" i="65"/>
  <c r="AC147" i="65" s="1"/>
  <c r="AP147" i="65" s="1"/>
  <c r="Z189" i="65"/>
  <c r="AB189" i="65" s="1"/>
  <c r="AO189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AA32" i="28"/>
  <c r="AC32" i="28" s="1"/>
  <c r="Z32" i="28"/>
  <c r="AB32" i="28" s="1"/>
  <c r="AO32" i="28" s="1"/>
  <c r="AA14" i="28"/>
  <c r="AC14" i="28" s="1"/>
  <c r="AP14" i="28" s="1"/>
  <c r="Z14" i="28"/>
  <c r="AB14" i="28" s="1"/>
  <c r="AO14" i="28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2" i="2"/>
  <c r="Q33" i="67"/>
  <c r="U33" i="67" s="1"/>
  <c r="N32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AA32" i="53"/>
  <c r="AC32" i="53" s="1"/>
  <c r="AP32" i="53" s="1"/>
  <c r="Z41" i="53"/>
  <c r="AB41" i="53" s="1"/>
  <c r="AO41" i="53" s="1"/>
  <c r="AA41" i="53"/>
  <c r="AC41" i="53" s="1"/>
  <c r="AP41" i="53" s="1"/>
  <c r="AA21" i="53"/>
  <c r="AC21" i="53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AP12" i="12" s="1"/>
  <c r="Z12" i="12"/>
  <c r="AB12" i="12" s="1"/>
  <c r="AO12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6" i="68" s="1"/>
  <c r="N47" i="68" s="1"/>
  <c r="Q45" i="68"/>
  <c r="D45" i="2"/>
  <c r="N66" i="68"/>
  <c r="I71" i="68"/>
  <c r="O66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AA176" i="65"/>
  <c r="AC176" i="65" s="1"/>
  <c r="AP176" i="65" s="1"/>
  <c r="AA77" i="65"/>
  <c r="AC77" i="65" s="1"/>
  <c r="Z77" i="65"/>
  <c r="AB77" i="65" s="1"/>
  <c r="AO77" i="65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AA23" i="44"/>
  <c r="AC23" i="44" s="1"/>
  <c r="AP23" i="44" s="1"/>
  <c r="AA17" i="18"/>
  <c r="AC17" i="18" s="1"/>
  <c r="AP17" i="18" s="1"/>
  <c r="Z17" i="18"/>
  <c r="AB17" i="18" s="1"/>
  <c r="AO17" i="18" s="1"/>
  <c r="AA19" i="25"/>
  <c r="AC19" i="25" s="1"/>
  <c r="AP19" i="25" s="1"/>
  <c r="Z19" i="25"/>
  <c r="AB19" i="25" s="1"/>
  <c r="AO19" i="25" s="1"/>
  <c r="Z87" i="66"/>
  <c r="AB87" i="66" s="1"/>
  <c r="AO87" i="66" s="1"/>
  <c r="AA59" i="66"/>
  <c r="AC59" i="66" s="1"/>
  <c r="AP59" i="66" s="1"/>
  <c r="Z59" i="66"/>
  <c r="AB59" i="66" s="1"/>
  <c r="AO59" i="66" s="1"/>
  <c r="Z34" i="66"/>
  <c r="AB34" i="66" s="1"/>
  <c r="AO34" i="66" s="1"/>
  <c r="Z98" i="66"/>
  <c r="AB98" i="66" s="1"/>
  <c r="AO98" i="66" s="1"/>
  <c r="AA98" i="66"/>
  <c r="AC98" i="66" s="1"/>
  <c r="AP98" i="66" s="1"/>
  <c r="AA33" i="66"/>
  <c r="AC33" i="66" s="1"/>
  <c r="AP33" i="66" s="1"/>
  <c r="Z33" i="66"/>
  <c r="AB33" i="66" s="1"/>
  <c r="AO33" i="66" s="1"/>
  <c r="AA32" i="66"/>
  <c r="AC32" i="66" s="1"/>
  <c r="AP32" i="66" s="1"/>
  <c r="Z32" i="66"/>
  <c r="AB32" i="66" s="1"/>
  <c r="AO32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AA21" i="16"/>
  <c r="AC21" i="16" s="1"/>
  <c r="AP21" i="16" s="1"/>
  <c r="Z21" i="16"/>
  <c r="AB21" i="16" s="1"/>
  <c r="AO21" i="16" s="1"/>
  <c r="AA12" i="16"/>
  <c r="AC12" i="16" s="1"/>
  <c r="AP12" i="16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A460" i="15"/>
  <c r="AC460" i="15" s="1"/>
  <c r="AP460" i="15" s="1"/>
  <c r="Z460" i="15"/>
  <c r="AB460" i="15" s="1"/>
  <c r="AO460" i="15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39" i="67"/>
  <c r="N35" i="2" s="1"/>
  <c r="AA57" i="22"/>
  <c r="AC57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6" i="20"/>
  <c r="AC6" i="20" s="1"/>
  <c r="AP6" i="20" s="1"/>
  <c r="AA40" i="20"/>
  <c r="AC40" i="20" s="1"/>
  <c r="Z40" i="20"/>
  <c r="AB40" i="20" s="1"/>
  <c r="AO40" i="20" s="1"/>
  <c r="AA72" i="20"/>
  <c r="AC72" i="20" s="1"/>
  <c r="AP72" i="20" s="1"/>
  <c r="Z72" i="20"/>
  <c r="AB72" i="20" s="1"/>
  <c r="AO72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1" i="32"/>
  <c r="AC11" i="32" s="1"/>
  <c r="AP11" i="32" s="1"/>
  <c r="Z73" i="32"/>
  <c r="AB73" i="32" s="1"/>
  <c r="AO73" i="32" s="1"/>
  <c r="AA73" i="32"/>
  <c r="AC73" i="32" s="1"/>
  <c r="AP73" i="32" s="1"/>
  <c r="AA132" i="32"/>
  <c r="AC132" i="32" s="1"/>
  <c r="AP132" i="32" s="1"/>
  <c r="Z132" i="32"/>
  <c r="AB132" i="32" s="1"/>
  <c r="AO132" i="32" s="1"/>
  <c r="AA164" i="32"/>
  <c r="AC164" i="32" s="1"/>
  <c r="AP164" i="32" s="1"/>
  <c r="AA14" i="3"/>
  <c r="AC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48" i="65"/>
  <c r="AB48" i="65" s="1"/>
  <c r="AO48" i="65" s="1"/>
  <c r="AA48" i="65"/>
  <c r="AC48" i="65" s="1"/>
  <c r="Z108" i="65"/>
  <c r="AB108" i="65" s="1"/>
  <c r="AO108" i="65" s="1"/>
  <c r="Z71" i="65"/>
  <c r="AB71" i="65" s="1"/>
  <c r="AO71" i="65" s="1"/>
  <c r="AA116" i="65"/>
  <c r="AC116" i="65" s="1"/>
  <c r="AP116" i="65" s="1"/>
  <c r="AA145" i="65"/>
  <c r="AC145" i="65" s="1"/>
  <c r="Z145" i="65"/>
  <c r="AB145" i="65" s="1"/>
  <c r="AO145" i="65" s="1"/>
  <c r="AA158" i="65"/>
  <c r="AC158" i="65" s="1"/>
  <c r="AA186" i="65"/>
  <c r="AC186" i="65" s="1"/>
  <c r="AP186" i="65" s="1"/>
  <c r="Z186" i="65"/>
  <c r="AB186" i="65" s="1"/>
  <c r="AO186" i="65" s="1"/>
  <c r="Z159" i="65"/>
  <c r="AB159" i="65" s="1"/>
  <c r="AO159" i="65" s="1"/>
  <c r="AA50" i="65"/>
  <c r="AC50" i="65" s="1"/>
  <c r="AP50" i="65" s="1"/>
  <c r="Z50" i="65"/>
  <c r="AB50" i="65" s="1"/>
  <c r="AO50" i="65" s="1"/>
  <c r="Z110" i="65"/>
  <c r="AB110" i="65" s="1"/>
  <c r="AO110" i="65" s="1"/>
  <c r="AA110" i="65"/>
  <c r="AC110" i="65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U32" i="67" s="1"/>
  <c r="N31" i="2" s="1"/>
  <c r="L31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AA9" i="26"/>
  <c r="AC9" i="26" s="1"/>
  <c r="AP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5" i="45"/>
  <c r="AC5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Z14" i="55"/>
  <c r="AB14" i="55" s="1"/>
  <c r="AO14" i="55" s="1"/>
  <c r="AA15" i="55"/>
  <c r="AC15" i="55" s="1"/>
  <c r="AP15" i="55" s="1"/>
  <c r="Z15" i="55"/>
  <c r="AB15" i="55" s="1"/>
  <c r="AO15" i="55" s="1"/>
  <c r="I23" i="67"/>
  <c r="AA5" i="53"/>
  <c r="AC5" i="53" s="1"/>
  <c r="AA23" i="53"/>
  <c r="AC23" i="53" s="1"/>
  <c r="Z23" i="53"/>
  <c r="AB23" i="53" s="1"/>
  <c r="AO23" i="53" s="1"/>
  <c r="AA42" i="53"/>
  <c r="AC42" i="53" s="1"/>
  <c r="AP42" i="53" s="1"/>
  <c r="Z42" i="53"/>
  <c r="AB42" i="53" s="1"/>
  <c r="AO42" i="53" s="1"/>
  <c r="AA22" i="53"/>
  <c r="AC22" i="53" s="1"/>
  <c r="Q74" i="68"/>
  <c r="AA12" i="14"/>
  <c r="AC12" i="14" s="1"/>
  <c r="AP12" i="14" s="1"/>
  <c r="AA41" i="12"/>
  <c r="AC41" i="12" s="1"/>
  <c r="AP41" i="12" s="1"/>
  <c r="AA32" i="12"/>
  <c r="AC32" i="12" s="1"/>
  <c r="AP32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19" i="67"/>
  <c r="U19" i="67" s="1"/>
  <c r="N19" i="2" s="1"/>
  <c r="L19" i="2"/>
  <c r="Q28" i="67"/>
  <c r="U28" i="67" s="1"/>
  <c r="N28" i="2" s="1"/>
  <c r="L28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16" i="67"/>
  <c r="U16" i="67" s="1"/>
  <c r="N16" i="2" s="1"/>
  <c r="L16" i="2"/>
  <c r="Q40" i="68"/>
  <c r="D40" i="2"/>
  <c r="D22" i="2"/>
  <c r="Q21" i="68"/>
  <c r="U21" i="68" s="1"/>
  <c r="F22" i="2" s="1"/>
  <c r="R64" i="67"/>
  <c r="R66" i="67" s="1"/>
  <c r="O66" i="67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U10" i="68" s="1"/>
  <c r="F11" i="2" s="1"/>
  <c r="AA121" i="65"/>
  <c r="AC121" i="65" s="1"/>
  <c r="AP121" i="65" s="1"/>
  <c r="Z121" i="65"/>
  <c r="AB121" i="65" s="1"/>
  <c r="AO121" i="65" s="1"/>
  <c r="AA61" i="65"/>
  <c r="AC61" i="65" s="1"/>
  <c r="Z61" i="65"/>
  <c r="AB61" i="65" s="1"/>
  <c r="AO61" i="65" s="1"/>
  <c r="AA6" i="36"/>
  <c r="AC6" i="36" s="1"/>
  <c r="AP6" i="36" s="1"/>
  <c r="Z6" i="36"/>
  <c r="AB6" i="36" s="1"/>
  <c r="AO6" i="36" s="1"/>
  <c r="AA17" i="36"/>
  <c r="AC17" i="36" s="1"/>
  <c r="AP17" i="36" s="1"/>
  <c r="Z17" i="36"/>
  <c r="AB17" i="36" s="1"/>
  <c r="AO17" i="36" s="1"/>
  <c r="Z9" i="18"/>
  <c r="AB9" i="18" s="1"/>
  <c r="AO9" i="18" s="1"/>
  <c r="AA23" i="18"/>
  <c r="AC23" i="18" s="1"/>
  <c r="AP23" i="18" s="1"/>
  <c r="Z23" i="18"/>
  <c r="AB23" i="18" s="1"/>
  <c r="AO23" i="18" s="1"/>
  <c r="AA17" i="25"/>
  <c r="AC17" i="25" s="1"/>
  <c r="AP17" i="25" s="1"/>
  <c r="AA7" i="25"/>
  <c r="AC7" i="25" s="1"/>
  <c r="AP7" i="25" s="1"/>
  <c r="AA63" i="66"/>
  <c r="AC63" i="66" s="1"/>
  <c r="Z63" i="66"/>
  <c r="AB63" i="66" s="1"/>
  <c r="AO63" i="66" s="1"/>
  <c r="AA111" i="66"/>
  <c r="AC111" i="66" s="1"/>
  <c r="Z111" i="66"/>
  <c r="AB111" i="66" s="1"/>
  <c r="AO111" i="66" s="1"/>
  <c r="Z19" i="66"/>
  <c r="AB19" i="66" s="1"/>
  <c r="AO19" i="66" s="1"/>
  <c r="AA19" i="66"/>
  <c r="AC19" i="66" s="1"/>
  <c r="Z46" i="66"/>
  <c r="AB46" i="66" s="1"/>
  <c r="AO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A35" i="66"/>
  <c r="AC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AA131" i="66"/>
  <c r="AC131" i="66" s="1"/>
  <c r="Z131" i="66"/>
  <c r="AB131" i="66" s="1"/>
  <c r="AO131" i="66" s="1"/>
  <c r="Z42" i="66"/>
  <c r="AB42" i="66" s="1"/>
  <c r="AO42" i="66" s="1"/>
  <c r="AA42" i="66"/>
  <c r="AC42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69" i="66"/>
  <c r="AB69" i="66" s="1"/>
  <c r="AO69" i="66" s="1"/>
  <c r="AA69" i="66"/>
  <c r="AC69" i="66" s="1"/>
  <c r="AP69" i="66" s="1"/>
  <c r="Z85" i="66"/>
  <c r="AB85" i="66" s="1"/>
  <c r="AO85" i="66" s="1"/>
  <c r="Z101" i="66"/>
  <c r="AB101" i="66" s="1"/>
  <c r="AO101" i="66" s="1"/>
  <c r="AA101" i="66"/>
  <c r="AC101" i="66" s="1"/>
  <c r="AP101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Z84" i="66"/>
  <c r="AB84" i="66" s="1"/>
  <c r="AO84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AP8" i="57" s="1"/>
  <c r="Z8" i="57"/>
  <c r="AB8" i="57" s="1"/>
  <c r="AO8" i="57" s="1"/>
  <c r="R31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16" i="71"/>
  <c r="AB16" i="71" s="1"/>
  <c r="AO16" i="71" s="1"/>
  <c r="AA16" i="71"/>
  <c r="AC16" i="71" s="1"/>
  <c r="AP16" i="71" s="1"/>
  <c r="AA8" i="71"/>
  <c r="AC8" i="71" s="1"/>
  <c r="AP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Z78" i="15"/>
  <c r="AB78" i="15" s="1"/>
  <c r="AO78" i="15" s="1"/>
  <c r="AA78" i="15"/>
  <c r="AC78" i="15" s="1"/>
  <c r="AP78" i="15" s="1"/>
  <c r="AA104" i="15"/>
  <c r="AC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6" i="46"/>
  <c r="AC6" i="46" s="1"/>
  <c r="AP6" i="46" s="1"/>
  <c r="Z6" i="46"/>
  <c r="AB6" i="46" s="1"/>
  <c r="AO6" i="46" s="1"/>
  <c r="Z8" i="46"/>
  <c r="AB8" i="46" s="1"/>
  <c r="AO8" i="46" s="1"/>
  <c r="AA8" i="46"/>
  <c r="AC8" i="46" s="1"/>
  <c r="AP8" i="46" s="1"/>
  <c r="AA19" i="46"/>
  <c r="AC19" i="46" s="1"/>
  <c r="Z19" i="46"/>
  <c r="AB19" i="46" s="1"/>
  <c r="AO19" i="46" s="1"/>
  <c r="AA66" i="46"/>
  <c r="AC66" i="46" s="1"/>
  <c r="AP66" i="46" s="1"/>
  <c r="Z66" i="46"/>
  <c r="AB66" i="46" s="1"/>
  <c r="AO66" i="46" s="1"/>
  <c r="AA37" i="46"/>
  <c r="AC37" i="46" s="1"/>
  <c r="AP37" i="46" s="1"/>
  <c r="Z37" i="46"/>
  <c r="AB37" i="46" s="1"/>
  <c r="AO37" i="46" s="1"/>
  <c r="Z53" i="46"/>
  <c r="AB53" i="46" s="1"/>
  <c r="AO53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Z57" i="20"/>
  <c r="AB57" i="20" s="1"/>
  <c r="AO57" i="20" s="1"/>
  <c r="AA57" i="20"/>
  <c r="AC57" i="20" s="1"/>
  <c r="Z28" i="20"/>
  <c r="AB28" i="20" s="1"/>
  <c r="AO28" i="20" s="1"/>
  <c r="AA28" i="20"/>
  <c r="AC28" i="20" s="1"/>
  <c r="Z44" i="20"/>
  <c r="AB44" i="20" s="1"/>
  <c r="AO44" i="20" s="1"/>
  <c r="AA44" i="20"/>
  <c r="AC44" i="20" s="1"/>
  <c r="AP44" i="20" s="1"/>
  <c r="AA22" i="20"/>
  <c r="AC22" i="20" s="1"/>
  <c r="AP22" i="20" s="1"/>
  <c r="Z22" i="20"/>
  <c r="AB22" i="20" s="1"/>
  <c r="AO22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D34" i="2"/>
  <c r="Q33" i="68"/>
  <c r="U33" i="68" s="1"/>
  <c r="F34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Z60" i="15"/>
  <c r="AB60" i="15" s="1"/>
  <c r="AO60" i="1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115" i="32"/>
  <c r="AC115" i="32" s="1"/>
  <c r="AP115" i="32" s="1"/>
  <c r="Z115" i="32"/>
  <c r="AB115" i="32" s="1"/>
  <c r="AO115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AA24" i="32"/>
  <c r="AC24" i="32" s="1"/>
  <c r="AP24" i="32" s="1"/>
  <c r="Z24" i="32"/>
  <c r="AB24" i="32" s="1"/>
  <c r="AO24" i="32" s="1"/>
  <c r="AA72" i="32"/>
  <c r="AC72" i="32" s="1"/>
  <c r="Z72" i="32"/>
  <c r="AB72" i="32" s="1"/>
  <c r="AO72" i="32" s="1"/>
  <c r="AA7" i="34"/>
  <c r="AC7" i="34" s="1"/>
  <c r="AP7" i="34" s="1"/>
  <c r="Z7" i="34"/>
  <c r="AB7" i="34" s="1"/>
  <c r="AO7" i="34" s="1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Z5" i="3"/>
  <c r="AB5" i="3" s="1"/>
  <c r="R8" i="68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8" i="19"/>
  <c r="AC8" i="19" s="1"/>
  <c r="AP8" i="19" s="1"/>
  <c r="Z7" i="65"/>
  <c r="AB7" i="65" s="1"/>
  <c r="AO7" i="65" s="1"/>
  <c r="AA7" i="65"/>
  <c r="AC7" i="65" s="1"/>
  <c r="AP7" i="65" s="1"/>
  <c r="Z60" i="65"/>
  <c r="AB60" i="65" s="1"/>
  <c r="AO60" i="65" s="1"/>
  <c r="AA60" i="65"/>
  <c r="AC60" i="65" s="1"/>
  <c r="Z146" i="65"/>
  <c r="AB146" i="65" s="1"/>
  <c r="AO146" i="65" s="1"/>
  <c r="AA146" i="65"/>
  <c r="AC146" i="65" s="1"/>
  <c r="AP146" i="65" s="1"/>
  <c r="AA59" i="65"/>
  <c r="AC59" i="65" s="1"/>
  <c r="Z59" i="65"/>
  <c r="AB59" i="65" s="1"/>
  <c r="AO59" i="65" s="1"/>
  <c r="AA75" i="65"/>
  <c r="AC75" i="65" s="1"/>
  <c r="Z75" i="65"/>
  <c r="AB75" i="65" s="1"/>
  <c r="AO75" i="65" s="1"/>
  <c r="AA91" i="65"/>
  <c r="AC91" i="65" s="1"/>
  <c r="AP91" i="65" s="1"/>
  <c r="Z91" i="65"/>
  <c r="AB91" i="65" s="1"/>
  <c r="AO91" i="65" s="1"/>
  <c r="AA107" i="65"/>
  <c r="AC107" i="65" s="1"/>
  <c r="AP107" i="65" s="1"/>
  <c r="Z107" i="65"/>
  <c r="AB107" i="65" s="1"/>
  <c r="AO107" i="65" s="1"/>
  <c r="AA119" i="65"/>
  <c r="AC119" i="65" s="1"/>
  <c r="Z119" i="65"/>
  <c r="AB119" i="65" s="1"/>
  <c r="AO119" i="65" s="1"/>
  <c r="Z148" i="65"/>
  <c r="AB148" i="65" s="1"/>
  <c r="AO148" i="65" s="1"/>
  <c r="AA174" i="65"/>
  <c r="AC174" i="65" s="1"/>
  <c r="Z174" i="65"/>
  <c r="AB174" i="65" s="1"/>
  <c r="AO174" i="65" s="1"/>
  <c r="Z51" i="65"/>
  <c r="AB51" i="65" s="1"/>
  <c r="AO51" i="65" s="1"/>
  <c r="AA51" i="65"/>
  <c r="AC51" i="65" s="1"/>
  <c r="AP51" i="65" s="1"/>
  <c r="Z72" i="65"/>
  <c r="AB72" i="65" s="1"/>
  <c r="AO72" i="65" s="1"/>
  <c r="AA72" i="65"/>
  <c r="AC72" i="65" s="1"/>
  <c r="Z162" i="65"/>
  <c r="AB162" i="65" s="1"/>
  <c r="AO162" i="65" s="1"/>
  <c r="AA162" i="65"/>
  <c r="AC162" i="65" s="1"/>
  <c r="AA27" i="65"/>
  <c r="AC27" i="65" s="1"/>
  <c r="AP27" i="65" s="1"/>
  <c r="Z66" i="65"/>
  <c r="AB66" i="65" s="1"/>
  <c r="AO66" i="65" s="1"/>
  <c r="AA66" i="65"/>
  <c r="AC66" i="65" s="1"/>
  <c r="AA82" i="65"/>
  <c r="AC82" i="65" s="1"/>
  <c r="Z98" i="65"/>
  <c r="AB98" i="65" s="1"/>
  <c r="AO98" i="65" s="1"/>
  <c r="AA126" i="65"/>
  <c r="AC126" i="65" s="1"/>
  <c r="AP126" i="65" s="1"/>
  <c r="Z126" i="65"/>
  <c r="AB126" i="65" s="1"/>
  <c r="AO126" i="65" s="1"/>
  <c r="AA181" i="65"/>
  <c r="AC181" i="65" s="1"/>
  <c r="AP181" i="65" s="1"/>
  <c r="Z181" i="65"/>
  <c r="AB181" i="65" s="1"/>
  <c r="AO181" i="65" s="1"/>
  <c r="AA20" i="28"/>
  <c r="AC20" i="28" s="1"/>
  <c r="Z20" i="28"/>
  <c r="AB20" i="28" s="1"/>
  <c r="AO20" i="28" s="1"/>
  <c r="AA24" i="28"/>
  <c r="AC24" i="28" s="1"/>
  <c r="AP24" i="28" s="1"/>
  <c r="Z24" i="28"/>
  <c r="AB24" i="28" s="1"/>
  <c r="AO24" i="28" s="1"/>
  <c r="AA8" i="28"/>
  <c r="AC8" i="28" s="1"/>
  <c r="AP8" i="28" s="1"/>
  <c r="Z8" i="28"/>
  <c r="AB8" i="28" s="1"/>
  <c r="AO8" i="28" s="1"/>
  <c r="AA35" i="28"/>
  <c r="AC35" i="28" s="1"/>
  <c r="AP35" i="28" s="1"/>
  <c r="Z35" i="28"/>
  <c r="AB35" i="28" s="1"/>
  <c r="AO35" i="28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9" i="2" s="1"/>
  <c r="L29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AA108" i="15"/>
  <c r="AC108" i="15" s="1"/>
  <c r="Z108" i="15"/>
  <c r="AB108" i="15" s="1"/>
  <c r="AO108" i="15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AA16" i="55"/>
  <c r="AC16" i="55" s="1"/>
  <c r="AP16" i="55" s="1"/>
  <c r="Z16" i="55"/>
  <c r="AB16" i="55" s="1"/>
  <c r="AO16" i="55" s="1"/>
  <c r="AA26" i="53"/>
  <c r="AC26" i="53" s="1"/>
  <c r="AP26" i="53" s="1"/>
  <c r="Z26" i="53"/>
  <c r="AB26" i="53" s="1"/>
  <c r="AO26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Z11" i="53"/>
  <c r="AB11" i="53" s="1"/>
  <c r="AO11" i="53" s="1"/>
  <c r="Z52" i="53"/>
  <c r="AB52" i="53" s="1"/>
  <c r="AO52" i="53" s="1"/>
  <c r="AA52" i="53"/>
  <c r="AC52" i="53" s="1"/>
  <c r="AP52" i="53" s="1"/>
  <c r="AA43" i="53"/>
  <c r="AC43" i="53" s="1"/>
  <c r="AP43" i="53" s="1"/>
  <c r="Z43" i="53"/>
  <c r="AB43" i="53" s="1"/>
  <c r="AO43" i="53" s="1"/>
  <c r="AA46" i="5"/>
  <c r="AC46" i="5" s="1"/>
  <c r="AP46" i="5" s="1"/>
  <c r="Z10" i="12"/>
  <c r="AB10" i="12" s="1"/>
  <c r="AO10" i="12" s="1"/>
  <c r="AA25" i="12"/>
  <c r="AC25" i="12" s="1"/>
  <c r="AP25" i="12" s="1"/>
  <c r="AA18" i="12"/>
  <c r="AC18" i="12" s="1"/>
  <c r="AP18" i="12" s="1"/>
  <c r="Z18" i="12"/>
  <c r="AB18" i="12" s="1"/>
  <c r="AO18" i="12" s="1"/>
  <c r="Z7" i="12"/>
  <c r="AB7" i="12" s="1"/>
  <c r="AO7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Q58" i="67" s="1"/>
  <c r="O58" i="67"/>
  <c r="R58" i="67" s="1"/>
  <c r="AA7" i="23"/>
  <c r="AC7" i="23" s="1"/>
  <c r="AP7" i="23" s="1"/>
  <c r="Z7" i="23"/>
  <c r="AB7" i="23" s="1"/>
  <c r="AO7" i="23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Z16" i="18"/>
  <c r="AB16" i="18" s="1"/>
  <c r="AO16" i="18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20" i="75"/>
  <c r="AB20" i="75" s="1"/>
  <c r="AO20" i="75" s="1"/>
  <c r="AA20" i="75"/>
  <c r="AC20" i="75" s="1"/>
  <c r="AP20" i="75" s="1"/>
  <c r="Z22" i="75"/>
  <c r="AB22" i="75" s="1"/>
  <c r="AO22" i="75" s="1"/>
  <c r="AA31" i="66"/>
  <c r="AC31" i="66" s="1"/>
  <c r="Z31" i="66"/>
  <c r="AB31" i="66" s="1"/>
  <c r="AO31" i="66" s="1"/>
  <c r="AA71" i="66"/>
  <c r="AC71" i="66" s="1"/>
  <c r="AP71" i="66" s="1"/>
  <c r="Z71" i="66"/>
  <c r="AB71" i="66" s="1"/>
  <c r="AO71" i="66" s="1"/>
  <c r="AA14" i="66"/>
  <c r="AC14" i="66" s="1"/>
  <c r="Z14" i="66"/>
  <c r="AB14" i="66" s="1"/>
  <c r="AO14" i="66" s="1"/>
  <c r="Z30" i="66"/>
  <c r="AB30" i="66" s="1"/>
  <c r="AO30" i="66" s="1"/>
  <c r="AA30" i="66"/>
  <c r="AC30" i="66" s="1"/>
  <c r="AP30" i="66" s="1"/>
  <c r="Z94" i="66"/>
  <c r="AB94" i="66" s="1"/>
  <c r="AO94" i="66" s="1"/>
  <c r="AA94" i="66"/>
  <c r="AC94" i="66" s="1"/>
  <c r="Z126" i="66"/>
  <c r="AB126" i="66" s="1"/>
  <c r="AO126" i="66" s="1"/>
  <c r="AA126" i="66"/>
  <c r="AC126" i="66" s="1"/>
  <c r="AP126" i="66" s="1"/>
  <c r="AA83" i="66"/>
  <c r="AC83" i="66" s="1"/>
  <c r="AP83" i="66" s="1"/>
  <c r="Z83" i="66"/>
  <c r="AB83" i="66" s="1"/>
  <c r="AO83" i="66" s="1"/>
  <c r="Z90" i="66"/>
  <c r="AB90" i="66" s="1"/>
  <c r="AO90" i="66" s="1"/>
  <c r="Z122" i="66"/>
  <c r="AB122" i="66" s="1"/>
  <c r="AO122" i="66" s="1"/>
  <c r="AA122" i="66"/>
  <c r="AC122" i="66" s="1"/>
  <c r="AP122" i="66" s="1"/>
  <c r="Z61" i="66"/>
  <c r="AB61" i="66" s="1"/>
  <c r="AO61" i="66" s="1"/>
  <c r="AA61" i="66"/>
  <c r="AC61" i="66" s="1"/>
  <c r="AP61" i="66" s="1"/>
  <c r="Z109" i="66"/>
  <c r="AB109" i="66" s="1"/>
  <c r="AO109" i="66" s="1"/>
  <c r="Z125" i="66"/>
  <c r="AB125" i="66" s="1"/>
  <c r="AO125" i="66" s="1"/>
  <c r="AA125" i="66"/>
  <c r="AC125" i="66" s="1"/>
  <c r="AP125" i="66" s="1"/>
  <c r="Z28" i="66"/>
  <c r="AB28" i="66" s="1"/>
  <c r="AO28" i="66" s="1"/>
  <c r="AA60" i="66"/>
  <c r="AC60" i="66" s="1"/>
  <c r="AP60" i="66" s="1"/>
  <c r="Z60" i="66"/>
  <c r="AB60" i="66" s="1"/>
  <c r="AO60" i="66" s="1"/>
  <c r="Z76" i="66"/>
  <c r="AB76" i="66" s="1"/>
  <c r="AO76" i="66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Z13" i="23"/>
  <c r="AB13" i="23" s="1"/>
  <c r="AO13" i="23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AP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41" i="68" s="1"/>
  <c r="R41" i="68" s="1"/>
  <c r="X13" i="31"/>
  <c r="X44" i="31"/>
  <c r="X31" i="31"/>
  <c r="X28" i="31"/>
  <c r="X21" i="31"/>
  <c r="X15" i="31"/>
  <c r="I41" i="68"/>
  <c r="X39" i="31"/>
  <c r="X14" i="31"/>
  <c r="X6" i="31"/>
  <c r="X50" i="31"/>
  <c r="X36" i="31"/>
  <c r="X16" i="31"/>
  <c r="AA114" i="15"/>
  <c r="AC114" i="15" s="1"/>
  <c r="AP114" i="15" s="1"/>
  <c r="Z114" i="15"/>
  <c r="AB114" i="15" s="1"/>
  <c r="AO114" i="15" s="1"/>
  <c r="D9" i="2"/>
  <c r="Q8" i="68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27" i="32"/>
  <c r="AC27" i="32" s="1"/>
  <c r="AP27" i="32" s="1"/>
  <c r="Z27" i="32"/>
  <c r="AB27" i="32" s="1"/>
  <c r="AO27" i="32" s="1"/>
  <c r="AA89" i="32"/>
  <c r="AC89" i="32" s="1"/>
  <c r="Z89" i="32"/>
  <c r="AB89" i="32" s="1"/>
  <c r="AO89" i="32" s="1"/>
  <c r="AA16" i="39"/>
  <c r="AC16" i="39" s="1"/>
  <c r="AP16" i="39" s="1"/>
  <c r="Z16" i="39"/>
  <c r="AB16" i="39" s="1"/>
  <c r="AO16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74"/>
  <c r="AC13" i="74" s="1"/>
  <c r="AP13" i="74" s="1"/>
  <c r="Z45" i="65"/>
  <c r="AB45" i="65" s="1"/>
  <c r="AO45" i="65" s="1"/>
  <c r="Z96" i="65"/>
  <c r="AB96" i="65" s="1"/>
  <c r="AO96" i="65" s="1"/>
  <c r="AA96" i="65"/>
  <c r="AC96" i="65" s="1"/>
  <c r="AP96" i="65" s="1"/>
  <c r="Z28" i="65"/>
  <c r="AB28" i="65" s="1"/>
  <c r="AO28" i="65" s="1"/>
  <c r="AA53" i="65"/>
  <c r="AC53" i="65" s="1"/>
  <c r="AP53" i="65" s="1"/>
  <c r="Z53" i="65"/>
  <c r="AB53" i="65" s="1"/>
  <c r="AO53" i="65" s="1"/>
  <c r="AA99" i="65"/>
  <c r="AC99" i="65" s="1"/>
  <c r="Z99" i="65"/>
  <c r="AB99" i="65" s="1"/>
  <c r="AO99" i="65" s="1"/>
  <c r="Z19" i="65"/>
  <c r="AB19" i="65" s="1"/>
  <c r="AO19" i="65" s="1"/>
  <c r="AA19" i="65"/>
  <c r="AC19" i="65" s="1"/>
  <c r="Z120" i="65"/>
  <c r="AB120" i="65" s="1"/>
  <c r="AO120" i="65" s="1"/>
  <c r="AA120" i="65"/>
  <c r="AC120" i="65" s="1"/>
  <c r="AP120" i="65" s="1"/>
  <c r="Z155" i="65"/>
  <c r="AB155" i="65" s="1"/>
  <c r="AO155" i="65" s="1"/>
  <c r="AA155" i="65"/>
  <c r="AC155" i="65" s="1"/>
  <c r="Z23" i="65"/>
  <c r="AB23" i="65" s="1"/>
  <c r="AO23" i="65" s="1"/>
  <c r="AA23" i="65"/>
  <c r="AC23" i="65" s="1"/>
  <c r="AA74" i="65"/>
  <c r="AC74" i="65" s="1"/>
  <c r="Z74" i="65"/>
  <c r="AB74" i="65" s="1"/>
  <c r="AO74" i="65" s="1"/>
  <c r="AA106" i="65"/>
  <c r="AC106" i="65" s="1"/>
  <c r="Z106" i="65"/>
  <c r="AB106" i="65" s="1"/>
  <c r="AO106" i="65" s="1"/>
  <c r="Z134" i="65"/>
  <c r="AB134" i="65" s="1"/>
  <c r="AO134" i="65" s="1"/>
  <c r="Z173" i="65"/>
  <c r="AB173" i="65" s="1"/>
  <c r="AO173" i="65" s="1"/>
  <c r="AA173" i="65"/>
  <c r="AC173" i="65" s="1"/>
  <c r="Z10" i="28"/>
  <c r="AB10" i="28" s="1"/>
  <c r="AO10" i="28" s="1"/>
  <c r="AA10" i="28"/>
  <c r="AC10" i="28" s="1"/>
  <c r="Z33" i="28"/>
  <c r="AB33" i="28" s="1"/>
  <c r="AO33" i="28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11" i="54"/>
  <c r="AC11" i="54" s="1"/>
  <c r="AP11" i="54" s="1"/>
  <c r="Z11" i="54"/>
  <c r="AB11" i="54" s="1"/>
  <c r="AO11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AA19" i="53"/>
  <c r="AC19" i="53" s="1"/>
  <c r="Z19" i="53"/>
  <c r="AB19" i="53" s="1"/>
  <c r="AO19" i="53" s="1"/>
  <c r="AA49" i="5"/>
  <c r="AC49" i="5" s="1"/>
  <c r="AP49" i="5" s="1"/>
  <c r="Z11" i="14"/>
  <c r="AB11" i="14" s="1"/>
  <c r="AO11" i="14" s="1"/>
  <c r="AA11" i="14"/>
  <c r="AC11" i="14" s="1"/>
  <c r="AP11" i="14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0" i="2"/>
  <c r="Q31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9" i="68"/>
  <c r="D39" i="2"/>
  <c r="Q32" i="68"/>
  <c r="U32" i="68" s="1"/>
  <c r="F33" i="2" s="1"/>
  <c r="D33" i="2"/>
  <c r="N54" i="68"/>
  <c r="Q54" i="68" s="1"/>
  <c r="O54" i="68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36" i="65"/>
  <c r="AC136" i="65" s="1"/>
  <c r="AP136" i="65" s="1"/>
  <c r="Z136" i="65"/>
  <c r="AB136" i="65" s="1"/>
  <c r="AO136" i="65" s="1"/>
  <c r="Z21" i="36"/>
  <c r="AB21" i="36" s="1"/>
  <c r="AO21" i="36" s="1"/>
  <c r="AA21" i="36"/>
  <c r="AC21" i="36" s="1"/>
  <c r="AP21" i="36" s="1"/>
  <c r="AA20" i="18"/>
  <c r="AC20" i="18" s="1"/>
  <c r="AP20" i="18" s="1"/>
  <c r="Z20" i="18"/>
  <c r="AB20" i="18" s="1"/>
  <c r="AO20" i="18" s="1"/>
  <c r="AA13" i="18"/>
  <c r="AC13" i="18" s="1"/>
  <c r="AP13" i="18" s="1"/>
  <c r="AA21" i="66"/>
  <c r="AC21" i="66" s="1"/>
  <c r="AP21" i="66" s="1"/>
  <c r="Z21" i="66"/>
  <c r="AB21" i="66" s="1"/>
  <c r="AO21" i="66" s="1"/>
  <c r="Q6" i="67"/>
  <c r="U6" i="67" s="1"/>
  <c r="N6" i="2" s="1"/>
  <c r="L6" i="2"/>
  <c r="Z66" i="66"/>
  <c r="AB66" i="66" s="1"/>
  <c r="AO66" i="66" s="1"/>
  <c r="AA66" i="66"/>
  <c r="AC66" i="66" s="1"/>
  <c r="AP66" i="66" s="1"/>
  <c r="AA65" i="66"/>
  <c r="AC65" i="66" s="1"/>
  <c r="Z65" i="66"/>
  <c r="AB65" i="66" s="1"/>
  <c r="AO65" i="66" s="1"/>
  <c r="AA97" i="66"/>
  <c r="AC97" i="66" s="1"/>
  <c r="AP97" i="66" s="1"/>
  <c r="Z97" i="66"/>
  <c r="AB97" i="66" s="1"/>
  <c r="AO97" i="66" s="1"/>
  <c r="AA64" i="66"/>
  <c r="AC64" i="66" s="1"/>
  <c r="AP64" i="66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Z34" i="15"/>
  <c r="AB34" i="15" s="1"/>
  <c r="AO34" i="15" s="1"/>
  <c r="AA6" i="13"/>
  <c r="AC6" i="13" s="1"/>
  <c r="Z6" i="13"/>
  <c r="AB6" i="13" s="1"/>
  <c r="AO6" i="13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Z7" i="60"/>
  <c r="AB7" i="60" s="1"/>
  <c r="AO7" i="60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AA51" i="32"/>
  <c r="AC51" i="32" s="1"/>
  <c r="Z20" i="32"/>
  <c r="AB20" i="32" s="1"/>
  <c r="AO20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Z80" i="65"/>
  <c r="AB80" i="65" s="1"/>
  <c r="AO80" i="65" s="1"/>
  <c r="AA80" i="65"/>
  <c r="AC80" i="65" s="1"/>
  <c r="Z138" i="65"/>
  <c r="AB138" i="65" s="1"/>
  <c r="AO138" i="65" s="1"/>
  <c r="AA138" i="65"/>
  <c r="AC138" i="65" s="1"/>
  <c r="AP138" i="65" s="1"/>
  <c r="Z31" i="65"/>
  <c r="AB31" i="65" s="1"/>
  <c r="AO31" i="65" s="1"/>
  <c r="AA56" i="65"/>
  <c r="AC56" i="65" s="1"/>
  <c r="Z56" i="65"/>
  <c r="AB56" i="65" s="1"/>
  <c r="AO56" i="65" s="1"/>
  <c r="AA87" i="65"/>
  <c r="AC87" i="65" s="1"/>
  <c r="Z87" i="65"/>
  <c r="AB87" i="65" s="1"/>
  <c r="AO87" i="65" s="1"/>
  <c r="AA131" i="65"/>
  <c r="AC131" i="65" s="1"/>
  <c r="Z131" i="65"/>
  <c r="AB131" i="65" s="1"/>
  <c r="AO131" i="65" s="1"/>
  <c r="Z170" i="65"/>
  <c r="AB170" i="65" s="1"/>
  <c r="AO170" i="65" s="1"/>
  <c r="Z20" i="65"/>
  <c r="AB20" i="65" s="1"/>
  <c r="AO20" i="65" s="1"/>
  <c r="AA20" i="65"/>
  <c r="AC20" i="65" s="1"/>
  <c r="Z150" i="65"/>
  <c r="AB150" i="65" s="1"/>
  <c r="AO150" i="65" s="1"/>
  <c r="AA150" i="65"/>
  <c r="AC150" i="65" s="1"/>
  <c r="Z62" i="65"/>
  <c r="AB62" i="65" s="1"/>
  <c r="AO62" i="65" s="1"/>
  <c r="AA62" i="65"/>
  <c r="AC62" i="65" s="1"/>
  <c r="Z41" i="28"/>
  <c r="AB41" i="28" s="1"/>
  <c r="AO41" i="28" s="1"/>
  <c r="AA41" i="28"/>
  <c r="AC41" i="28" s="1"/>
  <c r="AP41" i="28" s="1"/>
  <c r="AA47" i="28"/>
  <c r="AC47" i="28" s="1"/>
  <c r="AP47" i="28" s="1"/>
  <c r="Z47" i="28"/>
  <c r="AB47" i="28" s="1"/>
  <c r="AO47" i="28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5" i="2"/>
  <c r="Q15" i="67"/>
  <c r="U15" i="67" s="1"/>
  <c r="N15" i="2" s="1"/>
  <c r="N66" i="67"/>
  <c r="L44" i="2" s="1"/>
  <c r="Q64" i="67"/>
  <c r="Q66" i="67" s="1"/>
  <c r="N54" i="67"/>
  <c r="Q54" i="67" s="1"/>
  <c r="O54" i="67"/>
  <c r="R54" i="67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09" i="65"/>
  <c r="AC109" i="65" s="1"/>
  <c r="Z109" i="65"/>
  <c r="AB109" i="65" s="1"/>
  <c r="AO109" i="65" s="1"/>
  <c r="AA49" i="65"/>
  <c r="AC49" i="65" s="1"/>
  <c r="AP49" i="65" s="1"/>
  <c r="Z49" i="65"/>
  <c r="AB49" i="65" s="1"/>
  <c r="AO49" i="65" s="1"/>
  <c r="AA7" i="36"/>
  <c r="AC7" i="36" s="1"/>
  <c r="AP7" i="36" s="1"/>
  <c r="Z7" i="36"/>
  <c r="AB7" i="36" s="1"/>
  <c r="AO7" i="36" s="1"/>
  <c r="AA18" i="36"/>
  <c r="AC18" i="36" s="1"/>
  <c r="AP18" i="36" s="1"/>
  <c r="Z18" i="36"/>
  <c r="AB18" i="36" s="1"/>
  <c r="AO18" i="36" s="1"/>
  <c r="Z17" i="44"/>
  <c r="AB17" i="44" s="1"/>
  <c r="AO17" i="44" s="1"/>
  <c r="D19" i="2"/>
  <c r="Q18" i="68"/>
  <c r="AA6" i="18"/>
  <c r="AC6" i="18" s="1"/>
  <c r="AP6" i="18" s="1"/>
  <c r="AA7" i="18"/>
  <c r="AC7" i="18" s="1"/>
  <c r="AP7" i="18" s="1"/>
  <c r="Z7" i="18"/>
  <c r="AB7" i="18" s="1"/>
  <c r="AO7" i="18" s="1"/>
  <c r="Z6" i="25"/>
  <c r="AB6" i="25" s="1"/>
  <c r="AO6" i="25" s="1"/>
  <c r="AA6" i="25"/>
  <c r="AC6" i="25" s="1"/>
  <c r="AP6" i="25" s="1"/>
  <c r="AA5" i="25"/>
  <c r="AC5" i="25" s="1"/>
  <c r="Z5" i="25"/>
  <c r="AB5" i="25" s="1"/>
  <c r="Z16" i="61"/>
  <c r="AB16" i="61" s="1"/>
  <c r="AO16" i="61" s="1"/>
  <c r="AA58" i="75"/>
  <c r="AC58" i="75" s="1"/>
  <c r="AP58" i="75" s="1"/>
  <c r="AA119" i="66"/>
  <c r="AC119" i="66" s="1"/>
  <c r="AP119" i="66" s="1"/>
  <c r="Z119" i="66"/>
  <c r="AB119" i="66" s="1"/>
  <c r="AO119" i="66" s="1"/>
  <c r="AA54" i="66"/>
  <c r="AC54" i="66" s="1"/>
  <c r="AP54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Z6" i="66"/>
  <c r="AB6" i="66" s="1"/>
  <c r="AA6" i="66"/>
  <c r="AC6" i="66" s="1"/>
  <c r="Z50" i="66"/>
  <c r="AB50" i="66" s="1"/>
  <c r="AO50" i="66" s="1"/>
  <c r="Z114" i="66"/>
  <c r="AB114" i="66" s="1"/>
  <c r="AO114" i="66" s="1"/>
  <c r="AA114" i="66"/>
  <c r="AC114" i="66" s="1"/>
  <c r="AP114" i="66" s="1"/>
  <c r="AA41" i="66"/>
  <c r="AC41" i="66" s="1"/>
  <c r="Z41" i="66"/>
  <c r="AB41" i="66" s="1"/>
  <c r="AO41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40" i="66"/>
  <c r="AC40" i="66" s="1"/>
  <c r="Z40" i="66"/>
  <c r="AB40" i="66" s="1"/>
  <c r="AO40" i="66" s="1"/>
  <c r="AA72" i="66"/>
  <c r="AC72" i="66" s="1"/>
  <c r="Z72" i="66"/>
  <c r="AB72" i="66" s="1"/>
  <c r="AO72" i="66" s="1"/>
  <c r="AA104" i="66"/>
  <c r="AC104" i="66" s="1"/>
  <c r="AP104" i="66" s="1"/>
  <c r="Z104" i="66"/>
  <c r="AB104" i="66" s="1"/>
  <c r="AO104" i="66" s="1"/>
  <c r="Z20" i="33"/>
  <c r="AB20" i="33" s="1"/>
  <c r="AO20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AA18" i="16"/>
  <c r="AC18" i="16" s="1"/>
  <c r="AP18" i="16" s="1"/>
  <c r="Z18" i="16"/>
  <c r="AB18" i="16" s="1"/>
  <c r="AO18" i="16" s="1"/>
  <c r="AA7" i="16"/>
  <c r="AC7" i="16" s="1"/>
  <c r="AP7" i="16" s="1"/>
  <c r="Z7" i="16"/>
  <c r="AB7" i="16" s="1"/>
  <c r="AO7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AP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51" i="22"/>
  <c r="AC51" i="22" s="1"/>
  <c r="AP51" i="22" s="1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15" i="60"/>
  <c r="AC15" i="60" s="1"/>
  <c r="AP15" i="60" s="1"/>
  <c r="Z55" i="46"/>
  <c r="AB55" i="46" s="1"/>
  <c r="AO55" i="46" s="1"/>
  <c r="AA55" i="46"/>
  <c r="AC55" i="46" s="1"/>
  <c r="AP55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AA29" i="20"/>
  <c r="AC29" i="20" s="1"/>
  <c r="AP29" i="20" s="1"/>
  <c r="Z17" i="20"/>
  <c r="AB17" i="20" s="1"/>
  <c r="AO17" i="20" s="1"/>
  <c r="AA17" i="20"/>
  <c r="AC17" i="20" s="1"/>
  <c r="AP17" i="20" s="1"/>
  <c r="AA62" i="20"/>
  <c r="AC62" i="20" s="1"/>
  <c r="AP62" i="20" s="1"/>
  <c r="AA80" i="20"/>
  <c r="AC80" i="20" s="1"/>
  <c r="AP80" i="20" s="1"/>
  <c r="Z80" i="20"/>
  <c r="AB80" i="20" s="1"/>
  <c r="AO80" i="20" s="1"/>
  <c r="AA27" i="20"/>
  <c r="AC27" i="20" s="1"/>
  <c r="AP27" i="20" s="1"/>
  <c r="Z27" i="20"/>
  <c r="AB27" i="20" s="1"/>
  <c r="AO27" i="20" s="1"/>
  <c r="AA43" i="20"/>
  <c r="AC43" i="20" s="1"/>
  <c r="Z43" i="20"/>
  <c r="AB43" i="20" s="1"/>
  <c r="AO43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5" i="67"/>
  <c r="Q38" i="68"/>
  <c r="U38" i="68" s="1"/>
  <c r="F38" i="2" s="1"/>
  <c r="D38" i="2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Z50" i="15"/>
  <c r="AB50" i="15" s="1"/>
  <c r="AO50" i="15" s="1"/>
  <c r="AA17" i="3"/>
  <c r="AC17" i="3" s="1"/>
  <c r="AP17" i="3" s="1"/>
  <c r="Z17" i="3"/>
  <c r="AB17" i="3" s="1"/>
  <c r="AO17" i="3" s="1"/>
  <c r="AA112" i="65"/>
  <c r="AC112" i="65" s="1"/>
  <c r="N40" i="67"/>
  <c r="I41" i="67"/>
  <c r="O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AA10" i="32"/>
  <c r="AC10" i="32" s="1"/>
  <c r="AA139" i="32"/>
  <c r="AC139" i="32" s="1"/>
  <c r="AP139" i="32" s="1"/>
  <c r="Z118" i="32"/>
  <c r="AB118" i="32" s="1"/>
  <c r="AO118" i="32" s="1"/>
  <c r="AA118" i="32"/>
  <c r="AC118" i="32" s="1"/>
  <c r="AP118" i="32" s="1"/>
  <c r="AA39" i="32"/>
  <c r="AC39" i="32" s="1"/>
  <c r="AP39" i="32" s="1"/>
  <c r="Z39" i="32"/>
  <c r="AB39" i="32" s="1"/>
  <c r="AO39" i="32" s="1"/>
  <c r="Z114" i="32"/>
  <c r="AB114" i="32" s="1"/>
  <c r="AO114" i="32" s="1"/>
  <c r="AA114" i="32"/>
  <c r="AC114" i="32" s="1"/>
  <c r="AP114" i="32" s="1"/>
  <c r="Z19" i="32"/>
  <c r="AB19" i="32" s="1"/>
  <c r="AO19" i="32" s="1"/>
  <c r="AA19" i="32"/>
  <c r="AC19" i="32" s="1"/>
  <c r="AP19" i="32" s="1"/>
  <c r="AA85" i="32"/>
  <c r="AC85" i="32" s="1"/>
  <c r="Z85" i="32"/>
  <c r="AB85" i="32" s="1"/>
  <c r="AO85" i="32" s="1"/>
  <c r="AA133" i="32"/>
  <c r="AC133" i="32" s="1"/>
  <c r="AP133" i="32" s="1"/>
  <c r="Z133" i="32"/>
  <c r="AB133" i="32" s="1"/>
  <c r="AO133" i="32" s="1"/>
  <c r="Z41" i="39"/>
  <c r="AB41" i="39" s="1"/>
  <c r="AO41" i="39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11" i="3"/>
  <c r="AC11" i="3" s="1"/>
  <c r="AP11" i="3" s="1"/>
  <c r="Z11" i="3"/>
  <c r="AB11" i="3" s="1"/>
  <c r="AO11" i="3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11" i="19"/>
  <c r="AB11" i="19" s="1"/>
  <c r="AO11" i="19" s="1"/>
  <c r="Z11" i="65"/>
  <c r="AB11" i="65" s="1"/>
  <c r="AO11" i="65" s="1"/>
  <c r="AA11" i="65"/>
  <c r="AC11" i="65" s="1"/>
  <c r="Z124" i="65"/>
  <c r="AB124" i="65" s="1"/>
  <c r="AO124" i="65" s="1"/>
  <c r="AA124" i="65"/>
  <c r="AC124" i="65" s="1"/>
  <c r="AP124" i="65" s="1"/>
  <c r="AA63" i="65"/>
  <c r="AC63" i="65" s="1"/>
  <c r="Z63" i="65"/>
  <c r="AB63" i="65" s="1"/>
  <c r="AO63" i="65" s="1"/>
  <c r="Z79" i="65"/>
  <c r="AB79" i="65" s="1"/>
  <c r="AO79" i="65" s="1"/>
  <c r="AA164" i="65"/>
  <c r="AC164" i="65" s="1"/>
  <c r="Z164" i="65"/>
  <c r="AB164" i="65" s="1"/>
  <c r="AO164" i="65" s="1"/>
  <c r="Z54" i="65"/>
  <c r="AB54" i="65" s="1"/>
  <c r="AO54" i="65" s="1"/>
  <c r="AA54" i="65"/>
  <c r="AC54" i="65" s="1"/>
  <c r="Z88" i="65"/>
  <c r="AB88" i="65" s="1"/>
  <c r="AO88" i="65" s="1"/>
  <c r="AA88" i="65"/>
  <c r="AC88" i="65" s="1"/>
  <c r="Z142" i="65"/>
  <c r="AB142" i="65" s="1"/>
  <c r="AO142" i="65" s="1"/>
  <c r="AA142" i="65"/>
  <c r="AC142" i="65" s="1"/>
  <c r="Z16" i="65"/>
  <c r="AB16" i="65" s="1"/>
  <c r="AO16" i="65" s="1"/>
  <c r="AA16" i="65"/>
  <c r="AC16" i="65" s="1"/>
  <c r="AP16" i="65" s="1"/>
  <c r="AA55" i="65"/>
  <c r="AC55" i="65" s="1"/>
  <c r="Z55" i="65"/>
  <c r="AB55" i="65" s="1"/>
  <c r="AO55" i="65" s="1"/>
  <c r="AA86" i="65"/>
  <c r="AC86" i="65" s="1"/>
  <c r="AP86" i="65" s="1"/>
  <c r="Z86" i="65"/>
  <c r="AB86" i="65" s="1"/>
  <c r="AO86" i="65" s="1"/>
  <c r="AA102" i="65"/>
  <c r="AC102" i="65" s="1"/>
  <c r="AP102" i="65" s="1"/>
  <c r="Z102" i="65"/>
  <c r="AB102" i="65" s="1"/>
  <c r="AO102" i="65" s="1"/>
  <c r="AA144" i="65"/>
  <c r="AC144" i="65" s="1"/>
  <c r="AP144" i="65" s="1"/>
  <c r="AA157" i="65"/>
  <c r="AC157" i="65" s="1"/>
  <c r="Z157" i="65"/>
  <c r="AB157" i="65" s="1"/>
  <c r="AO157" i="65" s="1"/>
  <c r="AA185" i="65"/>
  <c r="AC185" i="65" s="1"/>
  <c r="AP185" i="65" s="1"/>
  <c r="Z185" i="65"/>
  <c r="AB185" i="65" s="1"/>
  <c r="AO185" i="65" s="1"/>
  <c r="AA30" i="28"/>
  <c r="AC30" i="28" s="1"/>
  <c r="AP30" i="28" s="1"/>
  <c r="Z30" i="28"/>
  <c r="AB30" i="28" s="1"/>
  <c r="AO30" i="28" s="1"/>
  <c r="Z19" i="28"/>
  <c r="AB19" i="28" s="1"/>
  <c r="AO19" i="28" s="1"/>
  <c r="Z25" i="28"/>
  <c r="AB25" i="28" s="1"/>
  <c r="AO25" i="28" s="1"/>
  <c r="Z44" i="28"/>
  <c r="AB44" i="28" s="1"/>
  <c r="AO44" i="28" s="1"/>
  <c r="AA44" i="28"/>
  <c r="AC44" i="28" s="1"/>
  <c r="AP44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9" i="68"/>
  <c r="U49" i="68" s="1"/>
  <c r="F50" i="2" s="1"/>
  <c r="D50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Z39" i="22"/>
  <c r="AB39" i="22" s="1"/>
  <c r="AO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22" i="45"/>
  <c r="AC22" i="45" s="1"/>
  <c r="AP22" i="45" s="1"/>
  <c r="Z19" i="45"/>
  <c r="AB19" i="45" s="1"/>
  <c r="AO19" i="45" s="1"/>
  <c r="AA9" i="21"/>
  <c r="AC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Z29" i="53"/>
  <c r="AB29" i="53" s="1"/>
  <c r="AO29" i="53" s="1"/>
  <c r="AA29" i="53"/>
  <c r="AC29" i="53" s="1"/>
  <c r="AP29" i="53" s="1"/>
  <c r="AA40" i="53"/>
  <c r="AC40" i="53" s="1"/>
  <c r="AP40" i="53" s="1"/>
  <c r="Z40" i="53"/>
  <c r="AB40" i="53" s="1"/>
  <c r="AO40" i="53" s="1"/>
  <c r="AA36" i="53"/>
  <c r="AC36" i="53" s="1"/>
  <c r="AP36" i="53" s="1"/>
  <c r="Z36" i="53"/>
  <c r="AB36" i="53" s="1"/>
  <c r="AO36" i="53" s="1"/>
  <c r="R24" i="67"/>
  <c r="AA31" i="53"/>
  <c r="AC31" i="53" s="1"/>
  <c r="AP31" i="53" s="1"/>
  <c r="Z31" i="53"/>
  <c r="AB31" i="53" s="1"/>
  <c r="AO31" i="53" s="1"/>
  <c r="AA23" i="5"/>
  <c r="AC23" i="5" s="1"/>
  <c r="AA42" i="5"/>
  <c r="AC42" i="5" s="1"/>
  <c r="AP42" i="5" s="1"/>
  <c r="Z28" i="12"/>
  <c r="AB28" i="12" s="1"/>
  <c r="AO28" i="12" s="1"/>
  <c r="AA28" i="12"/>
  <c r="AC28" i="12" s="1"/>
  <c r="AP28" i="12" s="1"/>
  <c r="Z23" i="12"/>
  <c r="AB23" i="12" s="1"/>
  <c r="AO23" i="12" s="1"/>
  <c r="AA23" i="12"/>
  <c r="AC23" i="12" s="1"/>
  <c r="AA45" i="12"/>
  <c r="AC45" i="12" s="1"/>
  <c r="AP45" i="12" s="1"/>
  <c r="Z45" i="12"/>
  <c r="AB45" i="12" s="1"/>
  <c r="AO45" i="12" s="1"/>
  <c r="AA21" i="12"/>
  <c r="AC21" i="12" s="1"/>
  <c r="Z21" i="12"/>
  <c r="AB21" i="12" s="1"/>
  <c r="AO2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AA15" i="27"/>
  <c r="AC15" i="27" s="1"/>
  <c r="Z15" i="27"/>
  <c r="AB15" i="27" s="1"/>
  <c r="AO15" i="27" s="1"/>
  <c r="AA11" i="27"/>
  <c r="AC11" i="27" s="1"/>
  <c r="AP11" i="27" s="1"/>
  <c r="Z11" i="27"/>
  <c r="AB11" i="27" s="1"/>
  <c r="AO11" i="27" s="1"/>
  <c r="Z12" i="27"/>
  <c r="AB12" i="27" s="1"/>
  <c r="AO12" i="27" s="1"/>
  <c r="AA12" i="27"/>
  <c r="AC12" i="27" s="1"/>
  <c r="AP12" i="27" s="1"/>
  <c r="Z6" i="27"/>
  <c r="AB6" i="27" s="1"/>
  <c r="AO6" i="27" s="1"/>
  <c r="AA6" i="27"/>
  <c r="AC6" i="27" s="1"/>
  <c r="AP6" i="27" s="1"/>
  <c r="AP11" i="18" l="1"/>
  <c r="AP9" i="15"/>
  <c r="AP107" i="15"/>
  <c r="AP31" i="15"/>
  <c r="AP110" i="15"/>
  <c r="AP37" i="15"/>
  <c r="Z9" i="16"/>
  <c r="AB9" i="16" s="1"/>
  <c r="AO9" i="16" s="1"/>
  <c r="Z11" i="16"/>
  <c r="AB11" i="16" s="1"/>
  <c r="AO11" i="16" s="1"/>
  <c r="S24" i="68"/>
  <c r="T7" i="68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A21" i="26"/>
  <c r="AC21" i="26" s="1"/>
  <c r="AP21" i="26" s="1"/>
  <c r="AA10" i="18"/>
  <c r="AC10" i="18" s="1"/>
  <c r="AA46" i="65"/>
  <c r="AC46" i="65" s="1"/>
  <c r="AP46" i="65" s="1"/>
  <c r="AA13" i="26"/>
  <c r="AC13" i="26" s="1"/>
  <c r="AA78" i="32"/>
  <c r="AC78" i="32" s="1"/>
  <c r="AA14" i="54"/>
  <c r="AC14" i="54" s="1"/>
  <c r="AP14" i="54" s="1"/>
  <c r="Z97" i="65"/>
  <c r="AB97" i="65" s="1"/>
  <c r="AO97" i="65" s="1"/>
  <c r="AA24" i="18"/>
  <c r="AC24" i="18" s="1"/>
  <c r="AP24" i="18" s="1"/>
  <c r="N23" i="67"/>
  <c r="L23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88" i="65"/>
  <c r="Z25" i="65"/>
  <c r="AB25" i="65" s="1"/>
  <c r="AO25" i="65" s="1"/>
  <c r="AA12" i="66"/>
  <c r="AC12" i="66" s="1"/>
  <c r="Z81" i="65"/>
  <c r="AB81" i="65" s="1"/>
  <c r="AO81" i="65" s="1"/>
  <c r="Z108" i="66"/>
  <c r="AB108" i="66" s="1"/>
  <c r="AO108" i="66" s="1"/>
  <c r="AA45" i="66"/>
  <c r="AC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Z7" i="26"/>
  <c r="AB7" i="26" s="1"/>
  <c r="AO7" i="26" s="1"/>
  <c r="AA14" i="70"/>
  <c r="AC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Z180" i="65"/>
  <c r="AB180" i="65" s="1"/>
  <c r="AO180" i="65" s="1"/>
  <c r="Z140" i="65"/>
  <c r="AB140" i="65" s="1"/>
  <c r="AO140" i="65" s="1"/>
  <c r="AA152" i="65"/>
  <c r="AC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A17" i="13"/>
  <c r="AC17" i="13" s="1"/>
  <c r="Z96" i="66"/>
  <c r="AB96" i="66" s="1"/>
  <c r="AO96" i="66" s="1"/>
  <c r="AA17" i="66"/>
  <c r="AC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A16" i="25"/>
  <c r="AC16" i="25" s="1"/>
  <c r="AP16" i="25" s="1"/>
  <c r="AA13" i="12"/>
  <c r="AC13" i="12" s="1"/>
  <c r="AP13" i="12" s="1"/>
  <c r="AA104" i="65"/>
  <c r="AC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3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A84" i="65"/>
  <c r="AC84" i="65" s="1"/>
  <c r="AP84" i="65" s="1"/>
  <c r="Z30" i="53"/>
  <c r="AB30" i="53" s="1"/>
  <c r="AO30" i="53" s="1"/>
  <c r="AA165" i="65"/>
  <c r="AC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A10" i="44"/>
  <c r="AC10" i="44" s="1"/>
  <c r="AP10" i="44" s="1"/>
  <c r="Z11" i="44"/>
  <c r="AB11" i="44" s="1"/>
  <c r="AO11" i="44" s="1"/>
  <c r="D35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Z13" i="25"/>
  <c r="AB13" i="25" s="1"/>
  <c r="AO13" i="25" s="1"/>
  <c r="Z34" i="12"/>
  <c r="AB34" i="12" s="1"/>
  <c r="AO34" i="12" s="1"/>
  <c r="Z6" i="65"/>
  <c r="AB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I35" i="67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A123" i="66"/>
  <c r="AC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Z19" i="36"/>
  <c r="AB19" i="36" s="1"/>
  <c r="AO19" i="36" s="1"/>
  <c r="Z33" i="12"/>
  <c r="AB33" i="12" s="1"/>
  <c r="AO33" i="12" s="1"/>
  <c r="AA130" i="65"/>
  <c r="AC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5" i="68"/>
  <c r="U15" i="68" s="1"/>
  <c r="F16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A12" i="3"/>
  <c r="AC12" i="3" s="1"/>
  <c r="AP12" i="3" s="1"/>
  <c r="AA85" i="65"/>
  <c r="AC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4" i="68"/>
  <c r="D25" i="2" s="1"/>
  <c r="I7" i="68"/>
  <c r="AA70" i="65"/>
  <c r="AC70" i="65" s="1"/>
  <c r="Z171" i="32"/>
  <c r="AB171" i="32" s="1"/>
  <c r="AO171" i="32" s="1"/>
  <c r="Z34" i="20"/>
  <c r="AB34" i="20" s="1"/>
  <c r="AO34" i="20" s="1"/>
  <c r="Z13" i="20"/>
  <c r="AB13" i="20" s="1"/>
  <c r="AO13" i="20" s="1"/>
  <c r="O7" i="68"/>
  <c r="R7" i="68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I7" i="67"/>
  <c r="N7" i="68"/>
  <c r="D8" i="2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1" i="2"/>
  <c r="AA58" i="66"/>
  <c r="AC58" i="66" s="1"/>
  <c r="AP58" i="66" s="1"/>
  <c r="AA6" i="28"/>
  <c r="AC6" i="28" s="1"/>
  <c r="AP6" i="28" s="1"/>
  <c r="AA167" i="65"/>
  <c r="AC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Z18" i="25"/>
  <c r="AB18" i="25" s="1"/>
  <c r="AO18" i="25" s="1"/>
  <c r="AA5" i="12"/>
  <c r="AC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4" i="68"/>
  <c r="AA5" i="26"/>
  <c r="AC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37" i="20"/>
  <c r="AP14" i="15"/>
  <c r="AP9" i="27"/>
  <c r="AP7" i="51"/>
  <c r="AP26" i="15"/>
  <c r="AP57" i="22"/>
  <c r="AP34" i="46"/>
  <c r="AP26" i="28"/>
  <c r="AP43" i="20"/>
  <c r="AP20" i="28"/>
  <c r="AP102" i="15"/>
  <c r="AP81" i="15"/>
  <c r="AP17" i="13"/>
  <c r="AP128" i="15"/>
  <c r="AP123" i="66"/>
  <c r="AP13" i="23"/>
  <c r="AP104" i="15"/>
  <c r="AP16" i="43"/>
  <c r="AP18" i="45"/>
  <c r="AP171" i="15"/>
  <c r="AP20" i="15"/>
  <c r="AP17" i="30"/>
  <c r="AP9" i="39"/>
  <c r="AP115" i="65"/>
  <c r="AP103" i="66"/>
  <c r="AP16" i="20"/>
  <c r="AP43" i="65"/>
  <c r="AP108" i="15"/>
  <c r="AP154" i="15"/>
  <c r="AP27" i="66"/>
  <c r="AP11" i="21"/>
  <c r="AP28" i="20"/>
  <c r="AP52" i="29"/>
  <c r="D36" i="2"/>
  <c r="AP23" i="28"/>
  <c r="AP67" i="32"/>
  <c r="AP79" i="66"/>
  <c r="AP84" i="32"/>
  <c r="AP14" i="13"/>
  <c r="AP9" i="21"/>
  <c r="AP50" i="15"/>
  <c r="AP89" i="32"/>
  <c r="AP39" i="20"/>
  <c r="AP59" i="15"/>
  <c r="AP13" i="26"/>
  <c r="AP11" i="13"/>
  <c r="AP14" i="70"/>
  <c r="AP119" i="15"/>
  <c r="AP37" i="57"/>
  <c r="AP36" i="15"/>
  <c r="AP19" i="46"/>
  <c r="AP16" i="69"/>
  <c r="AP16" i="46"/>
  <c r="AP9" i="40"/>
  <c r="AP20" i="32"/>
  <c r="AP82" i="66"/>
  <c r="AP18" i="30"/>
  <c r="AP32" i="29"/>
  <c r="AP51" i="32"/>
  <c r="AP14" i="69"/>
  <c r="AP60" i="15"/>
  <c r="AP13" i="53"/>
  <c r="AP13" i="32"/>
  <c r="AP58" i="22"/>
  <c r="AP83" i="32"/>
  <c r="AP25" i="20"/>
  <c r="AP12" i="44"/>
  <c r="AP8" i="24"/>
  <c r="AP23" i="12"/>
  <c r="AP10" i="32"/>
  <c r="AP6" i="73"/>
  <c r="AP101" i="15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3" i="2"/>
  <c r="AA77" i="20"/>
  <c r="AC77" i="20" s="1"/>
  <c r="AP77" i="20" s="1"/>
  <c r="AP17" i="28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4" i="67"/>
  <c r="U34" i="67" s="1"/>
  <c r="N33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4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23" i="5"/>
  <c r="AP72" i="32"/>
  <c r="AP31" i="20"/>
  <c r="AP13" i="5"/>
  <c r="AP15" i="27"/>
  <c r="AP45" i="66"/>
  <c r="AP37" i="22"/>
  <c r="AP80" i="32"/>
  <c r="AP21" i="12"/>
  <c r="AP13" i="25"/>
  <c r="AP21" i="53"/>
  <c r="AP21" i="23"/>
  <c r="AP34" i="15"/>
  <c r="AP12" i="29"/>
  <c r="AP14" i="3"/>
  <c r="AP17" i="43"/>
  <c r="AP24" i="5"/>
  <c r="AP113" i="15"/>
  <c r="AP15" i="30"/>
  <c r="AP14" i="55"/>
  <c r="AP91" i="32"/>
  <c r="AP10" i="28"/>
  <c r="AP20" i="20"/>
  <c r="AP95" i="15"/>
  <c r="AP24" i="57"/>
  <c r="AP33" i="5"/>
  <c r="AP28" i="46"/>
  <c r="AP51" i="66"/>
  <c r="AP35" i="57"/>
  <c r="AP15" i="15"/>
  <c r="AP18" i="57"/>
  <c r="AP29" i="5"/>
  <c r="AP7" i="13"/>
  <c r="AP20" i="65"/>
  <c r="AP28" i="57"/>
  <c r="AP24" i="23"/>
  <c r="AP53" i="32"/>
  <c r="C55" i="2"/>
  <c r="U35" i="68"/>
  <c r="F36" i="2" s="1"/>
  <c r="Q25" i="68"/>
  <c r="Q24" i="68" s="1"/>
  <c r="U19" i="68"/>
  <c r="F20" i="2" s="1"/>
  <c r="V26" i="68"/>
  <c r="AP60" i="32"/>
  <c r="AP71" i="32"/>
  <c r="AP47" i="57"/>
  <c r="AP17" i="70"/>
  <c r="AP55" i="15"/>
  <c r="AP20" i="5"/>
  <c r="AP55" i="66"/>
  <c r="AP54" i="20"/>
  <c r="AP16" i="27"/>
  <c r="AP94" i="66"/>
  <c r="AP12" i="26"/>
  <c r="AP40" i="20"/>
  <c r="AP20" i="46"/>
  <c r="AP6" i="13"/>
  <c r="AP19" i="23"/>
  <c r="AP23" i="53"/>
  <c r="V18" i="68"/>
  <c r="G19" i="2" s="1"/>
  <c r="AP40" i="29"/>
  <c r="U41" i="68"/>
  <c r="F41" i="2" s="1"/>
  <c r="AP29" i="29"/>
  <c r="O48" i="68"/>
  <c r="R48" i="68" s="1"/>
  <c r="K72" i="68"/>
  <c r="V35" i="68"/>
  <c r="G36" i="2" s="1"/>
  <c r="AP30" i="29"/>
  <c r="V34" i="68"/>
  <c r="G35" i="2" s="1"/>
  <c r="AP9" i="29"/>
  <c r="AP37" i="29"/>
  <c r="V43" i="68"/>
  <c r="G43" i="2" s="1"/>
  <c r="AP49" i="29"/>
  <c r="D57" i="2"/>
  <c r="AP28" i="29"/>
  <c r="AP15" i="29"/>
  <c r="V38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1" i="68"/>
  <c r="G41" i="2" s="1"/>
  <c r="T47" i="68"/>
  <c r="E47" i="2" s="1"/>
  <c r="U34" i="68"/>
  <c r="F35" i="2" s="1"/>
  <c r="AP13" i="29"/>
  <c r="AP5" i="29"/>
  <c r="AP53" i="29"/>
  <c r="AP35" i="29"/>
  <c r="AP21" i="29"/>
  <c r="S22" i="68"/>
  <c r="S23" i="68" s="1"/>
  <c r="U18" i="68"/>
  <c r="F19" i="2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4" i="60"/>
  <c r="AB24" i="60" s="1"/>
  <c r="AO24" i="60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7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5" i="67"/>
  <c r="AP19" i="57"/>
  <c r="AP33" i="57"/>
  <c r="AP30" i="57"/>
  <c r="AP31" i="57"/>
  <c r="AP27" i="57"/>
  <c r="V29" i="67"/>
  <c r="O29" i="2" s="1"/>
  <c r="Z9" i="54"/>
  <c r="AB9" i="54" s="1"/>
  <c r="AO9" i="54" s="1"/>
  <c r="K45" i="2"/>
  <c r="V26" i="67"/>
  <c r="AP22" i="53"/>
  <c r="AP19" i="53"/>
  <c r="K43" i="2"/>
  <c r="A22" i="50"/>
  <c r="A24" i="50"/>
  <c r="AA12" i="45"/>
  <c r="AC12" i="45" s="1"/>
  <c r="AP12" i="45" s="1"/>
  <c r="H62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Z33" i="39"/>
  <c r="AB33" i="39" s="1"/>
  <c r="AO33" i="39" s="1"/>
  <c r="AP111" i="66"/>
  <c r="AP89" i="66"/>
  <c r="AP110" i="66"/>
  <c r="AP12" i="66"/>
  <c r="AP34" i="66"/>
  <c r="AP91" i="66"/>
  <c r="AP17" i="66"/>
  <c r="AP102" i="66"/>
  <c r="AP41" i="66"/>
  <c r="AP35" i="66"/>
  <c r="AP42" i="66"/>
  <c r="AP31" i="66"/>
  <c r="AP63" i="66"/>
  <c r="AP40" i="66"/>
  <c r="AP96" i="66"/>
  <c r="AP65" i="66"/>
  <c r="AP28" i="66"/>
  <c r="AP95" i="66"/>
  <c r="AP23" i="66"/>
  <c r="AP19" i="66"/>
  <c r="AP73" i="66"/>
  <c r="AP125" i="65"/>
  <c r="AP11" i="65"/>
  <c r="AP82" i="65"/>
  <c r="AP174" i="65"/>
  <c r="AP92" i="65"/>
  <c r="AP132" i="65"/>
  <c r="AP87" i="65"/>
  <c r="AP164" i="65"/>
  <c r="AP165" i="65"/>
  <c r="AP178" i="65"/>
  <c r="AP179" i="65"/>
  <c r="AA9" i="65"/>
  <c r="AC9" i="65" s="1"/>
  <c r="AP9" i="65" s="1"/>
  <c r="AP63" i="65"/>
  <c r="AP39" i="65"/>
  <c r="AP112" i="65"/>
  <c r="AP170" i="65"/>
  <c r="AP98" i="65"/>
  <c r="AA34" i="65"/>
  <c r="AC34" i="65" s="1"/>
  <c r="AP34" i="65" s="1"/>
  <c r="AP141" i="65"/>
  <c r="AP95" i="65"/>
  <c r="AP71" i="65"/>
  <c r="AP36" i="65"/>
  <c r="AP151" i="65"/>
  <c r="AP127" i="65"/>
  <c r="AA8" i="65"/>
  <c r="AC8" i="65" s="1"/>
  <c r="AP8" i="65" s="1"/>
  <c r="AP72" i="65"/>
  <c r="AP130" i="65"/>
  <c r="AP122" i="65"/>
  <c r="AP160" i="65"/>
  <c r="AP172" i="65"/>
  <c r="AP118" i="65"/>
  <c r="AP61" i="65"/>
  <c r="AP155" i="65"/>
  <c r="AP113" i="65"/>
  <c r="AP133" i="65"/>
  <c r="AP35" i="65"/>
  <c r="AP145" i="65"/>
  <c r="AP152" i="65"/>
  <c r="AP163" i="65"/>
  <c r="AP135" i="65"/>
  <c r="AP142" i="65"/>
  <c r="AP119" i="65"/>
  <c r="AP159" i="65"/>
  <c r="AP65" i="65"/>
  <c r="AP183" i="65"/>
  <c r="AP100" i="65"/>
  <c r="AP23" i="65"/>
  <c r="AP38" i="65"/>
  <c r="AP88" i="65"/>
  <c r="AA29" i="65"/>
  <c r="AC29" i="65" s="1"/>
  <c r="AP29" i="65" s="1"/>
  <c r="AP157" i="65"/>
  <c r="AP74" i="65"/>
  <c r="AP62" i="65"/>
  <c r="AP85" i="65"/>
  <c r="AP154" i="65"/>
  <c r="H72" i="68"/>
  <c r="E45" i="68" s="1"/>
  <c r="AP193" i="65"/>
  <c r="AP173" i="65"/>
  <c r="AP189" i="65"/>
  <c r="AP123" i="65"/>
  <c r="AP59" i="65"/>
  <c r="AP70" i="65"/>
  <c r="AP166" i="65"/>
  <c r="AP22" i="65"/>
  <c r="AP52" i="65"/>
  <c r="AP180" i="65"/>
  <c r="AP175" i="65"/>
  <c r="AP47" i="65"/>
  <c r="AP48" i="65"/>
  <c r="AP131" i="65"/>
  <c r="AP150" i="65"/>
  <c r="AP105" i="65"/>
  <c r="AP134" i="65"/>
  <c r="AP148" i="65"/>
  <c r="AP78" i="65"/>
  <c r="AP99" i="65"/>
  <c r="AP64" i="65"/>
  <c r="AP158" i="65"/>
  <c r="AP140" i="65"/>
  <c r="AP182" i="65"/>
  <c r="AP30" i="65"/>
  <c r="AP184" i="65"/>
  <c r="AP169" i="65"/>
  <c r="AP106" i="65"/>
  <c r="AP12" i="65"/>
  <c r="AP25" i="65"/>
  <c r="AP19" i="65"/>
  <c r="AP58" i="65"/>
  <c r="AP79" i="65"/>
  <c r="AP104" i="65"/>
  <c r="AP167" i="65"/>
  <c r="AP109" i="66"/>
  <c r="AP14" i="66"/>
  <c r="S62" i="67"/>
  <c r="AP72" i="66"/>
  <c r="AP131" i="66"/>
  <c r="AP29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D14" i="2"/>
  <c r="AO5" i="77"/>
  <c r="A22" i="77"/>
  <c r="Z172" i="32"/>
  <c r="AB172" i="32" s="1"/>
  <c r="AO172" i="32" s="1"/>
  <c r="Z21" i="23"/>
  <c r="AB21" i="23" s="1"/>
  <c r="AO21" i="23" s="1"/>
  <c r="Z47" i="32"/>
  <c r="AB47" i="32" s="1"/>
  <c r="AO47" i="32" s="1"/>
  <c r="AP5" i="77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19" i="68"/>
  <c r="G20" i="2" s="1"/>
  <c r="AP6" i="5"/>
  <c r="AP59" i="32"/>
  <c r="AP63" i="32"/>
  <c r="V15" i="67"/>
  <c r="O15" i="2" s="1"/>
  <c r="D20" i="2"/>
  <c r="D37" i="2"/>
  <c r="U40" i="68"/>
  <c r="F40" i="2" s="1"/>
  <c r="V33" i="68"/>
  <c r="G34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2" i="68"/>
  <c r="N23" i="68" s="1"/>
  <c r="D24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4" i="67"/>
  <c r="U14" i="67" s="1"/>
  <c r="N14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1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7" i="68"/>
  <c r="AA26" i="39"/>
  <c r="AC26" i="39" s="1"/>
  <c r="AP26" i="39" s="1"/>
  <c r="Q48" i="68"/>
  <c r="Q51" i="68" s="1"/>
  <c r="U51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2" i="68"/>
  <c r="U42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5" i="68"/>
  <c r="R24" i="68" s="1"/>
  <c r="AA11" i="75"/>
  <c r="AC11" i="75" s="1"/>
  <c r="AP11" i="75" s="1"/>
  <c r="O47" i="68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8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8" i="2"/>
  <c r="L40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56" i="65"/>
  <c r="AP139" i="65"/>
  <c r="AP162" i="65"/>
  <c r="AP83" i="65"/>
  <c r="AP90" i="65"/>
  <c r="AP66" i="65"/>
  <c r="AP110" i="65"/>
  <c r="AP67" i="65"/>
  <c r="AP60" i="65"/>
  <c r="AP80" i="65"/>
  <c r="AP45" i="65"/>
  <c r="AP44" i="65"/>
  <c r="AP114" i="65"/>
  <c r="AP93" i="65"/>
  <c r="AP109" i="65"/>
  <c r="AP28" i="65"/>
  <c r="V6" i="68"/>
  <c r="G6" i="2" s="1"/>
  <c r="AP54" i="65"/>
  <c r="U6" i="68"/>
  <c r="F6" i="2" s="1"/>
  <c r="AP137" i="65"/>
  <c r="AP177" i="65"/>
  <c r="AP77" i="65"/>
  <c r="AP55" i="65"/>
  <c r="AP76" i="32"/>
  <c r="AP57" i="20"/>
  <c r="V14" i="68"/>
  <c r="G15" i="2" s="1"/>
  <c r="AP44" i="32"/>
  <c r="AP78" i="32"/>
  <c r="AP136" i="15"/>
  <c r="AP16" i="51"/>
  <c r="AP10" i="18"/>
  <c r="AP24" i="20"/>
  <c r="V17" i="67"/>
  <c r="O17" i="2" s="1"/>
  <c r="V32" i="68"/>
  <c r="G33" i="2" s="1"/>
  <c r="AP49" i="20"/>
  <c r="AP23" i="29"/>
  <c r="AP23" i="15"/>
  <c r="AP23" i="46"/>
  <c r="AP16" i="45"/>
  <c r="V28" i="67"/>
  <c r="O28" i="2" s="1"/>
  <c r="V27" i="67"/>
  <c r="O27" i="2" s="1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7" i="68"/>
  <c r="U37" i="68" s="1"/>
  <c r="AP13" i="30"/>
  <c r="S44" i="68"/>
  <c r="S72" i="68" s="1"/>
  <c r="AP20" i="29"/>
  <c r="U39" i="68"/>
  <c r="F39" i="2" s="1"/>
  <c r="AP39" i="29"/>
  <c r="AP43" i="29"/>
  <c r="V39" i="68"/>
  <c r="G39" i="2" s="1"/>
  <c r="AP14" i="29"/>
  <c r="AP24" i="29"/>
  <c r="AP32" i="28"/>
  <c r="V36" i="68"/>
  <c r="G37" i="2" s="1"/>
  <c r="V27" i="68"/>
  <c r="Z16" i="70"/>
  <c r="AB16" i="70" s="1"/>
  <c r="AO16" i="70" s="1"/>
  <c r="AP16" i="22"/>
  <c r="AP10" i="22"/>
  <c r="V21" i="68"/>
  <c r="G22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8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1" i="67"/>
  <c r="N22" i="67" s="1"/>
  <c r="L22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O22" i="68"/>
  <c r="O23" i="68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O7" i="67"/>
  <c r="R7" i="67" s="1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1" i="67"/>
  <c r="O22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4" i="68"/>
  <c r="Q44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2" i="68"/>
  <c r="I23" i="68" s="1"/>
  <c r="I44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6" i="67"/>
  <c r="R38" i="67" s="1"/>
  <c r="V38" i="67" s="1"/>
  <c r="AA9" i="44"/>
  <c r="AC9" i="44" s="1"/>
  <c r="AP9" i="44" s="1"/>
  <c r="N7" i="67"/>
  <c r="Q7" i="67" s="1"/>
  <c r="U7" i="67" s="1"/>
  <c r="N8" i="2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L13" i="2"/>
  <c r="I61" i="67"/>
  <c r="Q13" i="67"/>
  <c r="U13" i="67" s="1"/>
  <c r="N13" i="2" s="1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5" i="67"/>
  <c r="Z13" i="45"/>
  <c r="AB13" i="45" s="1"/>
  <c r="AO13" i="45" s="1"/>
  <c r="O37" i="68"/>
  <c r="R37" i="68" s="1"/>
  <c r="Z22" i="44"/>
  <c r="AB22" i="44" s="1"/>
  <c r="AO22" i="44" s="1"/>
  <c r="Z31" i="39"/>
  <c r="AB31" i="39" s="1"/>
  <c r="AO31" i="39" s="1"/>
  <c r="O35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7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1" i="67"/>
  <c r="I22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0" i="67"/>
  <c r="AA68" i="22"/>
  <c r="AC68" i="22" s="1"/>
  <c r="AP68" i="22" s="1"/>
  <c r="Z68" i="22"/>
  <c r="AB68" i="22" s="1"/>
  <c r="AO68" i="22" s="1"/>
  <c r="V33" i="67"/>
  <c r="O32" i="2" s="1"/>
  <c r="V32" i="67"/>
  <c r="O31" i="2" s="1"/>
  <c r="AP21" i="57"/>
  <c r="T30" i="67"/>
  <c r="M30" i="2"/>
  <c r="T23" i="67"/>
  <c r="M23" i="2" s="1"/>
  <c r="T35" i="67"/>
  <c r="V20" i="67"/>
  <c r="O20" i="2" s="1"/>
  <c r="V13" i="67"/>
  <c r="O13" i="2" s="1"/>
  <c r="V12" i="67"/>
  <c r="O12" i="2" s="1"/>
  <c r="V11" i="67"/>
  <c r="O11" i="2" s="1"/>
  <c r="T7" i="67"/>
  <c r="M8" i="2" s="1"/>
  <c r="V9" i="67"/>
  <c r="O10" i="2" s="1"/>
  <c r="M6" i="2"/>
  <c r="M21" i="2" s="1"/>
  <c r="T21" i="67"/>
  <c r="T22" i="67" s="1"/>
  <c r="V6" i="67"/>
  <c r="O6" i="2" s="1"/>
  <c r="V42" i="68"/>
  <c r="G42" i="2" s="1"/>
  <c r="V40" i="68"/>
  <c r="G40" i="2" s="1"/>
  <c r="AP16" i="29"/>
  <c r="E38" i="2"/>
  <c r="T37" i="68"/>
  <c r="T44" i="68"/>
  <c r="E25" i="2"/>
  <c r="AP7" i="20"/>
  <c r="AP46" i="20"/>
  <c r="V20" i="68"/>
  <c r="G21" i="2" s="1"/>
  <c r="AP43" i="15"/>
  <c r="AP46" i="15"/>
  <c r="V13" i="68"/>
  <c r="G14" i="2" s="1"/>
  <c r="AP9" i="14"/>
  <c r="V12" i="68"/>
  <c r="G13" i="2" s="1"/>
  <c r="V11" i="68"/>
  <c r="G12" i="2" s="1"/>
  <c r="V10" i="68"/>
  <c r="G11" i="2" s="1"/>
  <c r="E9" i="2"/>
  <c r="E8" i="2"/>
  <c r="T22" i="68"/>
  <c r="T23" i="68" s="1"/>
  <c r="E6" i="2"/>
  <c r="O44" i="68"/>
  <c r="R44" i="68" s="1"/>
  <c r="R35" i="67"/>
  <c r="Q35" i="67"/>
  <c r="U35" i="67" s="1"/>
  <c r="N34" i="2" s="1"/>
  <c r="I37" i="68"/>
  <c r="Q55" i="67"/>
  <c r="R55" i="67"/>
  <c r="Q65" i="68"/>
  <c r="N60" i="67"/>
  <c r="Q60" i="67" s="1"/>
  <c r="N65" i="68"/>
  <c r="D52" i="2" s="1"/>
  <c r="AP5" i="24"/>
  <c r="A24" i="24"/>
  <c r="A24" i="42"/>
  <c r="AP5" i="42"/>
  <c r="AP5" i="64"/>
  <c r="A24" i="64"/>
  <c r="AP5" i="33"/>
  <c r="Q30" i="67"/>
  <c r="U30" i="67" s="1"/>
  <c r="U31" i="67"/>
  <c r="N30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71"/>
  <c r="A22" i="71"/>
  <c r="A22" i="55"/>
  <c r="AO5" i="55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P5" i="60"/>
  <c r="A22" i="73"/>
  <c r="AO5" i="73"/>
  <c r="AO5" i="38"/>
  <c r="A22" i="38"/>
  <c r="D51" i="2"/>
  <c r="R22" i="68"/>
  <c r="V8" i="68"/>
  <c r="G9" i="2" s="1"/>
  <c r="A22" i="29"/>
  <c r="A24" i="36"/>
  <c r="AP5" i="36"/>
  <c r="O71" i="68"/>
  <c r="R66" i="68"/>
  <c r="Q46" i="68"/>
  <c r="U46" i="68" s="1"/>
  <c r="F46" i="2" s="1"/>
  <c r="D46" i="2"/>
  <c r="D47" i="2" s="1"/>
  <c r="AP5" i="47"/>
  <c r="A24" i="47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R23" i="67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O5" i="60"/>
  <c r="AP5" i="16"/>
  <c r="AP5" i="73"/>
  <c r="A24" i="73"/>
  <c r="AP5" i="54"/>
  <c r="AP5" i="3"/>
  <c r="A22" i="75"/>
  <c r="AO5" i="75"/>
  <c r="Q23" i="67"/>
  <c r="U23" i="67" s="1"/>
  <c r="N23" i="2" s="1"/>
  <c r="U24" i="67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0" i="67"/>
  <c r="O41" i="67"/>
  <c r="AP5" i="51"/>
  <c r="A24" i="51"/>
  <c r="AO5" i="25"/>
  <c r="A22" i="25"/>
  <c r="AP5" i="19"/>
  <c r="R54" i="68"/>
  <c r="R65" i="68" s="1"/>
  <c r="O65" i="68"/>
  <c r="U8" i="68"/>
  <c r="F9" i="2" s="1"/>
  <c r="Q22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O5" i="12"/>
  <c r="AP5" i="14"/>
  <c r="AP5" i="26"/>
  <c r="AO5" i="56"/>
  <c r="A22" i="56"/>
  <c r="A24" i="58"/>
  <c r="AP5" i="58"/>
  <c r="AP5" i="39"/>
  <c r="AO5" i="30"/>
  <c r="A22" i="30"/>
  <c r="A24" i="6"/>
  <c r="AP5" i="6"/>
  <c r="AO5" i="51"/>
  <c r="A22" i="51"/>
  <c r="A22" i="57"/>
  <c r="AO5" i="57"/>
  <c r="AO6" i="66"/>
  <c r="AP5" i="25"/>
  <c r="A24" i="25"/>
  <c r="AP5" i="44"/>
  <c r="AO6" i="65"/>
  <c r="AO5" i="46"/>
  <c r="A24" i="71"/>
  <c r="AP5" i="71"/>
  <c r="AO5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P5" i="40"/>
  <c r="AO5" i="21"/>
  <c r="A22" i="21"/>
  <c r="N55" i="67"/>
  <c r="AP5" i="38"/>
  <c r="A24" i="38"/>
  <c r="A22" i="74"/>
  <c r="AO5" i="74"/>
  <c r="R47" i="68"/>
  <c r="V45" i="68"/>
  <c r="G45" i="2" s="1"/>
  <c r="A24" i="29"/>
  <c r="AO5" i="23"/>
  <c r="AP5" i="18"/>
  <c r="O55" i="67"/>
  <c r="AO5" i="53"/>
  <c r="AO5" i="45"/>
  <c r="A22" i="49"/>
  <c r="AO5" i="49"/>
  <c r="A22" i="41"/>
  <c r="AO5" i="41"/>
  <c r="AO5" i="59"/>
  <c r="A22" i="59"/>
  <c r="AO5" i="28"/>
  <c r="A22" i="36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O5" i="22"/>
  <c r="A22" i="58"/>
  <c r="AO5" i="58"/>
  <c r="A24" i="57"/>
  <c r="AP5" i="57"/>
  <c r="AP6" i="66"/>
  <c r="AO5" i="26"/>
  <c r="A24" i="56"/>
  <c r="AP5" i="56"/>
  <c r="AO5" i="24"/>
  <c r="A22" i="24"/>
  <c r="L36" i="2"/>
  <c r="L37" i="2" s="1"/>
  <c r="Q40" i="67"/>
  <c r="N41" i="67"/>
  <c r="AP5" i="30"/>
  <c r="A24" i="30"/>
  <c r="AO5" i="6"/>
  <c r="A22" i="6"/>
  <c r="AP5" i="13"/>
  <c r="AO5" i="42"/>
  <c r="A22" i="42"/>
  <c r="U36" i="67"/>
  <c r="Q38" i="67"/>
  <c r="U38" i="67" s="1"/>
  <c r="O60" i="67"/>
  <c r="R60" i="67" s="1"/>
  <c r="AP6" i="65"/>
  <c r="AP5" i="34"/>
  <c r="V8" i="67"/>
  <c r="O9" i="2" s="1"/>
  <c r="R21" i="67"/>
  <c r="A22" i="64"/>
  <c r="AO5" i="64"/>
  <c r="AO5" i="33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O5" i="40"/>
  <c r="AO5" i="61"/>
  <c r="A22" i="61"/>
  <c r="AP5" i="21"/>
  <c r="A24" i="21"/>
  <c r="AO5" i="3"/>
  <c r="A22" i="3"/>
  <c r="U8" i="67"/>
  <c r="N9" i="2" s="1"/>
  <c r="AO5" i="63"/>
  <c r="A22" i="63"/>
  <c r="A24" i="15"/>
  <c r="AP5" i="15"/>
  <c r="AP5" i="23"/>
  <c r="A24" i="23"/>
  <c r="V31" i="67"/>
  <c r="O30" i="2" s="1"/>
  <c r="R30" i="67"/>
  <c r="A22" i="18"/>
  <c r="AO5" i="18"/>
  <c r="AP5" i="53"/>
  <c r="AP5" i="45"/>
  <c r="A24" i="49"/>
  <c r="AP5" i="49"/>
  <c r="A24" i="41"/>
  <c r="AP5" i="41"/>
  <c r="A24" i="59"/>
  <c r="AP5" i="59"/>
  <c r="AP5" i="28"/>
  <c r="AP5" i="32"/>
  <c r="N71" i="68"/>
  <c r="Q66" i="68"/>
  <c r="U45" i="68"/>
  <c r="F45" i="2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A22" i="12" l="1"/>
  <c r="A24" i="16"/>
  <c r="A24" i="12"/>
  <c r="A24" i="3"/>
  <c r="A22" i="26"/>
  <c r="A22" i="16"/>
  <c r="A22" i="28"/>
  <c r="A24" i="18"/>
  <c r="A24" i="60"/>
  <c r="A24" i="20"/>
  <c r="A24" i="28"/>
  <c r="A22" i="23"/>
  <c r="A24" i="66"/>
  <c r="U25" i="68"/>
  <c r="C58" i="2"/>
  <c r="A22" i="20"/>
  <c r="Q21" i="67"/>
  <c r="U21" i="67" s="1"/>
  <c r="A22" i="53"/>
  <c r="AO5" i="79"/>
  <c r="A22" i="79"/>
  <c r="A24" i="26"/>
  <c r="AP5" i="79"/>
  <c r="A24" i="79"/>
  <c r="A24" i="53"/>
  <c r="A24" i="44"/>
  <c r="V25" i="68"/>
  <c r="O51" i="68"/>
  <c r="O72" i="68" s="1"/>
  <c r="A24" i="19"/>
  <c r="A22" i="66"/>
  <c r="V47" i="68"/>
  <c r="G47" i="2" s="1"/>
  <c r="A24" i="37"/>
  <c r="A24" i="45"/>
  <c r="A22" i="45"/>
  <c r="A22" i="46"/>
  <c r="A24" i="70"/>
  <c r="A22" i="60"/>
  <c r="V30" i="67"/>
  <c r="M45" i="2"/>
  <c r="A22" i="54"/>
  <c r="A24" i="54"/>
  <c r="A24" i="46"/>
  <c r="A22" i="40"/>
  <c r="A24" i="40"/>
  <c r="A24" i="39"/>
  <c r="A22" i="65"/>
  <c r="E16" i="68"/>
  <c r="E14" i="68"/>
  <c r="E13" i="68"/>
  <c r="E49" i="68"/>
  <c r="E9" i="68"/>
  <c r="E25" i="68"/>
  <c r="E10" i="68"/>
  <c r="E15" i="68"/>
  <c r="E11" i="68"/>
  <c r="E35" i="68"/>
  <c r="E48" i="68"/>
  <c r="E32" i="68"/>
  <c r="E26" i="68"/>
  <c r="E27" i="68"/>
  <c r="E29" i="68"/>
  <c r="E12" i="68"/>
  <c r="E6" i="68"/>
  <c r="E37" i="68"/>
  <c r="V23" i="67"/>
  <c r="A22" i="34"/>
  <c r="A24" i="34"/>
  <c r="AP5" i="74"/>
  <c r="V36" i="67"/>
  <c r="D23" i="2"/>
  <c r="D58" i="2" s="1"/>
  <c r="U48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4" i="68"/>
  <c r="F44" i="2" s="1"/>
  <c r="U24" i="68"/>
  <c r="F25" i="2" s="1"/>
  <c r="A22" i="33"/>
  <c r="A22" i="19"/>
  <c r="A22" i="39"/>
  <c r="A24" i="32"/>
  <c r="A22" i="32"/>
  <c r="A22" i="27"/>
  <c r="A24" i="27"/>
  <c r="V24" i="68"/>
  <c r="G25" i="2" s="1"/>
  <c r="A22" i="70"/>
  <c r="A22" i="22"/>
  <c r="A24" i="22"/>
  <c r="A24" i="13"/>
  <c r="A22" i="13"/>
  <c r="A22" i="5"/>
  <c r="L21" i="2"/>
  <c r="I62" i="67"/>
  <c r="I72" i="68"/>
  <c r="A22" i="44"/>
  <c r="A24" i="61"/>
  <c r="L8" i="2"/>
  <c r="AO5" i="34"/>
  <c r="V37" i="68"/>
  <c r="AP5" i="75"/>
  <c r="R61" i="67"/>
  <c r="Q61" i="67"/>
  <c r="V35" i="67"/>
  <c r="O34" i="2" s="1"/>
  <c r="V7" i="67"/>
  <c r="O8" i="2" s="1"/>
  <c r="T62" i="67"/>
  <c r="M22" i="2"/>
  <c r="V44" i="68"/>
  <c r="G44" i="2" s="1"/>
  <c r="V7" i="68"/>
  <c r="G8" i="2" s="1"/>
  <c r="E24" i="2"/>
  <c r="T72" i="68"/>
  <c r="Q47" i="68"/>
  <c r="U47" i="68" s="1"/>
  <c r="F47" i="2" s="1"/>
  <c r="AP5" i="35"/>
  <c r="A24" i="35"/>
  <c r="R71" i="68"/>
  <c r="U40" i="67"/>
  <c r="N36" i="2" s="1"/>
  <c r="N37" i="2" s="1"/>
  <c r="Q41" i="67"/>
  <c r="U41" i="67" s="1"/>
  <c r="O61" i="67"/>
  <c r="O62" i="67" s="1"/>
  <c r="D53" i="2"/>
  <c r="Q71" i="68"/>
  <c r="N72" i="68"/>
  <c r="A24" i="31"/>
  <c r="AP5" i="31"/>
  <c r="N61" i="67"/>
  <c r="N62" i="67" s="1"/>
  <c r="L41" i="2"/>
  <c r="L43" i="2" s="1"/>
  <c r="V48" i="68"/>
  <c r="G48" i="2" s="1"/>
  <c r="R51" i="68"/>
  <c r="V51" i="68" s="1"/>
  <c r="G51" i="2" s="1"/>
  <c r="AO5" i="35"/>
  <c r="A22" i="35"/>
  <c r="A22" i="31"/>
  <c r="AO5" i="31"/>
  <c r="V21" i="67"/>
  <c r="R22" i="67"/>
  <c r="Q23" i="68"/>
  <c r="U23" i="68" s="1"/>
  <c r="F24" i="2" s="1"/>
  <c r="U22" i="68"/>
  <c r="V40" i="67"/>
  <c r="O36" i="2" s="1"/>
  <c r="O37" i="2" s="1"/>
  <c r="R41" i="67"/>
  <c r="V41" i="67" s="1"/>
  <c r="V22" i="68"/>
  <c r="R23" i="68"/>
  <c r="V23" i="68" s="1"/>
  <c r="G24" i="2" s="1"/>
  <c r="D55" i="2" l="1"/>
  <c r="Q22" i="67"/>
  <c r="U22" i="67" s="1"/>
  <c r="N22" i="2" s="1"/>
  <c r="M43" i="2"/>
  <c r="E55" i="2"/>
  <c r="Q72" i="68"/>
  <c r="U72" i="68" s="1"/>
  <c r="F55" i="2" s="1"/>
  <c r="L45" i="2"/>
  <c r="V22" i="67"/>
  <c r="O22" i="2" s="1"/>
  <c r="R62" i="67"/>
  <c r="V71" i="68"/>
  <c r="R72" i="68"/>
  <c r="Q62" i="67" l="1"/>
  <c r="U62" i="67" s="1"/>
  <c r="N43" i="2" s="1"/>
  <c r="V62" i="67"/>
  <c r="O43" i="2" s="1"/>
  <c r="V72" i="68"/>
  <c r="G55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<sst xmlns="http://schemas.openxmlformats.org/spreadsheetml/2006/main" count="13141" uniqueCount="2204">
  <si>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</si>
  <si>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</si>
  <si>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</si>
  <si>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</si>
  <si>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</si>
  <si>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</si>
  <si>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</si>
  <si>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</si>
  <si>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</si>
  <si>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</si>
  <si>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</si>
  <si>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</si>
  <si>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</si>
  <si>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</si>
  <si>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</si>
  <si>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</si>
  <si>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</si>
  <si>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</si>
  <si>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</si>
  <si>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</si>
  <si>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</si>
  <si>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</si>
  <si>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</si>
  <si>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</si>
  <si>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</si>
  <si>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</si>
  <si>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</si>
  <si>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</si>
  <si>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</si>
  <si>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</si>
  <si>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</si>
  <si>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</si>
  <si>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</si>
  <si>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</si>
  <si>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</si>
  <si>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</si>
  <si>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</si>
  <si>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</si>
  <si>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</si>
  <si>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</si>
  <si>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</si>
  <si>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</si>
  <si>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</si>
  <si>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</si>
  <si>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</si>
  <si>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</si>
  <si>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</si>
  <si>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</si>
  <si>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</si>
  <si>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</si>
  <si>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</si>
  <si>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</si>
  <si>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</si>
  <si>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</si>
  <si>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</si>
  <si>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</si>
  <si>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</si>
  <si>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</si>
  <si>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</si>
  <si>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</si>
  <si>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</si>
  <si>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</si>
  <si>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</si>
  <si>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</si>
  <si>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</si>
  <si>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</si>
  <si>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</si>
  <si>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</si>
  <si>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</si>
  <si>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</si>
  <si>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</si>
  <si>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</si>
  <si>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</si>
  <si>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</si>
  <si>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</si>
  <si>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</si>
  <si>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</si>
  <si>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</si>
  <si>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</si>
  <si>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</si>
  <si>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</si>
  <si>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</si>
  <si>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</si>
  <si>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</si>
  <si>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</si>
  <si>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</si>
  <si>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</si>
  <si>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</si>
  <si>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</si>
  <si>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</si>
  <si>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</si>
  <si>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</si>
  <si>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</si>
  <si>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</si>
  <si>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</si>
  <si>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</si>
  <si>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</si>
  <si>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</si>
  <si>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</si>
  <si>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</si>
  <si>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</si>
  <si>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</si>
  <si>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</si>
  <si>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</si>
  <si>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</si>
  <si>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</si>
  <si>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</si>
  <si>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</si>
  <si>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</si>
  <si>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</si>
  <si>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</si>
  <si>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</si>
  <si>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</si>
  <si>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</si>
  <si>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</si>
  <si>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</si>
  <si>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</si>
  <si>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</si>
  <si>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</si>
  <si>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</si>
  <si>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</si>
  <si>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</si>
  <si>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</si>
  <si>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</si>
  <si>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</si>
  <si>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</si>
  <si>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</si>
  <si>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</si>
  <si>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</si>
  <si>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</si>
  <si>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</si>
  <si>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</si>
  <si>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</si>
  <si>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</si>
  <si>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</si>
  <si>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</si>
  <si>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</si>
  <si>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</si>
  <si>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</si>
  <si>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</si>
  <si>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</si>
  <si>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</si>
  <si>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</si>
  <si>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</si>
  <si>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</si>
  <si>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</si>
  <si>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</si>
  <si>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</si>
  <si>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</si>
  <si>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</si>
  <si>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</si>
  <si>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</si>
  <si>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</si>
  <si>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</si>
  <si>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</si>
  <si>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</si>
  <si>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</si>
  <si>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</si>
  <si>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</si>
  <si>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</si>
  <si>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</si>
  <si>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</si>
  <si>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</si>
  <si>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</si>
  <si>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</si>
  <si>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</si>
  <si>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</si>
  <si>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</si>
  <si>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</si>
  <si>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</si>
  <si>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</si>
  <si>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</si>
  <si>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</si>
  <si>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</si>
  <si>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</si>
  <si>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</si>
  <si>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</si>
  <si>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</si>
  <si>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</si>
  <si>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</si>
  <si>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</si>
  <si>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</si>
  <si>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</si>
  <si>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</si>
  <si>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</si>
  <si>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</si>
  <si>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</si>
  <si>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</si>
  <si>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</si>
  <si>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</si>
  <si>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</si>
  <si>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</si>
  <si>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</si>
  <si>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</si>
  <si>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</si>
  <si>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</si>
  <si>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</si>
  <si>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</si>
  <si>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</si>
  <si>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</si>
  <si>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</si>
  <si>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</si>
  <si>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</si>
  <si>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</si>
  <si>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</si>
  <si>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</si>
  <si>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</si>
  <si>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</si>
  <si>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</si>
  <si>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</si>
  <si>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</si>
  <si>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</si>
  <si>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</si>
  <si>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</si>
  <si>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</si>
  <si>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</si>
  <si>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</si>
  <si>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</si>
  <si>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</si>
  <si>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</si>
  <si>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</si>
  <si>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</si>
  <si>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</si>
  <si>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</si>
  <si>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</si>
  <si>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</si>
  <si>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</si>
  <si>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</si>
  <si>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</si>
  <si>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</si>
  <si>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</si>
  <si>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</si>
  <si>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</si>
  <si>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</si>
  <si>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</si>
  <si>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</si>
  <si>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</si>
  <si>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</si>
  <si>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</si>
  <si>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</si>
  <si>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</si>
  <si>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</si>
  <si>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</si>
  <si>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</si>
  <si>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</si>
  <si>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</si>
  <si>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</si>
  <si>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</si>
  <si>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</si>
  <si>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</si>
  <si>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</si>
  <si>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</si>
  <si>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</si>
  <si>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</si>
  <si>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</si>
  <si>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</si>
  <si>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</si>
  <si>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</si>
  <si>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</si>
  <si>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</si>
  <si>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</si>
  <si>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</si>
  <si>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</si>
  <si>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</si>
  <si>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</si>
  <si>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</si>
  <si>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</si>
  <si>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</si>
  <si>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</si>
  <si>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</si>
  <si>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</si>
  <si>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</si>
  <si>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</si>
  <si>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</si>
  <si>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</si>
  <si>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</si>
  <si>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</si>
  <si>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</si>
  <si>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</si>
  <si>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</si>
  <si>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</si>
  <si>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</si>
  <si>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</si>
  <si>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</si>
  <si>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</si>
  <si>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</si>
  <si>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</si>
  <si>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</si>
  <si>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</si>
  <si>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</si>
  <si>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</si>
  <si>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</si>
  <si>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</si>
  <si>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</si>
  <si>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</si>
  <si>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</si>
  <si>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</si>
  <si>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</si>
  <si>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</si>
  <si>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</si>
  <si>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</si>
  <si>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</si>
  <si>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</si>
  <si>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</si>
  <si>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</si>
  <si>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</si>
  <si>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</si>
  <si>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</si>
  <si>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</si>
  <si>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</si>
  <si>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</si>
  <si>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</si>
  <si>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</si>
  <si>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</si>
  <si>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</si>
  <si>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</si>
  <si>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</si>
  <si>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</si>
  <si>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</si>
  <si>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</si>
  <si>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</si>
  <si>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</si>
  <si>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</si>
  <si>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</si>
  <si>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</si>
  <si>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</si>
  <si>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</si>
  <si>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</si>
  <si>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</si>
  <si>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</si>
  <si>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</si>
  <si>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</si>
  <si>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</si>
  <si>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</si>
  <si>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</si>
  <si>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</si>
  <si>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</si>
  <si>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</si>
  <si>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</si>
  <si>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</si>
  <si>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</si>
  <si>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</si>
  <si>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</si>
  <si>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</si>
  <si>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</si>
  <si>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</si>
  <si>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</si>
  <si>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</si>
  <si>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</si>
  <si>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</si>
  <si>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</si>
  <si>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</si>
  <si>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</si>
  <si>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</si>
  <si>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</si>
  <si>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</si>
  <si>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</si>
  <si>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</si>
  <si>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</si>
  <si>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</si>
  <si>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</si>
  <si>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</si>
  <si>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</si>
  <si>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</si>
  <si>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</si>
  <si>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</si>
  <si>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</si>
  <si>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</si>
  <si>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</si>
  <si>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</si>
  <si>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</si>
  <si>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</si>
  <si>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</si>
  <si>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</si>
  <si>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</si>
  <si>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</si>
  <si>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</si>
  <si>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</si>
  <si>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</si>
  <si>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</si>
  <si>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</si>
  <si>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</si>
  <si>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</si>
  <si>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</si>
  <si>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</si>
  <si>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</si>
  <si>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</si>
  <si>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</si>
  <si>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</si>
  <si>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</si>
  <si>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</si>
  <si>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</si>
  <si>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</si>
  <si>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</si>
  <si>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</si>
  <si>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</si>
  <si>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</si>
  <si>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</si>
  <si>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</si>
  <si>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</si>
  <si>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</si>
  <si>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</si>
  <si>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</si>
  <si>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</si>
  <si>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</si>
  <si>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</si>
  <si>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</si>
  <si>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</si>
  <si>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</si>
  <si>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</si>
  <si>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</si>
  <si>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</si>
  <si>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</si>
  <si>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</si>
  <si>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</si>
  <si>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</si>
  <si>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</si>
  <si>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</si>
  <si>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</si>
  <si>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</si>
  <si>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</si>
  <si>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</si>
  <si>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</si>
  <si>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</si>
  <si>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</si>
  <si>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</si>
  <si>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</si>
  <si>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</si>
  <si>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</si>
  <si>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</si>
  <si>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</si>
  <si>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</si>
  <si>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</si>
  <si>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</si>
  <si>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</si>
  <si>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</si>
  <si>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</si>
  <si>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</si>
  <si>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</si>
  <si>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</si>
  <si>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</si>
  <si>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</si>
  <si>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</si>
  <si>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</si>
  <si>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</si>
  <si>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</si>
  <si>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</si>
  <si>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</si>
  <si>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</si>
  <si>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</si>
  <si>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</si>
  <si>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</si>
  <si>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</si>
  <si>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</si>
  <si>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</si>
  <si>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</si>
  <si>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</si>
  <si>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</si>
  <si>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</si>
  <si>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</si>
  <si>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</si>
  <si>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</si>
  <si>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</si>
  <si>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</si>
  <si>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</si>
  <si>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</si>
  <si>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</si>
  <si>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</si>
  <si>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</si>
  <si>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</si>
  <si>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</si>
  <si>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</si>
  <si>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</si>
  <si>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</si>
  <si>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</si>
  <si>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</si>
  <si>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</si>
  <si>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</si>
  <si>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</si>
  <si>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</si>
  <si>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</si>
  <si>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</si>
  <si>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</si>
  <si>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</si>
  <si>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</si>
  <si>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</si>
  <si>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</si>
  <si>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</si>
  <si>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</si>
  <si>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</si>
  <si>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</si>
  <si>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</si>
  <si>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</si>
  <si>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</si>
  <si>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</si>
  <si>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</si>
  <si>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</si>
  <si>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</si>
  <si>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</si>
  <si>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</si>
  <si>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</si>
  <si>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</si>
  <si>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</si>
  <si>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</si>
  <si>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</si>
  <si>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</si>
  <si>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</si>
  <si>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</si>
  <si>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</si>
  <si>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</si>
  <si>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</si>
  <si>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</si>
  <si>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</si>
  <si>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</si>
  <si>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</si>
  <si>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</si>
  <si>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</si>
  <si>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</si>
  <si>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</si>
  <si>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</si>
  <si>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</si>
  <si>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</si>
  <si>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</si>
  <si>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</si>
  <si>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</si>
  <si>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</si>
  <si>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</si>
  <si>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</si>
  <si>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</si>
  <si>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</si>
  <si>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</si>
  <si>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</si>
  <si>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</si>
  <si>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</si>
  <si>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</si>
  <si>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</si>
  <si>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</si>
  <si>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</si>
  <si>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</si>
  <si>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</si>
  <si>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</si>
  <si>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</si>
  <si>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</si>
  <si>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</si>
  <si>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</si>
  <si>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</si>
  <si>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</si>
  <si>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 xml:space="preserve">Includes Energy and Capacity and does NOT apply the conservation Credit to energy or capacity </t>
  </si>
  <si>
    <t>E271</t>
  </si>
  <si>
    <t>Telecommunications Efficiency {E}</t>
  </si>
  <si>
    <t>Commercial Foodservice {E}</t>
  </si>
  <si>
    <t>Targeted Demand Response Admin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</si>
  <si>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</si>
  <si>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</si>
  <si>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</si>
  <si>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</si>
  <si>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</si>
  <si>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</si>
  <si>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</si>
  <si>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</si>
  <si>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</si>
  <si>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</si>
  <si>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10001-8</t>
  </si>
  <si>
    <t>RETL: Fixture - LED - Indoor</t>
  </si>
  <si>
    <t>10002-7</t>
  </si>
  <si>
    <t>RETL: Fixture - LED - Outdoor</t>
  </si>
  <si>
    <t>10608-5</t>
  </si>
  <si>
    <t>RETL: Fixture - LED - T8 Retrofit</t>
  </si>
  <si>
    <t>10609-5</t>
  </si>
  <si>
    <t>RETL: Fixture - LED - T8</t>
  </si>
  <si>
    <t>10609-6</t>
  </si>
  <si>
    <t>12007-4</t>
  </si>
  <si>
    <t>RETL: String Lighting - LED - Outdoor</t>
  </si>
  <si>
    <t>12321-3</t>
  </si>
  <si>
    <t>Heat Pump - Ductless - from Zonal - 9.0 or greater HSPF - HZ1CZ1 - MH</t>
  </si>
  <si>
    <t>12321-4</t>
  </si>
  <si>
    <t>12322-1</t>
  </si>
  <si>
    <t>Heat Pump - Ductless - from Zonal - 9.0 or greater HSPF - HZ1CZ1 - SF or DX</t>
  </si>
  <si>
    <t>12322-2</t>
  </si>
  <si>
    <t>12322-3</t>
  </si>
  <si>
    <t>12324-3</t>
  </si>
  <si>
    <t>Heat Pump - Ductless - with E FAF - HZ1 - MH</t>
  </si>
  <si>
    <t>12325-2</t>
  </si>
  <si>
    <t>Heat Pump - Ductless - with E FAF - HZ1 - SF or DX</t>
  </si>
  <si>
    <t>12326-2</t>
  </si>
  <si>
    <t>Heat Pump - from E FAF - SF or DX</t>
  </si>
  <si>
    <t>12326-3</t>
  </si>
  <si>
    <t>12547-4</t>
  </si>
  <si>
    <t>Heat Pump - from E FAF - MH</t>
  </si>
  <si>
    <t>12547-5</t>
  </si>
  <si>
    <t>12764-2</t>
  </si>
  <si>
    <t>Heat Pump - Ductless - from Zonal - 9.0 or greater HSPF - HZ1CZ1 - SF or DX - MI</t>
  </si>
  <si>
    <t>12764-3</t>
  </si>
  <si>
    <t>12766-2</t>
  </si>
  <si>
    <t>Heat Pump - from E FAF - SF or DX - MI</t>
  </si>
  <si>
    <t>12766-3</t>
  </si>
  <si>
    <t>12767-2</t>
  </si>
  <si>
    <t>Heat Pump - with AC - from E FAF - MH</t>
  </si>
  <si>
    <t>12767-3</t>
  </si>
  <si>
    <t>12768-2</t>
  </si>
  <si>
    <t>Heat Pump - with AC - from E FAF - SF or DX</t>
  </si>
  <si>
    <t>12768-3</t>
  </si>
  <si>
    <t>12769-3</t>
  </si>
  <si>
    <t>Heat Pump - with AC - from E FAF - SF or DX - MI</t>
  </si>
  <si>
    <t>13225-1</t>
  </si>
  <si>
    <t>Heat Pump - Ductless - from E FAF - HZ1 - MH</t>
  </si>
  <si>
    <t>13226-1</t>
  </si>
  <si>
    <t>Heat Pump - Ductless - from E FAF - HZ1 - SF or DX</t>
  </si>
  <si>
    <t>13227-1</t>
  </si>
  <si>
    <t>Heat Pump - Ductless - from E FAF - HZ1 - SF or DX - MI</t>
  </si>
  <si>
    <t>12682-1</t>
  </si>
  <si>
    <t>Water Heater - Heat Pump - NEEA Specs - Tier 3 - EH - Res</t>
  </si>
  <si>
    <t>12682-2</t>
  </si>
  <si>
    <t>12683-2</t>
  </si>
  <si>
    <t>Water Heater - Heat Pump - NEEA Specs - Tier 3 - EH - Res - MI</t>
  </si>
  <si>
    <t>12684-2</t>
  </si>
  <si>
    <t>Water Heater - Storage - Energy Star - 0.67 EF - GH - Res</t>
  </si>
  <si>
    <t>12686-2</t>
  </si>
  <si>
    <t>Water Heater - Tankless - Energy Star - 0.9 EF - GH - Res</t>
  </si>
  <si>
    <t>12687-3</t>
  </si>
  <si>
    <t>Water Heater - Tankless - Energy Star - 0.9 EF - GH - Res - MI</t>
  </si>
  <si>
    <t>12874-2</t>
  </si>
  <si>
    <t>Incentive - Add On - Water Heater - Heat Pump - EH - MH</t>
  </si>
  <si>
    <t>12965-1</t>
  </si>
  <si>
    <t>Water Heater - Heat Pump - NEEA Specs - Tier 3 - RP - Any - Res - E or B</t>
  </si>
  <si>
    <t>12965-2</t>
  </si>
  <si>
    <t>13287-1</t>
  </si>
  <si>
    <t>Water Heater - Storage - Energy Star - 0.67 EF - GH - SF or DX</t>
  </si>
  <si>
    <t>13289-1</t>
  </si>
  <si>
    <t>Water Heater - Tankless - Energy Star - 0.9 EF - GH - MH</t>
  </si>
  <si>
    <t>13290-1</t>
  </si>
  <si>
    <t>Water Heater - Tankless - Energy Star - 0.9 EF - GH - SF or DX</t>
  </si>
  <si>
    <t>13635-1</t>
  </si>
  <si>
    <t>Incentive - Add On - Water Heater - Heat Pump - NEEA Specs - Tier 3 - RP - Any - Res - E or B</t>
  </si>
  <si>
    <t>12316-2</t>
  </si>
  <si>
    <t>Refrigerator - Decommissioned -  1992 or Older - Res</t>
  </si>
  <si>
    <t>12317-2</t>
  </si>
  <si>
    <t>Freezer - Decommissioned - 1992 or Older - Res</t>
  </si>
  <si>
    <t>12529-2</t>
  </si>
  <si>
    <t>Clothes Washer - Energy Star - Any WH - Any Dryer - Res - EO</t>
  </si>
  <si>
    <t>12595-1</t>
  </si>
  <si>
    <t>Clothes Dryer - HP - Vented - EH - Res</t>
  </si>
  <si>
    <t>12596-1</t>
  </si>
  <si>
    <t>Clothes Dryer - HP - Ventless - EH - Res</t>
  </si>
  <si>
    <t>12601-1</t>
  </si>
  <si>
    <t>Clothes Dryer - Vented - Energy Star - EH - Res</t>
  </si>
  <si>
    <t>12601-2</t>
  </si>
  <si>
    <t>12602-2</t>
  </si>
  <si>
    <t>Clothes Dryer - Ventless - Energy Star - EH - Res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</si>
  <si>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</si>
  <si>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</si>
  <si>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</si>
  <si>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</si>
  <si>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12993-1</t>
  </si>
  <si>
    <t>Clothes Washer - Front Load - Energy Star - Any WH - Any Dryer - Res - C</t>
  </si>
  <si>
    <t>12993-2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</si>
  <si>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</si>
  <si>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</si>
  <si>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</si>
  <si>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</si>
  <si>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12995-2</t>
  </si>
  <si>
    <t>12996-1</t>
  </si>
  <si>
    <t>Clothes Washer - Front Load - Energy Star - Any WH - Any Dryer - Res - EO - LTO</t>
  </si>
  <si>
    <t>13213-1</t>
  </si>
  <si>
    <t>Clothes Washer - Front Load - Energy Star - Any WH - Any Dryer - Res - MI - C</t>
  </si>
  <si>
    <t>13214-1</t>
  </si>
  <si>
    <t>Clothes Washer - Front Load - Energy Star - Any WH - Any Dryer - Res - MI - EO</t>
  </si>
  <si>
    <t>12305-3</t>
  </si>
  <si>
    <t>WET: Thermostat - Web Enabled - Retail - NQC</t>
  </si>
  <si>
    <t>12736-2</t>
  </si>
  <si>
    <t>Thermostat - Smart - EH - Res</t>
  </si>
  <si>
    <t>12736-3</t>
  </si>
  <si>
    <t>12737-3</t>
  </si>
  <si>
    <t>Thermostat - Smart - EH - Res - MI</t>
  </si>
  <si>
    <t>12738-2</t>
  </si>
  <si>
    <t>Thermostat - Smart - GH - Res</t>
  </si>
  <si>
    <t>12738-3</t>
  </si>
  <si>
    <t>12739-3</t>
  </si>
  <si>
    <t>Thermostat - Smart - GH - Res - MI</t>
  </si>
  <si>
    <t>12972-1</t>
  </si>
  <si>
    <t>Thermostat - ELV - Smart - SF or MH or DX</t>
  </si>
  <si>
    <t>12972-2</t>
  </si>
  <si>
    <t>12973-2</t>
  </si>
  <si>
    <t>Thermostat - ELV - Smart - SF or MH or DX - LTO</t>
  </si>
  <si>
    <t>13262-1</t>
  </si>
  <si>
    <t>Thermostat - ELV - Smart - SF or MH or DX - NQC</t>
  </si>
  <si>
    <t>13269-1</t>
  </si>
  <si>
    <t>Thermostat - Smart - EH - Res - LTO - ecobee - b</t>
  </si>
  <si>
    <t>13270-1</t>
  </si>
  <si>
    <t>Thermostat - Smart - EH - Res - LTO - Emerson - a</t>
  </si>
  <si>
    <t>13271-1</t>
  </si>
  <si>
    <t>Thermostat - Smart - EH - Res - LTO - Emerson - b</t>
  </si>
  <si>
    <t>13272-1</t>
  </si>
  <si>
    <t>Thermostat - Smart - EH - Res - LTO - Nest - a</t>
  </si>
  <si>
    <t>13273-1</t>
  </si>
  <si>
    <t>Thermostat - Smart - EH - Res - LTO - Nest - b</t>
  </si>
  <si>
    <t>13276-1</t>
  </si>
  <si>
    <t>Thermostat - Smart - GH - Res - LTO - ecobee - a</t>
  </si>
  <si>
    <t>13277-1</t>
  </si>
  <si>
    <t>Thermostat - Smart - GH - Res - LTO - ecobee - b</t>
  </si>
  <si>
    <t>13278-1</t>
  </si>
  <si>
    <t>Thermostat - Smart - GH - Res - LTO - Emerson - a</t>
  </si>
  <si>
    <t>13279-1</t>
  </si>
  <si>
    <t>Thermostat - Smart - GH - Res - LTO - Emerson - b</t>
  </si>
  <si>
    <t>13280-1</t>
  </si>
  <si>
    <t>Thermostat - Smart - GH - Res - LTO - Nest - a</t>
  </si>
  <si>
    <t>13281-1</t>
  </si>
  <si>
    <t>Thermostat - Smart - GH - Res - LTO - Nest - b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</si>
  <si>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</si>
  <si>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</si>
  <si>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</si>
  <si>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</si>
  <si>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</si>
  <si>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</si>
  <si>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10705-6</t>
  </si>
  <si>
    <t>SFWIN: Windows - Single Pane - to U30 - FAF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</si>
  <si>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</si>
  <si>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</si>
  <si>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</si>
  <si>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</si>
  <si>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</si>
  <si>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</si>
  <si>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10709-4</t>
  </si>
  <si>
    <t>SFWIN: Windows - Single Pane - to U30 - NG</t>
  </si>
  <si>
    <t>10709-5</t>
  </si>
  <si>
    <t>10709-6</t>
  </si>
  <si>
    <t>10719-5</t>
  </si>
  <si>
    <t>SFWIN: Windows - Single Pane - to U30 - Resistance - MH</t>
  </si>
  <si>
    <t>10721-5</t>
  </si>
  <si>
    <t>SFWIN: Windows - Single Pane - to U30 - NG - MH</t>
  </si>
  <si>
    <t>10912-6</t>
  </si>
  <si>
    <t>SFWX: Insulation - Attic - R0 to R49 - FAF</t>
  </si>
  <si>
    <t>10912-7</t>
  </si>
  <si>
    <t>10913-6</t>
  </si>
  <si>
    <t>SFWX: Insulation - Attic - R0 to R49 - NG</t>
  </si>
  <si>
    <t>10913-7</t>
  </si>
  <si>
    <t>10914-6</t>
  </si>
  <si>
    <t>SFWX: Insulation - Attic - R0 to R49 - HP</t>
  </si>
  <si>
    <t>10914-7</t>
  </si>
  <si>
    <t>10915-6</t>
  </si>
  <si>
    <t>SFWX: Insulation - Attic - R0 to R49 - Zonal</t>
  </si>
  <si>
    <t>10915-7</t>
  </si>
  <si>
    <t>10916-6</t>
  </si>
  <si>
    <t>SFWX: Insulation - Attic - R11 to R49 - FAF</t>
  </si>
  <si>
    <t>10916-7</t>
  </si>
  <si>
    <t>10917-5</t>
  </si>
  <si>
    <t>SFWX: Insulation - Attic - R11 to R49 - NG</t>
  </si>
  <si>
    <t>10917-6</t>
  </si>
  <si>
    <t>10918-6</t>
  </si>
  <si>
    <t>SFWX: Insulation - Attic - R11 to R49 - HP</t>
  </si>
  <si>
    <t>10918-7</t>
  </si>
  <si>
    <t>10919-5</t>
  </si>
  <si>
    <t>SFWX: Insulation - Attic - R11 to R49 - Zonal</t>
  </si>
  <si>
    <t>10919-6</t>
  </si>
  <si>
    <t>10920-4</t>
  </si>
  <si>
    <t>SFWX: Carbon Monoxide Detector</t>
  </si>
  <si>
    <t>10920-5</t>
  </si>
  <si>
    <t>10923-5</t>
  </si>
  <si>
    <t>SFWX: Insulation - Floor - R0 to R22 - HP - MH</t>
  </si>
  <si>
    <t>10923-6</t>
  </si>
  <si>
    <t>10924-5</t>
  </si>
  <si>
    <t>SFWX: Insulation - Floor - R0 to R22 - Zonal - MH</t>
  </si>
  <si>
    <t>10924-6</t>
  </si>
  <si>
    <t>10925-6</t>
  </si>
  <si>
    <t>SFWX: Insulation - Floor - R0 to R22 - NG - MH</t>
  </si>
  <si>
    <t>10925-7</t>
  </si>
  <si>
    <t>10926-7</t>
  </si>
  <si>
    <t>SFWX: Insulation - Floor - R0 to R30 - FAF</t>
  </si>
  <si>
    <t>10926-8</t>
  </si>
  <si>
    <t>10927-7</t>
  </si>
  <si>
    <t>SFWX: Insulation - Floor - R0 to R30 - NG</t>
  </si>
  <si>
    <t>10927-8</t>
  </si>
  <si>
    <t>10928-7</t>
  </si>
  <si>
    <t>SFWX: Insulation - Floor - R0 to R30 - HP</t>
  </si>
  <si>
    <t>10928-8</t>
  </si>
  <si>
    <t>10929-7</t>
  </si>
  <si>
    <t>SFWX: Insulation - Floor - R0 to R30 - Zonal</t>
  </si>
  <si>
    <t>10929-8</t>
  </si>
  <si>
    <t>10940-4</t>
  </si>
  <si>
    <t>SFWX: Sealing - Duct and Insulation - E</t>
  </si>
  <si>
    <t>10940-5</t>
  </si>
  <si>
    <t>10941-4</t>
  </si>
  <si>
    <t>SFWX: Sealing - Duct and Insulation - NG</t>
  </si>
  <si>
    <t>10941-5</t>
  </si>
  <si>
    <t>10942-4</t>
  </si>
  <si>
    <t>SFWX: Sealing - Duct - FAF</t>
  </si>
  <si>
    <t>10942-5</t>
  </si>
  <si>
    <t>10943-3</t>
  </si>
  <si>
    <t>SFWX: Sealing - Duct - NG</t>
  </si>
  <si>
    <t>10943-4</t>
  </si>
  <si>
    <t>10944-4</t>
  </si>
  <si>
    <t>SFWX: Sealing - Duct - HP</t>
  </si>
  <si>
    <t>10944-5</t>
  </si>
  <si>
    <t>10945-8</t>
  </si>
  <si>
    <t>SFWX: Insulation - Wall - R0 to R13 - FAF</t>
  </si>
  <si>
    <t>10945-9</t>
  </si>
  <si>
    <t>10946-5</t>
  </si>
  <si>
    <t>SFWX: Insulation - Wall - R0 to R13 - NG</t>
  </si>
  <si>
    <t>10946-6</t>
  </si>
  <si>
    <t>10947-8</t>
  </si>
  <si>
    <t>SFWX: Insulation - Wall - R0 to R13 - HP</t>
  </si>
  <si>
    <t>10948-8</t>
  </si>
  <si>
    <t>SFWX: Insulation - Wall - R0 to R13 - Zonal</t>
  </si>
  <si>
    <t>10948-9</t>
  </si>
  <si>
    <t>12549-3</t>
  </si>
  <si>
    <t>Insulation - Attic - R0 to R22 - ER - MH - Pre HUD</t>
  </si>
  <si>
    <t>12550-3</t>
  </si>
  <si>
    <t>Insulation - Attic - R0 to R22 - HP - MH - Pre HUD</t>
  </si>
  <si>
    <t>12555-2</t>
  </si>
  <si>
    <t>Windows - Double Pane - Metal Frame - to U30 - ER - MH</t>
  </si>
  <si>
    <t>12556-2</t>
  </si>
  <si>
    <t>Windows - Double Pane - Metal Frame - to U30 - HP - MH</t>
  </si>
  <si>
    <t>12557-3</t>
  </si>
  <si>
    <t>Windows - Double Pane - Metal Frame - to U30 - NG - MH</t>
  </si>
  <si>
    <t>12562-2</t>
  </si>
  <si>
    <t>Incentive - Add On - 3 Bundle - Wx - EH - Res</t>
  </si>
  <si>
    <t>12562-3</t>
  </si>
  <si>
    <t>12563-1</t>
  </si>
  <si>
    <t>Incentive - Add On - 3 Bundle - Wx - GH - Res</t>
  </si>
  <si>
    <t>12563-2</t>
  </si>
  <si>
    <t>12563-3</t>
  </si>
  <si>
    <t>12564-1</t>
  </si>
  <si>
    <t>Incentive - Add On - 4 Bundle - Wx - EH - Res</t>
  </si>
  <si>
    <t>12564-2</t>
  </si>
  <si>
    <t>12564-3</t>
  </si>
  <si>
    <t>12565-1</t>
  </si>
  <si>
    <t>Incentive - Add On - 4 Bundle - Wx - GH - Res</t>
  </si>
  <si>
    <t>12565-2</t>
  </si>
  <si>
    <t>12565-3</t>
  </si>
  <si>
    <t>12603-2</t>
  </si>
  <si>
    <t>Fan - Ventilation - Energy Star - Res</t>
  </si>
  <si>
    <t>12631-1</t>
  </si>
  <si>
    <t>Insulation - Attic - R0 to R49 - GH - SF or DX - MI</t>
  </si>
  <si>
    <t>12631-2</t>
  </si>
  <si>
    <t>12631-3</t>
  </si>
  <si>
    <t>12634-2</t>
  </si>
  <si>
    <t>Insulation - Attic - R11 to R49 - E FAF - SF or DX - MI</t>
  </si>
  <si>
    <t>12634-3</t>
  </si>
  <si>
    <t>12635-2</t>
  </si>
  <si>
    <t>Insulation - Attic - R11 to R49 - GH - SF or DX - MI</t>
  </si>
  <si>
    <t>12635-3</t>
  </si>
  <si>
    <t>12637-3</t>
  </si>
  <si>
    <t>Insulation - Attic - R11 to R49 - Zonal - SF or DX - MI</t>
  </si>
  <si>
    <t>12638-3</t>
  </si>
  <si>
    <t>Insulation - Floor - R0 to R30 - E FAF - SF or DX - MI</t>
  </si>
  <si>
    <t>12639-2</t>
  </si>
  <si>
    <t>Insulation - Floor - R0 to R30 - GH - SF or DX - MI</t>
  </si>
  <si>
    <t>12639-3</t>
  </si>
  <si>
    <t>12640-3</t>
  </si>
  <si>
    <t>Insulation - Floor - R0 to R30 - HP - SF or DX - MI</t>
  </si>
  <si>
    <t>12641-2</t>
  </si>
  <si>
    <t>Insulation - Floor - R0 to R30 - Zonal - SF or DX - MI</t>
  </si>
  <si>
    <t>12641-3</t>
  </si>
  <si>
    <t>12643-2</t>
  </si>
  <si>
    <t>Insulation - Wall - R0 to R13 - E FAF - SF or DX - MI</t>
  </si>
  <si>
    <t>12644-3</t>
  </si>
  <si>
    <t>Insulation - Wall - R0 to R13 - GH - SF or DX - MI</t>
  </si>
  <si>
    <t>12653-2</t>
  </si>
  <si>
    <t>Windows - Single Pane - to U30 - GH - SF or DX - MI</t>
  </si>
  <si>
    <t>12654-2</t>
  </si>
  <si>
    <t>Windows - Single Pane - to U30 - HP - MH</t>
  </si>
  <si>
    <t>12656-2</t>
  </si>
  <si>
    <t>Windows - Single Pane - to U30 - Zonal - SF or DX - MI</t>
  </si>
  <si>
    <t>12699-3</t>
  </si>
  <si>
    <t>Duct Sealing and Insulation - EH - SF or DX - MI</t>
  </si>
  <si>
    <t>12700-2</t>
  </si>
  <si>
    <t>Duct Sealing and Insulation - GH - SF or DX - MI</t>
  </si>
  <si>
    <t>12700-3</t>
  </si>
  <si>
    <t>12701-1</t>
  </si>
  <si>
    <t>Sealing - Air - Attic - EH - SF or DX</t>
  </si>
  <si>
    <t>12701-2</t>
  </si>
  <si>
    <t>12702-1</t>
  </si>
  <si>
    <t>Sealing - Air - Attic - EH - SF or DX - MI</t>
  </si>
  <si>
    <t>12702-2</t>
  </si>
  <si>
    <t>12703-1</t>
  </si>
  <si>
    <t>Sealing - Air - Attic - GH - SF or DX</t>
  </si>
  <si>
    <t>12703-2</t>
  </si>
  <si>
    <t>12704-1</t>
  </si>
  <si>
    <t>Sealing - Air - Attic - GH - SF or DX - MI</t>
  </si>
  <si>
    <t>12704-2</t>
  </si>
  <si>
    <t>12705-1</t>
  </si>
  <si>
    <t>Sealing - Air - Floor - EH - SF or DX</t>
  </si>
  <si>
    <t>12705-2</t>
  </si>
  <si>
    <t>12706-1</t>
  </si>
  <si>
    <t>Sealing - Air - Floor - EH - SF or DX - MI</t>
  </si>
  <si>
    <t>12706-2</t>
  </si>
  <si>
    <t>12707-1</t>
  </si>
  <si>
    <t>Sealing - Air - Floor - GH - SF or DX</t>
  </si>
  <si>
    <t>12707-2</t>
  </si>
  <si>
    <t>12708-1</t>
  </si>
  <si>
    <t>Sealing - Air - Floor - GH - SF or DX - MI</t>
  </si>
  <si>
    <t>12708-2</t>
  </si>
  <si>
    <t>12711-2</t>
  </si>
  <si>
    <t>Sealing - Air - Whole House - HP - SF or DX</t>
  </si>
  <si>
    <t>12714-1</t>
  </si>
  <si>
    <t>Sealing - Duct - EH - MH</t>
  </si>
  <si>
    <t>12714-2</t>
  </si>
  <si>
    <t>12715-1</t>
  </si>
  <si>
    <t>Sealing - Duct - GH - MH</t>
  </si>
  <si>
    <t>12715-2</t>
  </si>
  <si>
    <t>13236-1</t>
  </si>
  <si>
    <t>Windows - Double Pane - Metal Frame - to U22 - E FAF - SF or DX</t>
  </si>
  <si>
    <t>13238-1</t>
  </si>
  <si>
    <t>Windows - Double Pane - Metal Frame - to U22 - GH - SF or DX</t>
  </si>
  <si>
    <t>13240-1</t>
  </si>
  <si>
    <t>Windows - Double Pane - Metal Frame - to U22 - HP - SF or DX</t>
  </si>
  <si>
    <t>13242-1</t>
  </si>
  <si>
    <t>Windows - Double Pane - Metal Frame - to U22 - Zonal - SF or DX</t>
  </si>
  <si>
    <t>13246-1</t>
  </si>
  <si>
    <t>Windows - Single Pane - to U22 - E FAF - SF or DX</t>
  </si>
  <si>
    <t>13248-1</t>
  </si>
  <si>
    <t>Windows - Single Pane - to U22 - GH - SF or DX</t>
  </si>
  <si>
    <t>13250-1</t>
  </si>
  <si>
    <t>Windows - Single Pane - to U22 - HP - SF or DX</t>
  </si>
  <si>
    <t>13252-1</t>
  </si>
  <si>
    <t>Windows - Single Pane - to U22 - Zonal - SF or DX</t>
  </si>
  <si>
    <t>13253-1</t>
  </si>
  <si>
    <t>Windows - Single Pane - to U22 - Zonal - SF or DX - MI</t>
  </si>
  <si>
    <t>13538-1</t>
  </si>
  <si>
    <t>Duct Sealing and Insulation - EH - SF or DX - LTO</t>
  </si>
  <si>
    <t>13539-1</t>
  </si>
  <si>
    <t>Duct Sealing and Insulation - GH - SF or DX - LTO</t>
  </si>
  <si>
    <t>13541-1</t>
  </si>
  <si>
    <t>Sealing - Duct - GH - SF or DX - LTO</t>
  </si>
  <si>
    <t>13543-1</t>
  </si>
  <si>
    <t>Duct Sealing and Insulation - EH - SF or DX - MI - LTO</t>
  </si>
  <si>
    <t>13544-1</t>
  </si>
  <si>
    <t>Duct Sealing and Insulation - GH - SF or DX - MI - LTO</t>
  </si>
  <si>
    <t>13545-1</t>
  </si>
  <si>
    <t>Sealing - Air - Attic - EH - SF or DX - LTO</t>
  </si>
  <si>
    <t>13546-1</t>
  </si>
  <si>
    <t>Sealing - Air - Attic - EH - SF or DX - MI - LTO</t>
  </si>
  <si>
    <t>13547-1</t>
  </si>
  <si>
    <t>Sealing - Air - Attic - GH - SF or DX - LTO</t>
  </si>
  <si>
    <t>13548-1</t>
  </si>
  <si>
    <t>Sealing - Air - Attic - GH - SF or DX - MI - LTO</t>
  </si>
  <si>
    <t>13549-1</t>
  </si>
  <si>
    <t>Sealing - Air - Floor - EH - SF or DX - LTO</t>
  </si>
  <si>
    <t>13550-1</t>
  </si>
  <si>
    <t>Sealing - Air - Floor - EH - SF or DX - MI - LTO</t>
  </si>
  <si>
    <t>13551-1</t>
  </si>
  <si>
    <t>Sealing - Air - Floor - GH - SF or DX - LTO</t>
  </si>
  <si>
    <t>13552-1</t>
  </si>
  <si>
    <t>Sealing - Air - Floor - GH - SF or DX - MI - LTO</t>
  </si>
  <si>
    <t>13556-1</t>
  </si>
  <si>
    <t>Sealing - Duct - GH - SF or DX - MI - LTO</t>
  </si>
  <si>
    <t>13586-1</t>
  </si>
  <si>
    <t>Insulation - Attic - R0 to R49 - E FAF - SF or DX - LTO</t>
  </si>
  <si>
    <t>13587-1</t>
  </si>
  <si>
    <t>Insulation - Attic - R0 to R49 - GH - SF or DX - LTO</t>
  </si>
  <si>
    <t>13588-1</t>
  </si>
  <si>
    <t>Insulation - Attic - R0 to R49 - HP - SF or DX - LTO</t>
  </si>
  <si>
    <t>13589-1</t>
  </si>
  <si>
    <t>Insulation - Attic - R0 to R49 - Zonal - SF or DX - LTO</t>
  </si>
  <si>
    <t>13590-1</t>
  </si>
  <si>
    <t>Insulation - Attic - R11 to R49 - E FAF - SF or DX - LTO</t>
  </si>
  <si>
    <t>13591-1</t>
  </si>
  <si>
    <t>Insulation - Attic - R11 to R49 - GH - SF or DX - LTO</t>
  </si>
  <si>
    <t>13592-1</t>
  </si>
  <si>
    <t>Insulation - Attic - R11 to R49 - HP - SF or DX - LTO</t>
  </si>
  <si>
    <t>13593-1</t>
  </si>
  <si>
    <t>Insulation - Attic - R11 to R49 - Zonal - SF or DX - LTO</t>
  </si>
  <si>
    <t>13595-1</t>
  </si>
  <si>
    <t>Insulation - Floor - R0 to R22 - Zonal - MH - LTO</t>
  </si>
  <si>
    <t>13597-1</t>
  </si>
  <si>
    <t>Insulation - Floor - R0 to R30 - E FAF - SF or DX - LTO</t>
  </si>
  <si>
    <t>13598-1</t>
  </si>
  <si>
    <t>Insulation - Floor - R0 to R30 - GH - SF or DX - LTO</t>
  </si>
  <si>
    <t>13599-1</t>
  </si>
  <si>
    <t>Insulation - Floor - R0 to R30 - HP - SF or DX - LTO</t>
  </si>
  <si>
    <t>13600-1</t>
  </si>
  <si>
    <t>Insulation - Floor - R0 to R30 - Zonal - SF or DX - LTO</t>
  </si>
  <si>
    <t>13601-1</t>
  </si>
  <si>
    <t>Insulation - Wall - R0 to R13 - E FAF - SF or DX - LTO</t>
  </si>
  <si>
    <t>13602-1</t>
  </si>
  <si>
    <t>Insulation - Wall - R0 to R13 - GH - SF or DX - LTO</t>
  </si>
  <si>
    <t>13603-1</t>
  </si>
  <si>
    <t>Insulation - Wall - R0 to R13 - HP - SF or DX - LTO</t>
  </si>
  <si>
    <t>13604-1</t>
  </si>
  <si>
    <t>Insulation - Wall - R0 to R13 - Zonal - SF or DX - LTO</t>
  </si>
  <si>
    <t>13611-1</t>
  </si>
  <si>
    <t>Insulation - Attic - R0 to R49 - E FAF - SF or DX - MI - LTO</t>
  </si>
  <si>
    <t>13612-1</t>
  </si>
  <si>
    <t>Insulation - Attic - R0 to R49 - GH - SF or DX - MI - LTO</t>
  </si>
  <si>
    <t>13613-1</t>
  </si>
  <si>
    <t>Insulation - Attic - R0 to R49 - HP - SF or DX - MI - LTO</t>
  </si>
  <si>
    <t>13616-1</t>
  </si>
  <si>
    <t>Insulation - Attic - R11 to R49 - GH - SF or DX - MI - LTO</t>
  </si>
  <si>
    <t>13619-1</t>
  </si>
  <si>
    <t>Insulation - Floor - R0 to R30 - E FAF - SF or DX - MI - LTO</t>
  </si>
  <si>
    <t>13620-1</t>
  </si>
  <si>
    <t>Insulation - Floor - R0 to R30 - GH - SF or DX - MI - LTO</t>
  </si>
  <si>
    <t>13621-1</t>
  </si>
  <si>
    <t>Insulation - Floor - R0 to R30 - HP - SF or DX - MI - LTO</t>
  </si>
  <si>
    <t>13624-1</t>
  </si>
  <si>
    <t>Insulation - Wall - R0 to R13 - GH - SF or DX - MI - LTO</t>
  </si>
  <si>
    <t>13353-1</t>
  </si>
  <si>
    <t>Energy Report - E - Res</t>
  </si>
  <si>
    <t>13354-1</t>
  </si>
  <si>
    <t>Energy Report - G - Res</t>
  </si>
  <si>
    <t>12207-3</t>
  </si>
  <si>
    <t>SFNC: Built Green - 4 Star or Eqv - 20pc above WSEC - ESH - EWH - EO</t>
  </si>
  <si>
    <t>12208-3</t>
  </si>
  <si>
    <t>SFNC: Built Green - 5 Star or Eqv - 30pc above WSEC - ESH - EWH - EO</t>
  </si>
  <si>
    <t>12209-2</t>
  </si>
  <si>
    <t>SFNC: Built Green - 4 Star or Eqv - 20pc above WSEC - NGSH - NGWH - C</t>
  </si>
  <si>
    <t>12209-3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</si>
  <si>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</si>
  <si>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</si>
  <si>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</si>
  <si>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</si>
  <si>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12986-2</t>
  </si>
  <si>
    <t>SFNC: Built Green - 3 Star or Eqv - 10pc above WSEC - NGSH - NGWH - C</t>
  </si>
  <si>
    <t>12213-2</t>
  </si>
  <si>
    <t>MHNC: NEEM 1.1 Rated - EnergyStar</t>
  </si>
  <si>
    <t>12213-3</t>
  </si>
  <si>
    <t>12214-4</t>
  </si>
  <si>
    <t>MHNC: NEEM 2.0 Rated - EnergyStar</t>
  </si>
  <si>
    <t>12891-1</t>
  </si>
  <si>
    <t>Incentive - Sales - NEEM 1.1</t>
  </si>
  <si>
    <t>12891-2</t>
  </si>
  <si>
    <t>12892-3</t>
  </si>
  <si>
    <t>Incentive - Sales - NEEM 2.0</t>
  </si>
  <si>
    <t>13324-1</t>
  </si>
  <si>
    <t>NEEM 1.1 - Energy Star Rated - EH</t>
  </si>
  <si>
    <t>13325-1</t>
  </si>
  <si>
    <t>NEEM 1.1 - Energy Star Rated - GH</t>
  </si>
  <si>
    <t>13326-1</t>
  </si>
  <si>
    <t>NEEM 2.0 - Energy Star with NEEM Plus Rated - EH</t>
  </si>
  <si>
    <t>11249-5</t>
  </si>
  <si>
    <t>MFRFT: Insulation - Attic - R11 to R38 - NG</t>
  </si>
  <si>
    <t>11250-5</t>
  </si>
  <si>
    <t>MFRFT: Insulation - Attic - R11 to R38 - E</t>
  </si>
  <si>
    <t>11263-6</t>
  </si>
  <si>
    <t>MFRFT: Insulation - Floor - R0 to R30 - E</t>
  </si>
  <si>
    <t>11264-5</t>
  </si>
  <si>
    <t>MFRFT: Insulation - Floor - R11 to R30 - E</t>
  </si>
  <si>
    <t>11292-5</t>
  </si>
  <si>
    <t>MFRFT: Insulation - Wall - R0 to R11  - NG</t>
  </si>
  <si>
    <t>11293-6</t>
  </si>
  <si>
    <t>MFRFT: Insulation - Wall - R0 to R11 - E</t>
  </si>
  <si>
    <t>11302-5</t>
  </si>
  <si>
    <t>MFRFT: Sealing - Air</t>
  </si>
  <si>
    <t>11302-6</t>
  </si>
  <si>
    <t>11303-5</t>
  </si>
  <si>
    <t>MFRFT: Boiler - Replacement - Combined Space and Water Heating</t>
  </si>
  <si>
    <t>11306-3</t>
  </si>
  <si>
    <t>MFRFT: Boiler - Replacement - Space Heating</t>
  </si>
  <si>
    <t>11307-3</t>
  </si>
  <si>
    <t>MFRFT: Lighting - Common Area</t>
  </si>
  <si>
    <t>11307-4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</si>
  <si>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</si>
  <si>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</si>
  <si>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</si>
  <si>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</si>
  <si>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</si>
  <si>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</si>
  <si>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12530-3</t>
  </si>
  <si>
    <t>12603-1</t>
  </si>
  <si>
    <t>12604-2</t>
  </si>
  <si>
    <t>Fan - Ventilation - Energy Star - with AS - Res</t>
  </si>
  <si>
    <t>12649-2</t>
  </si>
  <si>
    <t>Windows - Double Pane - from U60 to U30 - EH - MF</t>
  </si>
  <si>
    <t>12650-2</t>
  </si>
  <si>
    <t>Windows - Double Pane - U30 - from SP U120 - EH - MF</t>
  </si>
  <si>
    <t>12651-2</t>
  </si>
  <si>
    <t>Windows - Double Pane - U30 - from SP U120 - GH - MF</t>
  </si>
  <si>
    <t>12658-2</t>
  </si>
  <si>
    <t>Windows - Triple Pane - U22 - from SP U120 - EH - MF</t>
  </si>
  <si>
    <t>12660-3</t>
  </si>
  <si>
    <t>Integrated Heating System - Space and Water - GH - Res</t>
  </si>
  <si>
    <t>12669-1</t>
  </si>
  <si>
    <t>Furnace - 95pc - GH - Res</t>
  </si>
  <si>
    <t>12669-2</t>
  </si>
  <si>
    <t>12692-2</t>
  </si>
  <si>
    <t>Adapter - Thermostatic Restrictor Valve - DI - EWH - MF</t>
  </si>
  <si>
    <t>12693-2</t>
  </si>
  <si>
    <t>Adapter - Thermostatic Restrictor Valve - DI - GWH - MF</t>
  </si>
  <si>
    <t>12734-2</t>
  </si>
  <si>
    <t>Thermostat - ELV - Smart - Zonal - MF - MI</t>
  </si>
  <si>
    <t>12801-3</t>
  </si>
  <si>
    <t>Lamp - TLED - 4 ft - 2x - from 4 ft T12 2x - DI - MF</t>
  </si>
  <si>
    <t>12802-2</t>
  </si>
  <si>
    <t>Lamp - TLED - 4 ft - 2x - from 4 ft T8 32w 2x - DI - MF</t>
  </si>
  <si>
    <t>12802-3</t>
  </si>
  <si>
    <t>12983-2</t>
  </si>
  <si>
    <t>Power Strip - Advanced - Load Sensing - Tier 1 - MFCA</t>
  </si>
  <si>
    <t>12984-1</t>
  </si>
  <si>
    <t>Power Strip - Advanced - Load Sensing - Tier 1 - Res</t>
  </si>
  <si>
    <t>12984-2</t>
  </si>
  <si>
    <t>12989-2</t>
  </si>
  <si>
    <t>Insulation - Attic - R0 to R49 - EH - MF</t>
  </si>
  <si>
    <t>12990-2</t>
  </si>
  <si>
    <t>Insulation - Attic - R0 to R49 - GH - MF</t>
  </si>
  <si>
    <t>12991-2</t>
  </si>
  <si>
    <t>Insulation - Attic - R11 to R49 - EH - MF</t>
  </si>
  <si>
    <t>13234-1</t>
  </si>
  <si>
    <t>Windows - Double Pane - from U60 to U30 - EH - MF - MI</t>
  </si>
  <si>
    <t>13264-1</t>
  </si>
  <si>
    <t>Thermostat - ELV - Zonal - MF</t>
  </si>
  <si>
    <t>13265-1</t>
  </si>
  <si>
    <t>Thermostat - ELV - Zonal - MF - MI</t>
  </si>
  <si>
    <t>13288-1</t>
  </si>
  <si>
    <t>Water Heater - Tankless - Energy Star - 0.9 EF - GH - MF</t>
  </si>
  <si>
    <t>13301-1</t>
  </si>
  <si>
    <t>Lighting - MFCA - MI</t>
  </si>
  <si>
    <t>13312-1</t>
  </si>
  <si>
    <t>Lamp - TLED - 4 ft - 1x - from 4 ft T8 1x - DI - MFCA</t>
  </si>
  <si>
    <t>10042-1</t>
  </si>
  <si>
    <t>Water Heater - Commercial - Custom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</si>
  <si>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</si>
  <si>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</si>
  <si>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</si>
  <si>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</si>
  <si>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</si>
  <si>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</si>
  <si>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10039-1</t>
  </si>
  <si>
    <t>HVAC - Other - Custom</t>
  </si>
  <si>
    <t>10041-1</t>
  </si>
  <si>
    <t>Window - Custom</t>
  </si>
  <si>
    <t>10049-1</t>
  </si>
  <si>
    <t>HVAC Control - Base - Custom</t>
  </si>
  <si>
    <t>10054-1</t>
  </si>
  <si>
    <t>HVAC - Central Equipment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</si>
  <si>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</si>
  <si>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</si>
  <si>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</si>
  <si>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</si>
  <si>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</si>
  <si>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</si>
  <si>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</si>
  <si>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</si>
  <si>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10061-1</t>
  </si>
  <si>
    <t>Compressed Air System - Custom</t>
  </si>
  <si>
    <t>10063-1</t>
  </si>
  <si>
    <t>CBTU - Commissioning Phase</t>
  </si>
  <si>
    <t>10065-1</t>
  </si>
  <si>
    <t>Motor - Custom</t>
  </si>
  <si>
    <t>10068-1</t>
  </si>
  <si>
    <t>Process Heating System - Custom</t>
  </si>
  <si>
    <t>10071-1</t>
  </si>
  <si>
    <t>Compressor or Dryer or Receiver - Custom</t>
  </si>
  <si>
    <t>10073-1</t>
  </si>
  <si>
    <t>Boiler - Hot Water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</si>
  <si>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</si>
  <si>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</si>
  <si>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</si>
  <si>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</si>
  <si>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</si>
  <si>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</si>
  <si>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11914-1</t>
  </si>
  <si>
    <t>Process - Modification - Custom</t>
  </si>
  <si>
    <t>12308-1</t>
  </si>
  <si>
    <t>HVAC - VRF - Custom</t>
  </si>
  <si>
    <t>12826-1</t>
  </si>
  <si>
    <t>Commissioning - Monitoring Based - Base - Custom</t>
  </si>
  <si>
    <t>12829-1</t>
  </si>
  <si>
    <t>Building Tune Up - Base - Custom</t>
  </si>
  <si>
    <t>12830-1</t>
  </si>
  <si>
    <t>Building Tune Up - Performance - Custom</t>
  </si>
  <si>
    <t>12988-1</t>
  </si>
  <si>
    <t>Insulation - Pool Cover - Exterior - Custom</t>
  </si>
  <si>
    <t>13210-1</t>
  </si>
  <si>
    <t>Lighting - Horticulture - Custom</t>
  </si>
  <si>
    <t>10074-1</t>
  </si>
  <si>
    <t>Lighting - Street - Custom</t>
  </si>
  <si>
    <t>12323-1</t>
  </si>
  <si>
    <t>Lighting - Base - Custom</t>
  </si>
  <si>
    <t>12334-1</t>
  </si>
  <si>
    <t>Lighting - Performance - Custom</t>
  </si>
  <si>
    <t>12909-2</t>
  </si>
  <si>
    <t>Lamp - LED - 30W or less Lamp - from HID 70W - Comm</t>
  </si>
  <si>
    <t>12912-2</t>
  </si>
  <si>
    <t>Lamp - LED - 50W or less Lamp - from HID 175W - Comm</t>
  </si>
  <si>
    <t>12913-2</t>
  </si>
  <si>
    <t>Lamp - LED - 90W or less Lamp - from HID 250W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</si>
  <si>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</si>
  <si>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</si>
  <si>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</si>
  <si>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</si>
  <si>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</si>
  <si>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</si>
  <si>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12948-1</t>
  </si>
  <si>
    <t>Fixture - LED - 155W or less - from HID 400W - Comm</t>
  </si>
  <si>
    <t>12949-1</t>
  </si>
  <si>
    <t>Fixture - LED - 315W or less - from HID 1000W - Comm</t>
  </si>
  <si>
    <t>13224-1</t>
  </si>
  <si>
    <t>Lighting - Tenant Improvement - Custom</t>
  </si>
  <si>
    <t>13355-1</t>
  </si>
  <si>
    <t>Incentive - Sales - Contractor - Lighting - Comm</t>
  </si>
  <si>
    <t>12577-1</t>
  </si>
  <si>
    <t>Optimization - Refrigeration - O and M - Custom</t>
  </si>
  <si>
    <t>12582-1</t>
  </si>
  <si>
    <t>Optimization - Controls - O and M</t>
  </si>
  <si>
    <t>12584-1</t>
  </si>
  <si>
    <t>Optimization - Process Heating - O and M</t>
  </si>
  <si>
    <t>12589-1</t>
  </si>
  <si>
    <t>ISEM - Performance Incentive - Year 1</t>
  </si>
  <si>
    <t>12590-1</t>
  </si>
  <si>
    <t>ISEM - Performance Incentive - Year 2</t>
  </si>
  <si>
    <t>12592-1</t>
  </si>
  <si>
    <t>ISEM - Milestone Incentive 1</t>
  </si>
  <si>
    <t>12593-1</t>
  </si>
  <si>
    <t>ISEM - Milestone Incentive 2</t>
  </si>
  <si>
    <t>13194-1</t>
  </si>
  <si>
    <t>CBA - Base - Custom</t>
  </si>
  <si>
    <t>13195-1</t>
  </si>
  <si>
    <t>CBA - Performance - Custom</t>
  </si>
  <si>
    <t>13201-1</t>
  </si>
  <si>
    <t>EUI - Base - Custom</t>
  </si>
  <si>
    <t>13339-1</t>
  </si>
  <si>
    <t>Therm Purchase - Whole Building Design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</si>
  <si>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</si>
  <si>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</si>
  <si>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</si>
  <si>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</si>
  <si>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</si>
  <si>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</si>
  <si>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</si>
  <si>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</si>
  <si>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</si>
  <si>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</si>
  <si>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</si>
  <si>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</si>
  <si>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</si>
  <si>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</si>
  <si>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12099-1</t>
  </si>
  <si>
    <t>CSEM - Training Allowance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</si>
  <si>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</si>
  <si>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</si>
  <si>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</si>
  <si>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</si>
  <si>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</si>
  <si>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</si>
  <si>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12197-1</t>
  </si>
  <si>
    <t>PFP: Base Incentive - Year 2</t>
  </si>
  <si>
    <t>12198-1</t>
  </si>
  <si>
    <t>PFP: Performance Incentive - Year 2</t>
  </si>
  <si>
    <t>10046-1</t>
  </si>
  <si>
    <t>Energy Recovery System - Custom</t>
  </si>
  <si>
    <t>10070-1</t>
  </si>
  <si>
    <t>Pump - VFD - Custom</t>
  </si>
  <si>
    <t>12825-1</t>
  </si>
  <si>
    <t>Commissioning - Ongoing - Performance - Year 3 - Custom</t>
  </si>
  <si>
    <t>10038-1</t>
  </si>
  <si>
    <t>Insulation - Exterior Roof - Custom</t>
  </si>
  <si>
    <t>12698-1</t>
  </si>
  <si>
    <t>Study - Engineering - Custom</t>
  </si>
  <si>
    <t>10628-5</t>
  </si>
  <si>
    <t>LTGO: Lamp - TLED - 2 3 or 4 foot</t>
  </si>
  <si>
    <t>12771-1</t>
  </si>
  <si>
    <t>Lamp - LED - 101w to 200w - from 320w to 400w HID - Comm</t>
  </si>
  <si>
    <t>12771-2</t>
  </si>
  <si>
    <t>12773-2</t>
  </si>
  <si>
    <t>Lamp - LED - 201w or more - from 1000w - Comm</t>
  </si>
  <si>
    <t>12774-1</t>
  </si>
  <si>
    <t>Lamp - LED - 25w or less - from 50w to 100w HID - Comm</t>
  </si>
  <si>
    <t>12774-2</t>
  </si>
  <si>
    <t>12775-1</t>
  </si>
  <si>
    <t>Lamp - LED - 26w to 60w - from 150w to 175w HID - Comm</t>
  </si>
  <si>
    <t>12775-2</t>
  </si>
  <si>
    <t>12777-1</t>
  </si>
  <si>
    <t>Lamp - LED - 61w to 100w - from 250w HID - Comm</t>
  </si>
  <si>
    <t>12777-2</t>
  </si>
  <si>
    <t>12779-1</t>
  </si>
  <si>
    <t>Lamp - LED - Any - from CFL - Comm</t>
  </si>
  <si>
    <t>12779-2</t>
  </si>
  <si>
    <t>12818-1</t>
  </si>
  <si>
    <t>Lamp - TLED - Any - from 4 ft T5 - Comm</t>
  </si>
  <si>
    <t>12818-2</t>
  </si>
  <si>
    <t>12941-1</t>
  </si>
  <si>
    <t>Fixture - LED - 15W or less - from HID 50W - Comm</t>
  </si>
  <si>
    <t>12942-1</t>
  </si>
  <si>
    <t>Fixture - LED - 30W or less - from HID 70W - Comm</t>
  </si>
  <si>
    <t>12947-1</t>
  </si>
  <si>
    <t>Fixture - LED - 105W or less - from HID 320W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</si>
  <si>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</si>
  <si>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</si>
  <si>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</si>
  <si>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</si>
  <si>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</si>
  <si>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</si>
  <si>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</si>
  <si>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</si>
  <si>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13198-1</t>
  </si>
  <si>
    <t>High Bay - LED - 50w or less - Comm</t>
  </si>
  <si>
    <t>13199-1</t>
  </si>
  <si>
    <t>High Bay - LED - 51w to 125 w - Comm</t>
  </si>
  <si>
    <t>13200-1</t>
  </si>
  <si>
    <t>High Bay - LED - over 125w - Comm</t>
  </si>
  <si>
    <t>13302-1</t>
  </si>
  <si>
    <t>Fixture - LED - 15w or less - from HID 50w - SMB</t>
  </si>
  <si>
    <t>13303-1</t>
  </si>
  <si>
    <t>Fixture - LED - 30w or less - from HID 70w - SMB</t>
  </si>
  <si>
    <t>13304-1</t>
  </si>
  <si>
    <t>Fixture - LED - 40w or less - from HID 100w - SMB</t>
  </si>
  <si>
    <t>13305-1</t>
  </si>
  <si>
    <t>Fixture - LED - 50w or less - from HID 150w - SMB</t>
  </si>
  <si>
    <t>13307-1</t>
  </si>
  <si>
    <t>Fixture - LED - 90w or less - from HID 250w - SMB</t>
  </si>
  <si>
    <t>13308-1</t>
  </si>
  <si>
    <t>Fixture - LED - 105w or less - from HID 320w - SMB</t>
  </si>
  <si>
    <t>13309-1</t>
  </si>
  <si>
    <t>Fixture - LED - 155w or less - from HID 400w - SMB</t>
  </si>
  <si>
    <t>13310-1</t>
  </si>
  <si>
    <t>Fixture - LED - 315w or less - from HID 1000w - SMB</t>
  </si>
  <si>
    <t>10826-3</t>
  </si>
  <si>
    <t>CKTCH: Oven - Combination - 15 to 28 Pans - NG</t>
  </si>
  <si>
    <t>12431-2</t>
  </si>
  <si>
    <t>Fryer - Kitchen - Any Vat - Comm - NG</t>
  </si>
  <si>
    <t>12437-3</t>
  </si>
  <si>
    <t>DCV - Kitchen - Single - Comm - 5 HP - EO</t>
  </si>
  <si>
    <t>12464-3</t>
  </si>
  <si>
    <t>DCV - Kitchen - Single - Comm - 3 HP - GO</t>
  </si>
  <si>
    <t>12468-3</t>
  </si>
  <si>
    <t>DCV - Kitchen - Single - Comm - 7 HP - GO</t>
  </si>
  <si>
    <t>12476-2</t>
  </si>
  <si>
    <t>DCV - Kitchen - Single - Comm - 15 HP - GO</t>
  </si>
  <si>
    <t>12492-3</t>
  </si>
  <si>
    <t>DCV - Kitchen - Single - Comm - 2 HP - C</t>
  </si>
  <si>
    <t>12493-3</t>
  </si>
  <si>
    <t>DCV - Kitchen - Single - Comm - 3 HP - C</t>
  </si>
  <si>
    <t>12494-3</t>
  </si>
  <si>
    <t>DCV - Kitchen - Single - Comm - 4 HP - C</t>
  </si>
  <si>
    <t>12500-3</t>
  </si>
  <si>
    <t>DCV - Kitchen - Single - Comm - 10 HP - C</t>
  </si>
  <si>
    <t>12518-3</t>
  </si>
  <si>
    <t>DCV - Kitchen - Single - Comm - 28 HP - C</t>
  </si>
  <si>
    <t>12760-2</t>
  </si>
  <si>
    <t>Oven - Conveyor - GH - Comm</t>
  </si>
  <si>
    <t>12834-2</t>
  </si>
  <si>
    <t>Ice Maker - Ice Making Head - AC - IHR 300 to 799 - Comm</t>
  </si>
  <si>
    <t>12838-2</t>
  </si>
  <si>
    <t>Ice Maker - Ice Making Head - AC - IHR less than 300 - Comm</t>
  </si>
  <si>
    <t>12875-2</t>
  </si>
  <si>
    <t>Incentive - Sales - DCV - Single - Comm - Kitchen - C</t>
  </si>
  <si>
    <t>12876-2</t>
  </si>
  <si>
    <t>Incentive - Sales - DCV - Single - Comm - Kitchen - EO</t>
  </si>
  <si>
    <t>12877-2</t>
  </si>
  <si>
    <t>Incentive - Sales - DCV - Single - Comm - Kitchen - GO</t>
  </si>
  <si>
    <t>12878-2</t>
  </si>
  <si>
    <t>Incentive - Sales - Dishwasher - DWH - Comm - Kitchen</t>
  </si>
  <si>
    <t>12879-2</t>
  </si>
  <si>
    <t>Incentive - Sales - Dishwasher - EWH - Comm - Kitchen</t>
  </si>
  <si>
    <t>12880-2</t>
  </si>
  <si>
    <t>Incentive - Sales - Dishwasher - GWH - Comm - Kitchen</t>
  </si>
  <si>
    <t>12883-2</t>
  </si>
  <si>
    <t>Incentive - Sales - Fryer - GH - Comm - Kitchen</t>
  </si>
  <si>
    <t>12885-2</t>
  </si>
  <si>
    <t>Incentive - Sales - Griddle - GH - Comm - Kitchen</t>
  </si>
  <si>
    <t>12886-2</t>
  </si>
  <si>
    <t>Incentive - Sales - Ice Maker - EH - Comm - Kitchen</t>
  </si>
  <si>
    <t>12887-2</t>
  </si>
  <si>
    <t>Incentive - Sales - Oven - EH - Comm - Kitchen</t>
  </si>
  <si>
    <t>12888-2</t>
  </si>
  <si>
    <t>Incentive - Sales - Oven - GH - Comm - Kitchen</t>
  </si>
  <si>
    <t>12889-2</t>
  </si>
  <si>
    <t>Incentive - Sales - Steam Cooker - EH - Comm - Kitchen</t>
  </si>
  <si>
    <t>12976-1</t>
  </si>
  <si>
    <t>Food Cabinet - Holding - 13 ft to under 28 ft - Kitchen - Comm</t>
  </si>
  <si>
    <t>13040-1</t>
  </si>
  <si>
    <t>Freezer - Ultra Low Temp - 24 ft to 29 ft - Comm</t>
  </si>
  <si>
    <t>13053-1</t>
  </si>
  <si>
    <t>Griddle - 4 LF - GH - Kitchen - Comm</t>
  </si>
  <si>
    <t>13066-1</t>
  </si>
  <si>
    <t>Oven - Convection - Double - EH - Comm</t>
  </si>
  <si>
    <t>13070-1</t>
  </si>
  <si>
    <t>Oven - Convection - Double - GH - Comm</t>
  </si>
  <si>
    <t>13072-1</t>
  </si>
  <si>
    <t>Oven - Convection - Full - EH - Comm</t>
  </si>
  <si>
    <t>13074-1</t>
  </si>
  <si>
    <t>Oven - Convection - Full - GH - Comm</t>
  </si>
  <si>
    <t>13077-1</t>
  </si>
  <si>
    <t>Oven - Double Rack - GH - Comm</t>
  </si>
  <si>
    <t>13080-1</t>
  </si>
  <si>
    <t>Steamer - Any Size - EH - Kitchen - Comm</t>
  </si>
  <si>
    <t>13084-1</t>
  </si>
  <si>
    <t>Incentive - Sales - Freezer - Ultra Low Temp - EH - Comm</t>
  </si>
  <si>
    <t>13085-1</t>
  </si>
  <si>
    <t>Incentive - Sales - Oven - Combination - EH - Comm - Kitchen</t>
  </si>
  <si>
    <t>13086-1</t>
  </si>
  <si>
    <t>Incentive - Sales - Oven - Combination - GH - Comm - Kitchen</t>
  </si>
  <si>
    <t>13095-2</t>
  </si>
  <si>
    <t>Dishwasher - Door Type - Single Tank - High Temp - EWH - E Booster - Foodservice</t>
  </si>
  <si>
    <t>13097-2</t>
  </si>
  <si>
    <t>Dishwasher - Door Type - Single Tank - High Temp - GWH - E Booster - Foodservice</t>
  </si>
  <si>
    <t>13098-1</t>
  </si>
  <si>
    <t>Dishwasher - Door Type - Single Tank - High Temp - GWH - Foodservice</t>
  </si>
  <si>
    <t>13100-1</t>
  </si>
  <si>
    <t>Dishwasher - Door Type - Single Tank - Low Temp - EWH - Foodservice</t>
  </si>
  <si>
    <t>13100-2</t>
  </si>
  <si>
    <t>13102-2</t>
  </si>
  <si>
    <t>Dishwasher - Door Type - Single Tank - Low Temp - GWH - Foodservice</t>
  </si>
  <si>
    <t>13117-2</t>
  </si>
  <si>
    <t>Dishwasher - Rack Conveyor - Single Tank - High Temp - EWH - E Booster - Foodservice</t>
  </si>
  <si>
    <t>13119-2</t>
  </si>
  <si>
    <t>Dishwasher - Rack Conveyor - Single Tank - High Temp - GWH - E Booster - Foodservice</t>
  </si>
  <si>
    <t>13131-1</t>
  </si>
  <si>
    <t>Dishwasher - Under Counter - High Temp - EWH - E Booster - Foodservice</t>
  </si>
  <si>
    <t>13131-2</t>
  </si>
  <si>
    <t>13145-1</t>
  </si>
  <si>
    <t>Oven - Combination - 14 Pans or less - GH - Comm - CWA</t>
  </si>
  <si>
    <t>13228-1</t>
  </si>
  <si>
    <t>Oven - Combination - 14 Pans or less - EH - Comm</t>
  </si>
  <si>
    <t>13231-1</t>
  </si>
  <si>
    <t>Oven - Combination - 14 Pans or less - GH - Comm</t>
  </si>
  <si>
    <t>13232-1</t>
  </si>
  <si>
    <t>Oven - Combination - More than 28 Pans - GH - Comm</t>
  </si>
  <si>
    <t>13233-1</t>
  </si>
  <si>
    <t>Oven - Combination - 15 to 28 Pans - GH - Comm</t>
  </si>
  <si>
    <t>13341-1</t>
  </si>
  <si>
    <t>Fryer - Kitchen - Any Vat - Comm - NG - LTO</t>
  </si>
  <si>
    <t>13342-1</t>
  </si>
  <si>
    <t>Steamer - Any Size - EH - Kitchen - Comm - LTO</t>
  </si>
  <si>
    <t>13345-1</t>
  </si>
  <si>
    <t>Ice Maker - Ice Making Head - AC - IHR 300 to 799 - Comm - LTO</t>
  </si>
  <si>
    <t>13347-1</t>
  </si>
  <si>
    <t>Ice Maker - Ice Making Head - AC - IHR less than 300 - Comm - LTO</t>
  </si>
  <si>
    <t>13348-1</t>
  </si>
  <si>
    <t>Ice Maker - Remote Condensing - AC - IHR 988 or more - Comm - LTO</t>
  </si>
  <si>
    <t>13351-1</t>
  </si>
  <si>
    <t>Ice Maker - Self Contained - AC - IHR 200 or more - Comm - LTO</t>
  </si>
  <si>
    <t>13356-1</t>
  </si>
  <si>
    <t>Incentive - Sales - DCV - Single - Comm - Kitchen - C - LTO</t>
  </si>
  <si>
    <t>13358-1</t>
  </si>
  <si>
    <t>Incentive - Sales - DCV - Single - Comm - Kitchen - GO - LTO</t>
  </si>
  <si>
    <t>13359-1</t>
  </si>
  <si>
    <t>Incentive - Sales - Dishwasher - DWH - Comm - Kitchen - LTO</t>
  </si>
  <si>
    <t>13360-1</t>
  </si>
  <si>
    <t>Incentive - Sales - Dishwasher - EWH - Comm - Kitchen - LTO</t>
  </si>
  <si>
    <t>13361-1</t>
  </si>
  <si>
    <t>Incentive - Sales - Dishwasher - GWH - Comm - Kitchen - LTO</t>
  </si>
  <si>
    <t>13363-1</t>
  </si>
  <si>
    <t>Incentive - Sales - Fryer - GH - Comm - Kitchen - LTO</t>
  </si>
  <si>
    <t>13364-1</t>
  </si>
  <si>
    <t>Incentive - Sales - Ice Maker - EH - Comm - Kitchen - LTO</t>
  </si>
  <si>
    <t>13365-1</t>
  </si>
  <si>
    <t>Incentive - Sales - Oven - EH - Comm - Kitchen - LTO</t>
  </si>
  <si>
    <t>13366-1</t>
  </si>
  <si>
    <t>Incentive - Sales - Oven - GH - Comm - Kitchen - LTO</t>
  </si>
  <si>
    <t>13367-1</t>
  </si>
  <si>
    <t>Incentive - Sales - Steam Cooker - EH - Comm - Kitchen - LTO</t>
  </si>
  <si>
    <t>13369-1</t>
  </si>
  <si>
    <t>Incentive - Sales - Freezer - Ultra Low Temp - EH - Comm - LTO</t>
  </si>
  <si>
    <t>13370-1</t>
  </si>
  <si>
    <t>Incentive - Sales - Oven - Combination - EH - Comm - Kitchen - LTO</t>
  </si>
  <si>
    <t>13371-1</t>
  </si>
  <si>
    <t>Incentive - Sales - Oven - Combination - GH - Comm - Kitchen - LTO</t>
  </si>
  <si>
    <t>13374-1</t>
  </si>
  <si>
    <t>Dishwasher - Door Type - Single Tank - High Temp - EWH - E Booster - Foodservice - LTO</t>
  </si>
  <si>
    <t>13375-1</t>
  </si>
  <si>
    <t>Dishwasher - Door Type - Single Tank - High Temp - GWH - E Booster - Foodservice - LTO</t>
  </si>
  <si>
    <t>13377-1</t>
  </si>
  <si>
    <t>Dishwasher - Door Type - Single Tank - Low Temp - EWH - Foodservice - LTO</t>
  </si>
  <si>
    <t>13378-1</t>
  </si>
  <si>
    <t>Dishwasher - Door Type - Single Tank - Low Temp - GWH - Foodservice - LTO</t>
  </si>
  <si>
    <t>13394-1</t>
  </si>
  <si>
    <t>Dishwasher - Under Counter - High Temp - EWH - E Booster - Foodservice - LTO</t>
  </si>
  <si>
    <t>13395-1</t>
  </si>
  <si>
    <t>Dishwasher - Under Counter - High Temp - GWH - E Booster - Foodservice - LTO</t>
  </si>
  <si>
    <t>13398-1</t>
  </si>
  <si>
    <t>Dishwasher - Under Counter - Low Temp - GWH - Foodservice - LTO</t>
  </si>
  <si>
    <t>13400-1</t>
  </si>
  <si>
    <t>Freezer - Ultra Low Temp - 24 ft to 29 ft - Comm - LTO</t>
  </si>
  <si>
    <t>13406-1</t>
  </si>
  <si>
    <t>Oven - Convection - Double - EH - Comm - LTO</t>
  </si>
  <si>
    <t>13407-1</t>
  </si>
  <si>
    <t>Oven - Convection - Double - GH - Comm - LTO</t>
  </si>
  <si>
    <t>13408-1</t>
  </si>
  <si>
    <t>Oven - Convection - Full - EH - Comm - LTO</t>
  </si>
  <si>
    <t>13409-1</t>
  </si>
  <si>
    <t>Oven - Convection - Full - GH - Comm - LTO</t>
  </si>
  <si>
    <t>13413-1</t>
  </si>
  <si>
    <t>Oven - Combination - 14 Pans or less - EH - Comm - LTO</t>
  </si>
  <si>
    <t>13416-1</t>
  </si>
  <si>
    <t>Oven - Combination - 14 Pans or less - GH - Comm - LTO</t>
  </si>
  <si>
    <t>13459-1</t>
  </si>
  <si>
    <t>DCV - Kitchen - Single - Comm - 13 HP - GO - LTO</t>
  </si>
  <si>
    <t>13476-1</t>
  </si>
  <si>
    <t>DCV - Kitchen - Single - Comm - 30 HP - GO - LTO</t>
  </si>
  <si>
    <t>13495-1</t>
  </si>
  <si>
    <t>DCV - Kitchen - Single - Comm - 20 HP - C - LTO</t>
  </si>
  <si>
    <t>12350-1</t>
  </si>
  <si>
    <t>Thermostat - Web Enabled - ER Heating - Comm - Grocery</t>
  </si>
  <si>
    <t>12355-1</t>
  </si>
  <si>
    <t>Thermostat - Web Enabled - GP Heating - wo AC - Comm - Grocery</t>
  </si>
  <si>
    <t>12356-1</t>
  </si>
  <si>
    <t>Thermostat - Web Enabled - ER Heating - Comm</t>
  </si>
  <si>
    <t>12357-1</t>
  </si>
  <si>
    <t>Thermostat - Web Enabled - HP Heating - Comm</t>
  </si>
  <si>
    <t>12358-1</t>
  </si>
  <si>
    <t>Thermostat - Web Enabled - GP Heating - Comm</t>
  </si>
  <si>
    <t>12363-1</t>
  </si>
  <si>
    <t>Heat Pump - Ductless - Comm</t>
  </si>
  <si>
    <t>13025-1</t>
  </si>
  <si>
    <t>Supply Fan VFD and Controller - RTU - 10 to 20 Tons - Gas Pack - Comm</t>
  </si>
  <si>
    <t>13025-2</t>
  </si>
  <si>
    <t>13027-1</t>
  </si>
  <si>
    <t>Supply Fan VFD and Controller - RTU - 5 to under 10 Tons - Gas Pack - Comm</t>
  </si>
  <si>
    <t>13029-1</t>
  </si>
  <si>
    <t>Supply Fan VFD and Controller - RTU - Less than 5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</si>
  <si>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</si>
  <si>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</si>
  <si>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</si>
  <si>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</si>
  <si>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13037-1</t>
  </si>
  <si>
    <t>Supply Fan VFD and Controller - with DCV - RTU - More than 20 Tons - Gas Pack - Comm - C</t>
  </si>
  <si>
    <t>12232-1</t>
  </si>
  <si>
    <t>CMID: Air Conditioner - AC  - Bthu 65k to 135k - Tier 1</t>
  </si>
  <si>
    <t>12233-1</t>
  </si>
  <si>
    <t>CMID: Air Conditioner - AC  - Bthu 65k to 135k - Tier 2</t>
  </si>
  <si>
    <t>12234-2</t>
  </si>
  <si>
    <t>CMID: Air Conditioner - AC  - Bthu 65k to 135k - Tier 3</t>
  </si>
  <si>
    <t>12235-1</t>
  </si>
  <si>
    <t>CMID: Air Conditioner - AC  - Bthu 135k to 240k - Tier 1</t>
  </si>
  <si>
    <t>12236-1</t>
  </si>
  <si>
    <t>CMID: Air Conditioner - AC  - Bthu 135k to 240k - Tier 2</t>
  </si>
  <si>
    <t>12237-2</t>
  </si>
  <si>
    <t>CMID: Air Conditioner - AC  - Bthu 135k to 240k - Tier 3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</si>
  <si>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</si>
  <si>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</si>
  <si>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</si>
  <si>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</si>
  <si>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</si>
  <si>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</si>
  <si>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</si>
  <si>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</si>
  <si>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</si>
  <si>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</si>
  <si>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</si>
  <si>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</si>
  <si>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</si>
  <si>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</si>
  <si>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</si>
  <si>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</si>
  <si>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</si>
  <si>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</si>
  <si>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12272-1</t>
  </si>
  <si>
    <t>CMID: Air Conditioner - EC - Btuh Under 65k - Tier 1</t>
  </si>
  <si>
    <t>12277-3</t>
  </si>
  <si>
    <t>CMID: Water Heater - Condensing - Storage</t>
  </si>
  <si>
    <t>12278-3</t>
  </si>
  <si>
    <t>CMID: Boiler - Domestic</t>
  </si>
  <si>
    <t>12279-3</t>
  </si>
  <si>
    <t>CMID: Water Heater - Tankless</t>
  </si>
  <si>
    <t>12280-3</t>
  </si>
  <si>
    <t>CMID: Water Heater - Condensing - Storage - MF - HR</t>
  </si>
  <si>
    <t>12281-3</t>
  </si>
  <si>
    <t>CMID: Boiler - Domestic - MF - HR</t>
  </si>
  <si>
    <t>12283-3</t>
  </si>
  <si>
    <t>CMID: Water Heater - Condensing - Storage - MF - LR</t>
  </si>
  <si>
    <t>12284-3</t>
  </si>
  <si>
    <t>CMID: Boiler - Domestic - MF - LR</t>
  </si>
  <si>
    <t>12285-3</t>
  </si>
  <si>
    <t>CMID: Water Heater - Condensing - Tankless - MF - LR</t>
  </si>
  <si>
    <t>12852-1</t>
  </si>
  <si>
    <t>Heat Pump - Ductless - Tier 1 - Less than 65 kBtuh - EH - Comm</t>
  </si>
  <si>
    <t>12855-1</t>
  </si>
  <si>
    <t>Heat Pump - Ductless - Tier 2 - Less than 65 kBtuh - EH - Comm</t>
  </si>
  <si>
    <t>12870-2</t>
  </si>
  <si>
    <t>Water Heater - Heat Pump - EH - Comm</t>
  </si>
  <si>
    <t>12893-2</t>
  </si>
  <si>
    <t>Incentive - Sales - Distributor - EH or EWH - Comm</t>
  </si>
  <si>
    <t>13215-1</t>
  </si>
  <si>
    <t>Air Conditioner - AC - Tier 4 - 135k to 240k Btuh - Comm</t>
  </si>
  <si>
    <t>13217-1</t>
  </si>
  <si>
    <t>Air Conditioner - AC - Tier 4 - 65k to 135k Btuh - Comm</t>
  </si>
  <si>
    <t>13219-1</t>
  </si>
  <si>
    <t>Heat Pump - AC - Tier 4 - 65k to 135k Btuh - Comm</t>
  </si>
  <si>
    <t>10953-3</t>
  </si>
  <si>
    <t>SBDI: Controls - ASH - Compressor - Mid Temp</t>
  </si>
  <si>
    <t>11106-5</t>
  </si>
  <si>
    <t>SBDI: Lamp - TLED - 3 ft - 1x - from 3 ft 1x T8 25w</t>
  </si>
  <si>
    <t>11106-6</t>
  </si>
  <si>
    <t>11107-6</t>
  </si>
  <si>
    <t>SBDI: Lamp - TLED - 3 ft - 1x - from 3 ft T12 1x</t>
  </si>
  <si>
    <t>11107-7</t>
  </si>
  <si>
    <t>11108-6</t>
  </si>
  <si>
    <t>SBDI: Lamp - TLED - 4 ft - 1x - from 4 ft T12 1x</t>
  </si>
  <si>
    <t>11108-7</t>
  </si>
  <si>
    <t>11114-6</t>
  </si>
  <si>
    <t>SBDI: Lamp - TLED - 4 ft - 2x - from 4 ft T12 2x</t>
  </si>
  <si>
    <t>11114-7</t>
  </si>
  <si>
    <t>11114-8</t>
  </si>
  <si>
    <t>11115-6</t>
  </si>
  <si>
    <t>SBDI: Lamp - TLED - 4 ft - 2x - from 4 ft T12 HO 2x</t>
  </si>
  <si>
    <t>11115-7</t>
  </si>
  <si>
    <t>11115-8</t>
  </si>
  <si>
    <t>11121-7</t>
  </si>
  <si>
    <t>SBDI: Lamp - TLED - 4 ft - 3x - from 4 ft T12 HO 3x</t>
  </si>
  <si>
    <t>11127-6</t>
  </si>
  <si>
    <t>SBDI: Lamp - TLED - 4 ft - 3x from 4 ft T12 3x</t>
  </si>
  <si>
    <t>11127-7</t>
  </si>
  <si>
    <t>11128-6</t>
  </si>
  <si>
    <t>SBDI: Lamp - TLED - 4 ft - 4x - from 4 ft T12 4x</t>
  </si>
  <si>
    <t>11128-7</t>
  </si>
  <si>
    <t>11129-6</t>
  </si>
  <si>
    <t>SBDI: Lamp - TLED - 4 ft - 4x - from 4 ft T12 HO 4x</t>
  </si>
  <si>
    <t>11129-7</t>
  </si>
  <si>
    <t>11135-2</t>
  </si>
  <si>
    <t>SBDI: LED Exit Sign</t>
  </si>
  <si>
    <t>11137-4</t>
  </si>
  <si>
    <t>SBDI: Occupancy Sensor - 100w to 150w</t>
  </si>
  <si>
    <t>11137-5</t>
  </si>
  <si>
    <t>11221-4</t>
  </si>
  <si>
    <t>SBDI: Sprayhead - EWH - 0.65 gpm - from 2.6</t>
  </si>
  <si>
    <t>11222-4</t>
  </si>
  <si>
    <t>SBDI: Sprayhead - EWH - 0.65 gpm - not PI</t>
  </si>
  <si>
    <t>11225-4</t>
  </si>
  <si>
    <t>SBDI: Sprayhead - GWH - 0.65 gpm - from 2.2</t>
  </si>
  <si>
    <t>11226-2</t>
  </si>
  <si>
    <t>SBDI: Sprayhead - GWH - 0.65 gpm - from 2.2 - EIE</t>
  </si>
  <si>
    <t>11227-4</t>
  </si>
  <si>
    <t>SBDI: Sprayhead - GWH - 0.65 gpm - from 2.6</t>
  </si>
  <si>
    <t>11228-2</t>
  </si>
  <si>
    <t>SBDI: Sprayhead - GWH - 0.65 gpm - from 2.6 - EIE</t>
  </si>
  <si>
    <t>12053-5</t>
  </si>
  <si>
    <t>SBDI: Fixture - LED - 100w - from 400w HID</t>
  </si>
  <si>
    <t>12053-6</t>
  </si>
  <si>
    <t>12105-2</t>
  </si>
  <si>
    <t>SBDI: Fixture - LED - 20w - from 100w HID</t>
  </si>
  <si>
    <t>12105-3</t>
  </si>
  <si>
    <t>12106-6</t>
  </si>
  <si>
    <t>SBDI: Lamp - TLED - 4 ft - 1x - from 4 ft T8 28w BBF 1x</t>
  </si>
  <si>
    <t>12107-5</t>
  </si>
  <si>
    <t>SBDI: Lamp - TLED - 4 ft - 1x - from 4ft T8 32w BBF 1x</t>
  </si>
  <si>
    <t>12107-6</t>
  </si>
  <si>
    <t>12108-5</t>
  </si>
  <si>
    <t>SBDI: Lamp - TLED - 4 ft - 2x - from 4 ft T8 28w BBF 2x</t>
  </si>
  <si>
    <t>12108-6</t>
  </si>
  <si>
    <t>12108-7</t>
  </si>
  <si>
    <t>12109-5</t>
  </si>
  <si>
    <t>SBDI: Lamp - TLED - 4 ft - 2x - from 4 ft T8 32w BBF 2x</t>
  </si>
  <si>
    <t>12109-6</t>
  </si>
  <si>
    <t>12109-7</t>
  </si>
  <si>
    <t>12110-5</t>
  </si>
  <si>
    <t>SBDI: Lamp - TLED - 4 ft - 3x - from 4 ft T8 28w BBF 3x</t>
  </si>
  <si>
    <t>12111-5</t>
  </si>
  <si>
    <t>SBDI: Lamp - TLED - 4 ft - 3x - from 4 ft T8 32w BBF 3x</t>
  </si>
  <si>
    <t>12111-6</t>
  </si>
  <si>
    <t>12113-5</t>
  </si>
  <si>
    <t>SBDI: Lamp - TLED - 4 ft - 4x - from 4 ft T8 28w BBF 4x</t>
  </si>
  <si>
    <t>12114-5</t>
  </si>
  <si>
    <t>SBDI: Lamp - TLED - 4 ft - 4x - from 4 ft T8 32w BBF 4x</t>
  </si>
  <si>
    <t>12114-6</t>
  </si>
  <si>
    <t>12115-4</t>
  </si>
  <si>
    <t>SBDI: Fixture - Volumetric - LED - 24w - from 4 ft T12 4x</t>
  </si>
  <si>
    <t>12115-5</t>
  </si>
  <si>
    <t>12118-1</t>
  </si>
  <si>
    <t>SBDI: Fixture - LED - 35w - from 175w HID</t>
  </si>
  <si>
    <t>12118-2</t>
  </si>
  <si>
    <t>12142-2</t>
  </si>
  <si>
    <t>SBDI: Lamp - TLED - 4 ft - 1x - from 4 ft T12 1x - LCA</t>
  </si>
  <si>
    <t>12143-3</t>
  </si>
  <si>
    <t>SBDI: Lamp - TLED - 4 ft - 2x - from 4 ft T12 2x - LCA</t>
  </si>
  <si>
    <t>12144-3</t>
  </si>
  <si>
    <t>SBDI: Lamp - TLED - 4 ft - 2x - from 4 ft T12 HO 2x - LCA</t>
  </si>
  <si>
    <t>12149-2</t>
  </si>
  <si>
    <t>SBDI: Lamp - TLED - 4 ft - 4x - from 4 ft T12 4x - LCA</t>
  </si>
  <si>
    <t>12156-2</t>
  </si>
  <si>
    <t>SBDI: Lamp - TLED - 4 ft - 1x - from 4ft T8 32w NLO 1x - LCA</t>
  </si>
  <si>
    <t>12161-1</t>
  </si>
  <si>
    <t>SBDI: Lamp - TLED - 4 ft - 2x - from 4 ft T8 32w NLO 2x - LCA</t>
  </si>
  <si>
    <t>12161-3</t>
  </si>
  <si>
    <t>12162-3</t>
  </si>
  <si>
    <t>SBDI: Lamp - TLED - 4 ft - 2x - from 4 ft T8 32w HLO 2x - LCA</t>
  </si>
  <si>
    <t>12166-3</t>
  </si>
  <si>
    <t>SBDI: Lamp - TLED - 4 ft - 3x - from 4 ft T8 32w NLO 3x - LCA</t>
  </si>
  <si>
    <t>12176-2</t>
  </si>
  <si>
    <t>SBDI: Lamp - TLED - 4 ft - 4x - from 4 ft T8 32w NLO 4x - LCA</t>
  </si>
  <si>
    <t>12177-2</t>
  </si>
  <si>
    <t>SBDI: Lamp - TLED - 4 ft - 4x - from 4 ft T8 32w HLO 4x - LCA</t>
  </si>
  <si>
    <t>12188-1</t>
  </si>
  <si>
    <t>SBDI: Fixture - LED - 35w - from 250w HID</t>
  </si>
  <si>
    <t>12188-2</t>
  </si>
  <si>
    <t>12189-2</t>
  </si>
  <si>
    <t>SBDI: Fixture - LED - 60w - from 250w HID</t>
  </si>
  <si>
    <t>12189-3</t>
  </si>
  <si>
    <t>12190-2</t>
  </si>
  <si>
    <t>SBDI: Fixture - LED - 60w - from 400w HID</t>
  </si>
  <si>
    <t>12191-3</t>
  </si>
  <si>
    <t>SBDI: Fixture - LED - 80w - from 400w HID</t>
  </si>
  <si>
    <t>12731-2</t>
  </si>
  <si>
    <t>Fixture - LED - 150w - from 4 ft T5 HLO 6x - SMB</t>
  </si>
  <si>
    <t>12732-2</t>
  </si>
  <si>
    <t>Fixture - LED - 300w - from 1000w MH - SMB</t>
  </si>
  <si>
    <t>12784-3</t>
  </si>
  <si>
    <t>Lamp - TLED - 4 ft - 2x - DLR from 4 ft T12 3x - DI - SMB</t>
  </si>
  <si>
    <t>12786-3</t>
  </si>
  <si>
    <t>Lamp - TLED - 4 ft - 2x - DLR from 4 ft T12 4x - DI - SMB</t>
  </si>
  <si>
    <t>12792-2</t>
  </si>
  <si>
    <t>Lamp - TLED - 4 ft - 2x - DLR from 4 ft T8 32w BBF 3x - DI - SMB</t>
  </si>
  <si>
    <t>12792-3</t>
  </si>
  <si>
    <t>12793-2</t>
  </si>
  <si>
    <t>Lamp - TLED - 4 ft - 2x - DLR from 4 ft T8 32w BBF 4x - DI - SMB</t>
  </si>
  <si>
    <t>12793-3</t>
  </si>
  <si>
    <t>12800-2</t>
  </si>
  <si>
    <t>Lamp - TLED - 4 ft - 2x - DLR from 8 ft T12 F96 2x - DI - SMB</t>
  </si>
  <si>
    <t>12800-3</t>
  </si>
  <si>
    <t>12804-2</t>
  </si>
  <si>
    <t>Lamp - TLED - 4 ft - 2x - from 8 ft T12 F96 1x - DI - SMB</t>
  </si>
  <si>
    <t>12806-3</t>
  </si>
  <si>
    <t>Lamp - TLED - 4 ft - 2x - from 8 ft T12 HO F96 1x - DI - SMB</t>
  </si>
  <si>
    <t>12815-2</t>
  </si>
  <si>
    <t>Lamp - TLED - 4 ft - 4x - from 8 ft T12 F96 2x - DI - SMB</t>
  </si>
  <si>
    <t>12815-3</t>
  </si>
  <si>
    <t>12817-3</t>
  </si>
  <si>
    <t>Lamp - TLED - 4 ft - 4x - from 8 ft T12 HO F96 2x - DI - SMB</t>
  </si>
  <si>
    <t>12917-2</t>
  </si>
  <si>
    <t>Case Lighting - LED - Low Power - Refrigerated Space - Med Temp - from Single T8 - Restaurant</t>
  </si>
  <si>
    <t>12929-2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</si>
  <si>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</si>
  <si>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</si>
  <si>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</si>
  <si>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12930-2</t>
  </si>
  <si>
    <t>12938-2</t>
  </si>
  <si>
    <t>Case Lighting - LED - Low Power - Refrigerated Space - Low Temp - from Single T12 - Grocery</t>
  </si>
  <si>
    <t>12959-1</t>
  </si>
  <si>
    <t>Energy Audit - EH - SMB</t>
  </si>
  <si>
    <t>12960-1</t>
  </si>
  <si>
    <t>Energy Audit - GH - SMB</t>
  </si>
  <si>
    <t>13022-1</t>
  </si>
  <si>
    <t>Thermostat Control - Occupancy Based - Setback - 5 Degrees - Lodging</t>
  </si>
  <si>
    <t>13064-1</t>
  </si>
  <si>
    <t>Heat Pump - Packaged Terminal - Lodging</t>
  </si>
  <si>
    <t>13064-2</t>
  </si>
  <si>
    <t>13064-3</t>
  </si>
  <si>
    <t>12975-1</t>
  </si>
  <si>
    <t>Commissioning - Virtual - Custom</t>
  </si>
  <si>
    <t>10278-1</t>
  </si>
  <si>
    <t>LIW: Safety Test - Combustion - MH - TE</t>
  </si>
  <si>
    <t>10279-1</t>
  </si>
  <si>
    <t>LIW: Safety Test - Combustion - SF - SH</t>
  </si>
  <si>
    <t>10280-1</t>
  </si>
  <si>
    <t>LIW: Safety Test - Combustion - SF - TE</t>
  </si>
  <si>
    <t>10282-2</t>
  </si>
  <si>
    <t>LIW: Sealing - Air - Package - MF - TE</t>
  </si>
  <si>
    <t>10305-1</t>
  </si>
  <si>
    <t>LIW: Carbon Monoxide Detector - MH - TE</t>
  </si>
  <si>
    <t>10306-1</t>
  </si>
  <si>
    <t>LIW: Carbon Monoxide Detector - SF - SH</t>
  </si>
  <si>
    <t>10307-1</t>
  </si>
  <si>
    <t>LIW: Carbon Monoxide Detector - SF - TE</t>
  </si>
  <si>
    <t>10311-1</t>
  </si>
  <si>
    <t>LIW: Smoke Detector - MH - TE</t>
  </si>
  <si>
    <t>10312-1</t>
  </si>
  <si>
    <t>LIW: Smoke Detector - SF - SH</t>
  </si>
  <si>
    <t>10313-1</t>
  </si>
  <si>
    <t>LIW: Smoke Detector - SF - TE</t>
  </si>
  <si>
    <t>10314-2</t>
  </si>
  <si>
    <t>LIW: Sealing - Duct - MH - SH</t>
  </si>
  <si>
    <t>10315-6</t>
  </si>
  <si>
    <t>LIW: Sealing - Duct - MH - TE</t>
  </si>
  <si>
    <t>10316-6</t>
  </si>
  <si>
    <t>LIW: Sealing - Duct - MH - TG</t>
  </si>
  <si>
    <t>10317-2</t>
  </si>
  <si>
    <t>LIW: Sealing - Duct - SF - SH</t>
  </si>
  <si>
    <t>10318-6</t>
  </si>
  <si>
    <t>LIW: Sealing - Duct - SF - TE</t>
  </si>
  <si>
    <t>10319-6</t>
  </si>
  <si>
    <t>LIW: Sealing - Duct - SF - TG</t>
  </si>
  <si>
    <t>10320-3</t>
  </si>
  <si>
    <t>LIW: Ductless Heat Pump - MH - SH</t>
  </si>
  <si>
    <t>10321-7</t>
  </si>
  <si>
    <t>LIW: Ductless Heat Pump - MH - TE</t>
  </si>
  <si>
    <t>10322-3</t>
  </si>
  <si>
    <t>LIW: Ductless Heat Pump - SF - SH</t>
  </si>
  <si>
    <t>10323-7</t>
  </si>
  <si>
    <t>LIW: Ductless Heat Pump - SF - TE</t>
  </si>
  <si>
    <t>10327-4</t>
  </si>
  <si>
    <t>LIW: Integrated Space and Water Heating - SF - TG</t>
  </si>
  <si>
    <t>10331-1</t>
  </si>
  <si>
    <t>LIW: Repair - Furnace - MH - TE</t>
  </si>
  <si>
    <t>10332-1</t>
  </si>
  <si>
    <t>LIW: Repair - Furnace - SF - SH</t>
  </si>
  <si>
    <t>10336-1</t>
  </si>
  <si>
    <t>LIW: Furnace - Replacement - MH - SH</t>
  </si>
  <si>
    <t>10342-1</t>
  </si>
  <si>
    <t>LIW: Furnace - Replacement - Gas - 95pc - SF - SH</t>
  </si>
  <si>
    <t>10343-3</t>
  </si>
  <si>
    <t>LIW: Furnace - Replacement - Gas - 95pc - SF - TG</t>
  </si>
  <si>
    <t>10347-1</t>
  </si>
  <si>
    <t>LIW: Ground Vapor Barrier - MH - TE</t>
  </si>
  <si>
    <t>10348-1</t>
  </si>
  <si>
    <t>LIW: Ground Vapor Barrier - SF - SH</t>
  </si>
  <si>
    <t>10349-1</t>
  </si>
  <si>
    <t>LIW: Ground Vapor Barrier - SF - TE</t>
  </si>
  <si>
    <t>10359-1</t>
  </si>
  <si>
    <t>LIW: Insulation - Duct - R0 to R11 - SF - SH</t>
  </si>
  <si>
    <t>10360-3</t>
  </si>
  <si>
    <t>LIW: Insulation - Duct - R0 to R11 - SF - TE</t>
  </si>
  <si>
    <t>10361-4</t>
  </si>
  <si>
    <t>LIW: Insulation - Duct - R0 to R11 - SF - TG</t>
  </si>
  <si>
    <t>10364-2</t>
  </si>
  <si>
    <t>LIW: Insulation - Floor - R0 to R19 - SF - SH</t>
  </si>
  <si>
    <t>10365-7</t>
  </si>
  <si>
    <t>LIW: Insulation - Floor - R0 to R19 - SF - TE</t>
  </si>
  <si>
    <t>10366-2</t>
  </si>
  <si>
    <t>LIW: Insulation - Floor - R0 to R22 - MH - SH</t>
  </si>
  <si>
    <t>10367-6</t>
  </si>
  <si>
    <t>LIW: Insulation - Floor - R0 to R22 - MH - TE</t>
  </si>
  <si>
    <t>10368-6</t>
  </si>
  <si>
    <t>LIW: Insulation - Floor - R0 to R22 - MH - TG</t>
  </si>
  <si>
    <t>10370-5</t>
  </si>
  <si>
    <t>LIW: Insulation - Floor - R0 to R30 - MF - TE</t>
  </si>
  <si>
    <t>10372-1</t>
  </si>
  <si>
    <t>LIW: Insulation - Floor - R0 to R30 -  MH - SH</t>
  </si>
  <si>
    <t>10373-4</t>
  </si>
  <si>
    <t>LIW: Insulation - Floor - R0 to R30 - MH - TE</t>
  </si>
  <si>
    <t>10375-2</t>
  </si>
  <si>
    <t>LIW: Insulation - Floor - R0 to R30 - SF - SH</t>
  </si>
  <si>
    <t>10376-7</t>
  </si>
  <si>
    <t>LIW: Insulation - Floor - R0 to R30 - SF - TE</t>
  </si>
  <si>
    <t>10377-5</t>
  </si>
  <si>
    <t>LIW: Insulation - Floor - R0 to R30 - SF - TG</t>
  </si>
  <si>
    <t>10379-6</t>
  </si>
  <si>
    <t>LIW: Insulation - Floor - R11 to R22 - MH - TE</t>
  </si>
  <si>
    <t>10381-5</t>
  </si>
  <si>
    <t>LIW: Insulation - Floor - R11 to R30 - MF - TE</t>
  </si>
  <si>
    <t>10384-1</t>
  </si>
  <si>
    <t>LIW: Insulation - Wall - R0 to R11 - MF - SH</t>
  </si>
  <si>
    <t>10385-5</t>
  </si>
  <si>
    <t>LIW: Insulation - Wall - R0 to R11 - MF - TE</t>
  </si>
  <si>
    <t>10386-4</t>
  </si>
  <si>
    <t>LIW: Insulation - Wall - R0 to R11 - MF - TG</t>
  </si>
  <si>
    <t>10388-4</t>
  </si>
  <si>
    <t>LIW: Insulation - Wall - R0 to R11 - MH - TE</t>
  </si>
  <si>
    <t>10390-3</t>
  </si>
  <si>
    <t>LIW: Insulation - Wall - R0 to R11 - SF - SH</t>
  </si>
  <si>
    <t>10391-7</t>
  </si>
  <si>
    <t>LIW: Insulation - Wall - R0 to R11 - SF - TE</t>
  </si>
  <si>
    <t>10392-7</t>
  </si>
  <si>
    <t>LIW: Insulation - Wall - R0 to R11 - SF - TG</t>
  </si>
  <si>
    <t>10399-2</t>
  </si>
  <si>
    <t>LIW: Insulation - Attic - R0 to R30 - MH - SH</t>
  </si>
  <si>
    <t>10400-6</t>
  </si>
  <si>
    <t>LIW: Insulation - Attic - R0 to R30 - MH - TE</t>
  </si>
  <si>
    <t>10401-6</t>
  </si>
  <si>
    <t>LIW: Insulation - Attic - R0 to R30 - MH - TG</t>
  </si>
  <si>
    <t>10405-2</t>
  </si>
  <si>
    <t>LIW: Insulation - Attic - R0 to R38 - SF - SH</t>
  </si>
  <si>
    <t>10406-6</t>
  </si>
  <si>
    <t>LIW: Insulation - Attic - R0 to R38 - SF - TE</t>
  </si>
  <si>
    <t>10407-5</t>
  </si>
  <si>
    <t>LIW: Insulation - Attic - R0 to R38 - SF - TG</t>
  </si>
  <si>
    <t>10413-2</t>
  </si>
  <si>
    <t>LIW: Insulation - Attic - R11 to R38 - SF - SH</t>
  </si>
  <si>
    <t>10414-7</t>
  </si>
  <si>
    <t>LIW: Insulation - Attic - R11 to R38 - SF - TE</t>
  </si>
  <si>
    <t>10415-5</t>
  </si>
  <si>
    <t>LIW: Insulation - Attic - R11 to R38 - SF - TG</t>
  </si>
  <si>
    <t>10419-7</t>
  </si>
  <si>
    <t>LIW: Insulation - Attic - R19 to R38 - SF - TE</t>
  </si>
  <si>
    <t>10422-3</t>
  </si>
  <si>
    <t>LIW: Lamp - LED - A Lamp - MH - SH</t>
  </si>
  <si>
    <t>10423-5</t>
  </si>
  <si>
    <t>LIW: Lamp - LED - A Lamp - MH - TE</t>
  </si>
  <si>
    <t>10424-3</t>
  </si>
  <si>
    <t>LIW: Lamp - LED - A Lamp - SF - SH</t>
  </si>
  <si>
    <t>10425-5</t>
  </si>
  <si>
    <t>LIW: Lamp - LED - A Lamp - SF - TE</t>
  </si>
  <si>
    <t>10433-5</t>
  </si>
  <si>
    <t>LIW: Lamp - LED - Candelabra - SF - TE</t>
  </si>
  <si>
    <t>10449-1</t>
  </si>
  <si>
    <t>LIW: Door - Sweep - MH - TE</t>
  </si>
  <si>
    <t>10450-1</t>
  </si>
  <si>
    <t>LIW: Door - Sweep - SF - SH</t>
  </si>
  <si>
    <t>10451-1</t>
  </si>
  <si>
    <t>LIW: Door - Sweep - SF - TE</t>
  </si>
  <si>
    <t>10464-1</t>
  </si>
  <si>
    <t>LIW: Door - Weather Strip - MH - TE</t>
  </si>
  <si>
    <t>10465-1</t>
  </si>
  <si>
    <t>LIW: Door - Weather Strip - SF - SH</t>
  </si>
  <si>
    <t>10466-1</t>
  </si>
  <si>
    <t>LIW: Door - Weather Strip - SF - TE</t>
  </si>
  <si>
    <t>10468-6</t>
  </si>
  <si>
    <t>LIW: Ventilation - Whole House - MF - TE</t>
  </si>
  <si>
    <t>10470-6</t>
  </si>
  <si>
    <t>LIW: Ventilation - Whole House - MH - TE</t>
  </si>
  <si>
    <t>10471-2</t>
  </si>
  <si>
    <t>LIW: Ventilation - Whole House - SF - SH</t>
  </si>
  <si>
    <t>10472-6</t>
  </si>
  <si>
    <t>LIW: Ventilation - Whole House - SF - TE</t>
  </si>
  <si>
    <t>10474-1</t>
  </si>
  <si>
    <t>LIW: Ventilation - Mechanical - MF - TE</t>
  </si>
  <si>
    <t>10475-1</t>
  </si>
  <si>
    <t>LIW: Ventilation - Mechanical - MH - SH</t>
  </si>
  <si>
    <t>10476-1</t>
  </si>
  <si>
    <t>LIW: Ventilation - Mechanical - MH - TE</t>
  </si>
  <si>
    <t>10477-1</t>
  </si>
  <si>
    <t>LIW: Ventilation - Mechanical - SF - SH</t>
  </si>
  <si>
    <t>10478-1</t>
  </si>
  <si>
    <t>LIW: Ventilation - Mechanical - SF - TE</t>
  </si>
  <si>
    <t>10481-1</t>
  </si>
  <si>
    <t>LIW: Repair - Electrical - MH - SH</t>
  </si>
  <si>
    <t>10482-1</t>
  </si>
  <si>
    <t>LIW: Repair - Electrical - MH - TE</t>
  </si>
  <si>
    <t>10483-1</t>
  </si>
  <si>
    <t>LIW: Repair - Electrical - SF - SH</t>
  </si>
  <si>
    <t>10484-1</t>
  </si>
  <si>
    <t>LIW: Repair - Electrical - SF - TE</t>
  </si>
  <si>
    <t>10487-1</t>
  </si>
  <si>
    <t>LIW: Repair - Floor - MH - SH</t>
  </si>
  <si>
    <t>10488-1</t>
  </si>
  <si>
    <t>LIW: Repair - Floor - MH - TE</t>
  </si>
  <si>
    <t>10489-1</t>
  </si>
  <si>
    <t>LIW: Repair - Floor - SF - SH</t>
  </si>
  <si>
    <t>10490-1</t>
  </si>
  <si>
    <t>LIW: Repair - Floor - SF - TE</t>
  </si>
  <si>
    <t>10493-1</t>
  </si>
  <si>
    <t>LIW: Repair - Health - MH - SH</t>
  </si>
  <si>
    <t>10494-1</t>
  </si>
  <si>
    <t>LIW: Repair - Health - MH - TE</t>
  </si>
  <si>
    <t>10495-1</t>
  </si>
  <si>
    <t>LIW: Repair - Health - SF - SH</t>
  </si>
  <si>
    <t>10496-1</t>
  </si>
  <si>
    <t>LIW: Repair - Health - SF - TE</t>
  </si>
  <si>
    <t>10499-1</t>
  </si>
  <si>
    <t>LIW: Repair - Plumbing - MH - SH</t>
  </si>
  <si>
    <t>10500-1</t>
  </si>
  <si>
    <t>LIW: Repair - Plumbing - MH - TE</t>
  </si>
  <si>
    <t>10501-1</t>
  </si>
  <si>
    <t>LIW: Repair - Plumbing - SF - SH</t>
  </si>
  <si>
    <t>10502-1</t>
  </si>
  <si>
    <t>LIW: Repair - Plumbing - SF - TE</t>
  </si>
  <si>
    <t>10505-1</t>
  </si>
  <si>
    <t>LIW: Repair - Roof - MH - SH</t>
  </si>
  <si>
    <t>10507-1</t>
  </si>
  <si>
    <t>LIW: Repair - Roof - SF - SH</t>
  </si>
  <si>
    <t>10508-1</t>
  </si>
  <si>
    <t>LIW: Repair - Roof - SF - TE</t>
  </si>
  <si>
    <t>10511-1</t>
  </si>
  <si>
    <t>LIW: Repair - Structural - MH - SH</t>
  </si>
  <si>
    <t>10512-1</t>
  </si>
  <si>
    <t>LIW: Repair - Structural - MH - TE</t>
  </si>
  <si>
    <t>10513-1</t>
  </si>
  <si>
    <t>LIW: Repair - Structural - SF - SH</t>
  </si>
  <si>
    <t>10514-1</t>
  </si>
  <si>
    <t>LIW: Repair - Structural - SF - TE</t>
  </si>
  <si>
    <t>10516-1</t>
  </si>
  <si>
    <t>LIW: Sealing - Air - Bath Fan Timer - MF - TE</t>
  </si>
  <si>
    <t>10517-1</t>
  </si>
  <si>
    <t>LIW: Sealing - Air - Ceiling - MF - SH</t>
  </si>
  <si>
    <t>10518-2</t>
  </si>
  <si>
    <t>LIW: Sealing - Air - Ceiling - MF - TE</t>
  </si>
  <si>
    <t>10520-1</t>
  </si>
  <si>
    <t>LIW: Sealing - Air - Door Kit - MF - TE</t>
  </si>
  <si>
    <t>10522-2</t>
  </si>
  <si>
    <t>LIW: Sealing - Air - Floor - MF - TE</t>
  </si>
  <si>
    <t>10523-1</t>
  </si>
  <si>
    <t>LIW: Sealing - Air - Mech Vent - MF - SH</t>
  </si>
  <si>
    <t>10524-6</t>
  </si>
  <si>
    <t>LIW: Sealing - Air - Mech Vent - MF - TE</t>
  </si>
  <si>
    <t>10526-1</t>
  </si>
  <si>
    <t>LIW: Sealing - Air - Recd Can Cover - MF - TE</t>
  </si>
  <si>
    <t>10528-2</t>
  </si>
  <si>
    <t>LIW: Sealing - Air - Walls - MF - TE</t>
  </si>
  <si>
    <t>10530-5</t>
  </si>
  <si>
    <t>LIW: Sealing - Shell - MH - TE</t>
  </si>
  <si>
    <t>10531-6</t>
  </si>
  <si>
    <t>LIW: Sealing - Shell - MH - TG</t>
  </si>
  <si>
    <t>10532-2</t>
  </si>
  <si>
    <t>LIW: Sealing - Shell - SF - SH</t>
  </si>
  <si>
    <t>10533-7</t>
  </si>
  <si>
    <t>LIW: Sealing - Shell - SF - TE</t>
  </si>
  <si>
    <t>10534-6</t>
  </si>
  <si>
    <t>LIW: Sealing - Shell - SF - TG</t>
  </si>
  <si>
    <t>10556-4</t>
  </si>
  <si>
    <t>LIW: Insulation - Water Heater Pipe - MF - TE</t>
  </si>
  <si>
    <t>10558-1</t>
  </si>
  <si>
    <t>LIW: Insulation - Water Heater Pipe - MH - SH</t>
  </si>
  <si>
    <t>10559-4</t>
  </si>
  <si>
    <t>LIW: Insulation - Water Heater Pipe - MH - TE</t>
  </si>
  <si>
    <t>10560-4</t>
  </si>
  <si>
    <t>LIW: Insulation - Water Heater Pipe - MH - TG</t>
  </si>
  <si>
    <t>10561-1</t>
  </si>
  <si>
    <t>LIW: Insulation - Water Heater Pipe - SF - SH</t>
  </si>
  <si>
    <t>10562-4</t>
  </si>
  <si>
    <t>LIW: Insulation - Water Heater Pipe - SF - TE</t>
  </si>
  <si>
    <t>10563-4</t>
  </si>
  <si>
    <t>LIW: Insulation - Water Heater Pipe - SF - TG</t>
  </si>
  <si>
    <t>10566-1</t>
  </si>
  <si>
    <t>LIW: Repair - Water Heater - MH - SH</t>
  </si>
  <si>
    <t>10572-1</t>
  </si>
  <si>
    <t>LIW: Water Heater - Replacement - MH - SH</t>
  </si>
  <si>
    <t>10574-1</t>
  </si>
  <si>
    <t>LIW: Water Heater - Replacement - SF - SH</t>
  </si>
  <si>
    <t>10579-1</t>
  </si>
  <si>
    <t>LIW: Water Heater - Wrap - MH - TE</t>
  </si>
  <si>
    <t>10580-1</t>
  </si>
  <si>
    <t>LIW: Water Heater - Wrap - SF - SH</t>
  </si>
  <si>
    <t>10581-1</t>
  </si>
  <si>
    <t>LIW: Water Heater - Wrap - SF - TE</t>
  </si>
  <si>
    <t>10588-2</t>
  </si>
  <si>
    <t>LIW: Windows - DP to DP - MH - SH</t>
  </si>
  <si>
    <t>10589-5</t>
  </si>
  <si>
    <t>LIW: Windows - DP to DP - MH - TE</t>
  </si>
  <si>
    <t>10590-2</t>
  </si>
  <si>
    <t>LIW: Windows - DP to DP - SF - SH</t>
  </si>
  <si>
    <t>10591-6</t>
  </si>
  <si>
    <t>LIW: Windows - DP to DP - SF - TE</t>
  </si>
  <si>
    <t>10594-2</t>
  </si>
  <si>
    <t>LIW: Windows - SP to DP - MH - SH</t>
  </si>
  <si>
    <t>10595-6</t>
  </si>
  <si>
    <t>LIW: Windows - SP to DP - MH - TE</t>
  </si>
  <si>
    <t>10596-2</t>
  </si>
  <si>
    <t>LIW: Windows - SP to DP - SF - SH</t>
  </si>
  <si>
    <t>10630-1</t>
  </si>
  <si>
    <t>LIW: Insulation - Attic - R0 to R49 - MF - SH</t>
  </si>
  <si>
    <t>10631-5</t>
  </si>
  <si>
    <t>LIW: Insulation - Attic - R0 to R49 - MF - TE</t>
  </si>
  <si>
    <t>10633-1</t>
  </si>
  <si>
    <t>LIW: Insulation - Attic - R0 to R49 - SF - SH</t>
  </si>
  <si>
    <t>10634-5</t>
  </si>
  <si>
    <t>LIW: Insulation - Attic - R0 to R49 - SF - TE</t>
  </si>
  <si>
    <t>10635-5</t>
  </si>
  <si>
    <t>LIW: Insulation - Attic - R0 to R49 - SF - TG</t>
  </si>
  <si>
    <t>10636-1</t>
  </si>
  <si>
    <t>LIW: Insulation - Attic - R11 to R49 - SF - SH</t>
  </si>
  <si>
    <t>10637-6</t>
  </si>
  <si>
    <t>LIW: Insulation - Attic - R11 to R49 - SF - TE</t>
  </si>
  <si>
    <t>10638-5</t>
  </si>
  <si>
    <t>LIW: Insulation - Attic - R11 to R49 - SF - TG</t>
  </si>
  <si>
    <t>10640-4</t>
  </si>
  <si>
    <t>LIW: Insulation - Attic - R19 to R49 - MF - TE</t>
  </si>
  <si>
    <t>10647-6</t>
  </si>
  <si>
    <t>LIW: Aerator - 1.5 gpm- MH - TE</t>
  </si>
  <si>
    <t>10650-5</t>
  </si>
  <si>
    <t>LIW: Aerator - 1.5 gpm - SF - TE</t>
  </si>
  <si>
    <t>10669-3</t>
  </si>
  <si>
    <t>LIW: Lamp - LED - Globe - MH - TE</t>
  </si>
  <si>
    <t>10671-3</t>
  </si>
  <si>
    <t>LIW: Lamp - LED - Globe - SF - TE</t>
  </si>
  <si>
    <t>10682-1</t>
  </si>
  <si>
    <t>LIW: Ventilation - Energy Recovery - SIR - MF - SH</t>
  </si>
  <si>
    <t>10683-1</t>
  </si>
  <si>
    <t>LIW: Ventilation - Energy Recovery - SIR - MF - TE</t>
  </si>
  <si>
    <t>10684-1</t>
  </si>
  <si>
    <t>LIW: Insulation - Slab On Grade - SIR - MF - SH</t>
  </si>
  <si>
    <t>10685-1</t>
  </si>
  <si>
    <t>LIW: Insulation - Slab On Grade - SIR - MF - TE</t>
  </si>
  <si>
    <t>10691-4</t>
  </si>
  <si>
    <t>LIW: Ductless Heat Pump - MF - TE</t>
  </si>
  <si>
    <t>12217-1</t>
  </si>
  <si>
    <t>LIW: Safety Test - Combustion - SF - TG</t>
  </si>
  <si>
    <t>12219-3</t>
  </si>
  <si>
    <t>LIW: Showerhead - 1.5 - SF - TE</t>
  </si>
  <si>
    <t>12220-5</t>
  </si>
  <si>
    <t>LIW: Insulation - Attic - R0 to R22 - MH - TE</t>
  </si>
  <si>
    <t>12223-1</t>
  </si>
  <si>
    <t>LIW: Ventilation - Mechanical - SF - TG</t>
  </si>
  <si>
    <t>12224-1</t>
  </si>
  <si>
    <t>LIW: Smoke Detector - SF - TG</t>
  </si>
  <si>
    <t>12225-1</t>
  </si>
  <si>
    <t>LIW: Repair - Furnace - SF - TG</t>
  </si>
  <si>
    <t>12292-1</t>
  </si>
  <si>
    <t>LIW: Repair - Health - SF - TG</t>
  </si>
  <si>
    <t>12293-1</t>
  </si>
  <si>
    <t>LIW: Repair - Electrical - SF - TG</t>
  </si>
  <si>
    <t>12295-3</t>
  </si>
  <si>
    <t>LIW: Showerhead - 1.5 - MH - TE</t>
  </si>
  <si>
    <t>12306-1</t>
  </si>
  <si>
    <t>LIW: Door - Weather Strip - SF - TG</t>
  </si>
  <si>
    <t>12307-1</t>
  </si>
  <si>
    <t>LIW: Boiler - SIR - MF - TG</t>
  </si>
  <si>
    <t>12309-1</t>
  </si>
  <si>
    <t>LIW: Boiler - SIR - MF - SH</t>
  </si>
  <si>
    <t>12311-1</t>
  </si>
  <si>
    <t>LIW: Ground Vapor Barrier - SF - TG</t>
  </si>
  <si>
    <t>12315-1</t>
  </si>
  <si>
    <t>LIW: Repair - Floor - SF - TG</t>
  </si>
  <si>
    <t>12401-3</t>
  </si>
  <si>
    <t>LIW: Lamp - LED - MR16 - SF - TE</t>
  </si>
  <si>
    <t>12409-3</t>
  </si>
  <si>
    <t>LIW: Thermostat - ELV - MF - TE</t>
  </si>
  <si>
    <t>12419-1</t>
  </si>
  <si>
    <t>LIW: Thermostat - ESS - SF - SH</t>
  </si>
  <si>
    <t>12421-3</t>
  </si>
  <si>
    <t>LIW: Thermostat - ESS - SF - TG</t>
  </si>
  <si>
    <t>12558-1</t>
  </si>
  <si>
    <t>LIW: Repair - Roof - SF - TG</t>
  </si>
  <si>
    <t>12606-1</t>
  </si>
  <si>
    <t>LIW: Carbon Monoxide Detector - SF - TG</t>
  </si>
  <si>
    <t>12608-1</t>
  </si>
  <si>
    <t>LIW: Repair - Plumbing - SF - TG</t>
  </si>
  <si>
    <t>12609-1</t>
  </si>
  <si>
    <t>LIW: Repair - Structural - SF - TG</t>
  </si>
  <si>
    <t>12648-3</t>
  </si>
  <si>
    <t>LIW: Windows - SP to DP - SF - TG</t>
  </si>
  <si>
    <t>12722-3</t>
  </si>
  <si>
    <t>LIW: Water Heater - Storage - Energy Star - SF - TG</t>
  </si>
  <si>
    <t>12726-3</t>
  </si>
  <si>
    <t>LIW: Water Heater - Tankless - Energy Star - MH - TG</t>
  </si>
  <si>
    <t>12728-3</t>
  </si>
  <si>
    <t>LIW: Water Heater - Tankless - Energy Star - SF - TG</t>
  </si>
  <si>
    <t>12819-1</t>
  </si>
  <si>
    <t>LIW: Heat Pump - MH - SH</t>
  </si>
  <si>
    <t>12820-3</t>
  </si>
  <si>
    <t>LIW: Heat Pump - MH - TE</t>
  </si>
  <si>
    <t>12821-1</t>
  </si>
  <si>
    <t>LIW: Heat Pump - SF - SH</t>
  </si>
  <si>
    <t>12822-3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</si>
  <si>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</si>
  <si>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</si>
  <si>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</si>
  <si>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</si>
  <si>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</si>
  <si>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12961-1</t>
  </si>
  <si>
    <t>LIW: Ventilation - Mechanical - MF - TG</t>
  </si>
  <si>
    <t>13009-1</t>
  </si>
  <si>
    <t>LIW: Sealing - Air - SIR - MF - TE</t>
  </si>
  <si>
    <t>13011-1</t>
  </si>
  <si>
    <t>LIW: Sealing - Air - SIR - MH - TE</t>
  </si>
  <si>
    <t>13141-1</t>
  </si>
  <si>
    <t>LIW: Program Support - MF - SH</t>
  </si>
  <si>
    <t>13179-1</t>
  </si>
  <si>
    <t>LIW: Door - Sweep - SF - TG</t>
  </si>
  <si>
    <t>13297-1</t>
  </si>
  <si>
    <t>LIW: Repair and Maintenance - HVAC - MH - TE</t>
  </si>
  <si>
    <t>13298-1</t>
  </si>
  <si>
    <t>LIW: Repair and Maintenance - HVAC - SF - SH</t>
  </si>
  <si>
    <t>13299-1</t>
  </si>
  <si>
    <t>LIW: Repair and Maintenance - HVAC - SF - TE</t>
  </si>
  <si>
    <t>13300-1</t>
  </si>
  <si>
    <t>LIW: Repair and Maintenance - HVAC - MH - SH</t>
  </si>
  <si>
    <t>13330-1</t>
  </si>
  <si>
    <t>LIW: Insulation - SIR - MH - TE</t>
  </si>
  <si>
    <t>13333-1</t>
  </si>
  <si>
    <t>LIW: Insulation - SIR - MF - TG</t>
  </si>
  <si>
    <t>13334-1</t>
  </si>
  <si>
    <t>LIW: Insulation - SIR - MF - SH</t>
  </si>
  <si>
    <t>13335-1</t>
  </si>
  <si>
    <t>LIW: Repair - Structural - MF - TG</t>
  </si>
  <si>
    <t>13336-1</t>
  </si>
  <si>
    <t>LIW: Ductless Heat Pump - SIR - MH - TE</t>
  </si>
  <si>
    <t>Residential Midstream HVAC and Water Heat</t>
  </si>
  <si>
    <t>12853-1</t>
  </si>
  <si>
    <t>Heat Pump - Ductless - Tier 1 - Less than 65 kBtuh - EH - Res - EX</t>
  </si>
  <si>
    <t>12853-2</t>
  </si>
  <si>
    <t>12854-1</t>
  </si>
  <si>
    <t>Heat Pump - Ductless - Tier 1 - Less than 65 kBtuh - EH - Res - NC</t>
  </si>
  <si>
    <t>12854-2</t>
  </si>
  <si>
    <t>12856-1</t>
  </si>
  <si>
    <t>Heat Pump - Ductless - Tier 2 - Less than 65 kBtuh - EH - Res - EX</t>
  </si>
  <si>
    <t>12856-2</t>
  </si>
  <si>
    <t>12857-1</t>
  </si>
  <si>
    <t>Heat Pump - Ductless - Tier 2 - Less than 65 kBtuh - EH - Res - NC</t>
  </si>
  <si>
    <t>12857-2</t>
  </si>
  <si>
    <t>12859-2</t>
  </si>
  <si>
    <t>Heat Pump - Packaged - Tier 1 - Less than 65 kBtuh - EH - Res - EX</t>
  </si>
  <si>
    <t>12865-1</t>
  </si>
  <si>
    <t>Heat Pump - Split - Tier 1 - Less than 65 kBtuh - EH - Res - EX</t>
  </si>
  <si>
    <t>12865-2</t>
  </si>
  <si>
    <t>12866-1</t>
  </si>
  <si>
    <t>Heat Pump - Split - Tier 1 - Less than 65 kBtuh - EH - Res - NC</t>
  </si>
  <si>
    <t>12868-1</t>
  </si>
  <si>
    <t>Heat Pump - Split - Tier 2 - Less than 65 kBtuh - EH - Res - EX</t>
  </si>
  <si>
    <t>12868-2</t>
  </si>
  <si>
    <t>12869-1</t>
  </si>
  <si>
    <t>Heat Pump - Split - Tier 2 - Less than 65 kBtuh - EH - Res - NC</t>
  </si>
  <si>
    <t>12869-2</t>
  </si>
  <si>
    <t>12871-1</t>
  </si>
  <si>
    <t>Water Heater - Heat Pump - EH - Res</t>
  </si>
  <si>
    <t>12894-1</t>
  </si>
  <si>
    <t>Incentive - Sales - Distributor - EH or EWH - Res</t>
  </si>
  <si>
    <t>12894-2</t>
  </si>
  <si>
    <t>13283-1</t>
  </si>
  <si>
    <t>Water Heater - Heat Pump - NEEA Specs - Tier 3 or 4 - EH - Res - EX</t>
  </si>
  <si>
    <t>13284-1</t>
  </si>
  <si>
    <t>Water Heater - Heat Pump - NEEA Specs - Tier 4 - EH - Res - NC</t>
  </si>
  <si>
    <t>13292-1</t>
  </si>
  <si>
    <t>Incentive - Sales - Contractor - EH or EWH - Res</t>
  </si>
  <si>
    <t>12999-1</t>
  </si>
  <si>
    <t>Savings Tracking - kWh</t>
  </si>
  <si>
    <t>10045-1</t>
  </si>
  <si>
    <t>Conservation Voltage Reduction - Custom</t>
  </si>
  <si>
    <t>13527-1</t>
  </si>
  <si>
    <t>Energy Display - Res - E or C</t>
  </si>
  <si>
    <t>12660-2</t>
  </si>
  <si>
    <t>12670-1</t>
  </si>
  <si>
    <t>Furnace - 95pc - GH - Res - MI</t>
  </si>
  <si>
    <t>12670-2</t>
  </si>
  <si>
    <t>12680-1</t>
  </si>
  <si>
    <t>Boiler - Energy Star - 95pc AFUE - GH - Res</t>
  </si>
  <si>
    <t>12680-2</t>
  </si>
  <si>
    <t>13223-1</t>
  </si>
  <si>
    <t>Furnace - 95pc - GH - MH</t>
  </si>
  <si>
    <t>13321-1</t>
  </si>
  <si>
    <t>Incentive - Add On - Furnace - GH - SF or DX</t>
  </si>
  <si>
    <t>13322-1</t>
  </si>
  <si>
    <t>Incentive - Add On - Furnace - GH - SF or DX - MI</t>
  </si>
  <si>
    <t>13323-1</t>
  </si>
  <si>
    <t>Furnace - 95pc - GH - Res - Contractor</t>
  </si>
  <si>
    <t>SMB Virtual Commissioning</t>
  </si>
  <si>
    <t>Commercial Foodservice</t>
  </si>
  <si>
    <t>Industrial Optimization</t>
  </si>
  <si>
    <t>Telecommunications Efficiency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</si>
  <si>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2022-2023</t>
    </r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</si>
  <si>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2022-2023</t>
    </r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</si>
  <si>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</si>
  <si>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</si>
  <si>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Exhibit 2: 2022 Annual Cost Effectiveness Estimates</t>
  </si>
  <si>
    <t xml:space="preserve">2022 Electric Cost-Effectiveness Tests:  </t>
  </si>
  <si>
    <t xml:space="preserve">2022 Gas Cost-Effectiveness Tests: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</si>
</sst>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42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7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0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1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2" fillId="6" borderId="29" xfId="0" applyFont="1" applyFill="1" applyBorder="1" applyAlignment="1" applyProtection="1">
      <alignment horizontal="center" vertical="top" wrapText="1"/>
    </xf>
    <xf numFmtId="0" fontId="22" fillId="6" borderId="29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Fill="1" applyBorder="1" applyAlignment="1" applyProtection="1"/>
    <xf numFmtId="0" fontId="22" fillId="0" borderId="11" xfId="0" applyFont="1" applyFill="1" applyBorder="1" applyAlignment="1" applyProtection="1"/>
    <xf numFmtId="0" fontId="22" fillId="0" borderId="11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/>
    <xf numFmtId="0" fontId="22" fillId="0" borderId="0" xfId="0" applyFont="1" applyAlignment="1" applyProtection="1"/>
    <xf numFmtId="0" fontId="24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4" fillId="0" borderId="31" xfId="0" applyNumberFormat="1" applyFont="1" applyFill="1" applyBorder="1" applyProtection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 applyProtection="1"/>
    <xf numFmtId="1" fontId="24" fillId="14" borderId="31" xfId="16" applyNumberFormat="1" applyFont="1" applyFill="1" applyBorder="1" applyAlignment="1" applyProtection="1">
      <alignment horizontal="center"/>
    </xf>
    <xf numFmtId="169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9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4" fillId="0" borderId="0" xfId="0" applyNumberFormat="1" applyFont="1" applyFill="1" applyProtection="1"/>
    <xf numFmtId="170" fontId="26" fillId="15" borderId="31" xfId="0" applyNumberFormat="1" applyFont="1" applyFill="1" applyBorder="1" applyProtection="1"/>
    <xf numFmtId="2" fontId="26" fillId="15" borderId="31" xfId="0" applyNumberFormat="1" applyFont="1" applyFill="1" applyBorder="1" applyProtection="1"/>
    <xf numFmtId="170" fontId="26" fillId="15" borderId="31" xfId="16" applyNumberFormat="1" applyFont="1" applyFill="1" applyBorder="1" applyAlignment="1" applyProtection="1">
      <alignment horizontal="center"/>
    </xf>
    <xf numFmtId="170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6" fillId="15" borderId="0" xfId="0" applyNumberFormat="1" applyFont="1" applyFill="1" applyBorder="1" applyProtection="1"/>
    <xf numFmtId="2" fontId="26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1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 applyProtection="1"/>
    <xf numFmtId="2" fontId="24" fillId="0" borderId="33" xfId="0" applyNumberFormat="1" applyFont="1" applyFill="1" applyBorder="1" applyProtection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6" fillId="15" borderId="26" xfId="0" applyFont="1" applyFill="1" applyBorder="1" applyProtection="1"/>
    <xf numFmtId="0" fontId="26" fillId="15" borderId="26" xfId="16" applyNumberFormat="1" applyFont="1" applyFill="1" applyBorder="1" applyAlignment="1" applyProtection="1">
      <alignment horizontal="center"/>
    </xf>
    <xf numFmtId="169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6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1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20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1" fillId="0" borderId="0" xfId="0" applyFont="1" applyFill="1" applyProtection="1"/>
    <xf numFmtId="0" fontId="20" fillId="2" borderId="38" xfId="0" applyFont="1" applyFill="1" applyBorder="1" applyAlignment="1" applyProtection="1">
      <alignment horizontal="left"/>
    </xf>
    <xf numFmtId="0" fontId="20" fillId="2" borderId="19" xfId="0" applyFont="1" applyFill="1" applyBorder="1" applyProtection="1"/>
    <xf numFmtId="2" fontId="20" fillId="2" borderId="19" xfId="16" applyNumberFormat="1" applyFont="1" applyFill="1" applyBorder="1" applyAlignment="1" applyProtection="1">
      <alignment horizontal="center"/>
    </xf>
    <xf numFmtId="169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7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1" fillId="6" borderId="19" xfId="0" applyFont="1" applyFill="1" applyBorder="1" applyAlignment="1" applyProtection="1">
      <alignment horizontal="center" vertical="top" wrapText="1"/>
    </xf>
    <xf numFmtId="42" fontId="21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1" fillId="0" borderId="0" xfId="0" applyFont="1" applyProtection="1"/>
    <xf numFmtId="0" fontId="22" fillId="0" borderId="0" xfId="0" applyFont="1" applyFill="1" applyProtection="1"/>
    <xf numFmtId="0" fontId="28" fillId="0" borderId="0" xfId="5" applyFont="1" applyFill="1" applyAlignment="1" applyProtection="1">
      <alignment wrapText="1"/>
    </xf>
    <xf numFmtId="0" fontId="22" fillId="0" borderId="0" xfId="0" applyFont="1" applyFill="1" applyBorder="1" applyProtection="1"/>
    <xf numFmtId="0" fontId="22" fillId="0" borderId="0" xfId="0" applyFont="1" applyProtection="1"/>
    <xf numFmtId="0" fontId="2" fillId="0" borderId="0" xfId="5" applyAlignment="1" applyProtection="1">
      <alignment wrapText="1"/>
    </xf>
    <xf numFmtId="0" fontId="23" fillId="0" borderId="11" xfId="0" applyFont="1" applyFill="1" applyBorder="1" applyAlignment="1" applyProtection="1">
      <alignment horizontal="left"/>
    </xf>
    <xf numFmtId="0" fontId="23" fillId="0" borderId="19" xfId="0" applyFont="1" applyFill="1" applyBorder="1" applyAlignment="1" applyProtection="1">
      <alignment horizontal="left"/>
    </xf>
    <xf numFmtId="0" fontId="21" fillId="10" borderId="19" xfId="0" applyFont="1" applyFill="1" applyBorder="1" applyAlignment="1" applyProtection="1">
      <alignment horizontal="center"/>
    </xf>
    <xf numFmtId="169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6" fillId="20" borderId="32" xfId="18" applyNumberFormat="1" applyFont="1" applyFill="1" applyBorder="1" applyAlignment="1" applyProtection="1">
      <alignment horizontal="right"/>
    </xf>
    <xf numFmtId="3" fontId="26" fillId="20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6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Fill="1" applyAlignment="1" applyProtection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right"/>
    </xf>
    <xf numFmtId="3" fontId="26" fillId="15" borderId="32" xfId="18" applyNumberFormat="1" applyFont="1" applyFill="1" applyBorder="1" applyAlignment="1" applyProtection="1">
      <alignment horizontal="center"/>
    </xf>
    <xf numFmtId="164" fontId="26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6" fillId="15" borderId="32" xfId="18" applyNumberFormat="1" applyFont="1" applyFill="1" applyBorder="1" applyAlignment="1" applyProtection="1">
      <alignment horizontal="right"/>
    </xf>
    <xf numFmtId="164" fontId="26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0" fillId="2" borderId="19" xfId="18" applyNumberFormat="1" applyFont="1" applyFill="1" applyBorder="1" applyProtection="1"/>
    <xf numFmtId="164" fontId="20" fillId="2" borderId="19" xfId="19" applyNumberFormat="1" applyFont="1" applyFill="1" applyBorder="1" applyProtection="1"/>
    <xf numFmtId="164" fontId="20" fillId="2" borderId="19" xfId="19" applyNumberFormat="1" applyFont="1" applyFill="1" applyBorder="1" applyAlignment="1" applyProtection="1">
      <alignment horizontal="right"/>
    </xf>
    <xf numFmtId="2" fontId="20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1" fillId="6" borderId="38" xfId="0" applyFont="1" applyFill="1" applyBorder="1" applyAlignment="1" applyProtection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top" wrapText="1"/>
    </xf>
    <xf numFmtId="0" fontId="21" fillId="6" borderId="0" xfId="0" applyFont="1" applyFill="1" applyBorder="1" applyAlignment="1" applyProtection="1">
      <alignment horizontal="center" vertical="top" wrapText="1"/>
    </xf>
    <xf numFmtId="0" fontId="29" fillId="0" borderId="0" xfId="0" applyFont="1"/>
    <xf numFmtId="0" fontId="30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1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 applyFill="1" applyBorder="1"/>
    <xf numFmtId="0" fontId="26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6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0" fontId="26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6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Fill="1" applyBorder="1"/>
    <xf numFmtId="3" fontId="26" fillId="0" borderId="58" xfId="0" applyNumberFormat="1" applyFont="1" applyFill="1" applyBorder="1"/>
    <xf numFmtId="164" fontId="26" fillId="0" borderId="58" xfId="0" applyNumberFormat="1" applyFont="1" applyFill="1" applyBorder="1"/>
    <xf numFmtId="43" fontId="26" fillId="0" borderId="58" xfId="0" applyNumberFormat="1" applyFont="1" applyFill="1" applyBorder="1"/>
    <xf numFmtId="43" fontId="26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6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173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 applyFill="1" applyBorder="1" applyProtection="1"/>
    <xf numFmtId="0" fontId="0" fillId="5" borderId="0" xfId="0" applyFill="1"/>
    <xf numFmtId="0" fontId="1" fillId="5" borderId="0" xfId="3" applyFont="1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9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4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64"/>
  <sheetViews>
    <sheetView tabSelected="1" zoomScale="70" zoomScaleNormal="70" workbookViewId="0">
      <selection activeCell="C51" sqref="C51"/>
    </sheetView>
  </sheetViews>
  <sheetFormatPr defaultRowHeight="14.5" x14ac:dyDescent="0.35"/>
  <cols>
    <col min="1" max="1" width="3.54296875" customWidth="1"/>
    <col min="2" max="2" width="59.54296875" customWidth="1"/>
    <col min="3" max="3" width="20.81640625" customWidth="1"/>
    <col min="4" max="4" width="16.453125" customWidth="1"/>
    <col min="5" max="5" width="21.1796875" customWidth="1"/>
    <col min="6" max="6" width="11.7265625" customWidth="1"/>
    <col min="8" max="8" width="2.453125" customWidth="1"/>
    <col min="9" max="9" width="3" customWidth="1"/>
    <col min="10" max="10" width="61.81640625" customWidth="1"/>
    <col min="11" max="11" width="21.81640625" customWidth="1"/>
    <col min="12" max="12" width="17" customWidth="1"/>
    <col min="13" max="13" width="16.81640625" customWidth="1"/>
  </cols>
  <sheetData>
    <row r="1" spans="2:16" ht="18" x14ac:dyDescent="0.4">
      <c r="B1" s="394" t="s">
        <v>2201</v>
      </c>
    </row>
    <row r="2" spans="2:16" ht="17.5" x14ac:dyDescent="0.35">
      <c r="B2" s="395" t="s">
        <v>467</v>
      </c>
    </row>
    <row r="4" spans="2:16" ht="15" thickBot="1" x14ac:dyDescent="0.4">
      <c r="B4" s="131" t="s">
        <v>468</v>
      </c>
      <c r="J4" s="131" t="s">
        <v>469</v>
      </c>
      <c r="O4" s="396"/>
    </row>
    <row r="5" spans="2:16" ht="42.5" thickBot="1" x14ac:dyDescent="0.4">
      <c r="B5" s="397" t="s">
        <v>470</v>
      </c>
      <c r="C5" s="398" t="s">
        <v>471</v>
      </c>
      <c r="D5" s="398" t="s">
        <v>472</v>
      </c>
      <c r="E5" s="398" t="s">
        <v>473</v>
      </c>
      <c r="F5" s="398" t="s">
        <v>474</v>
      </c>
      <c r="G5" s="399" t="s">
        <v>475</v>
      </c>
      <c r="H5" s="400"/>
      <c r="J5" s="397" t="s">
        <v>470</v>
      </c>
      <c r="K5" s="398" t="s">
        <v>471</v>
      </c>
      <c r="L5" s="398" t="s">
        <v>472</v>
      </c>
      <c r="M5" s="398" t="s">
        <v>473</v>
      </c>
      <c r="N5" s="398" t="s">
        <v>474</v>
      </c>
      <c r="O5" s="399" t="s">
        <v>476</v>
      </c>
    </row>
    <row r="6" spans="2:16" ht="15" thickTop="1" x14ac:dyDescent="0.35">
      <c r="B6" s="401" t="s">
        <v>367</v>
      </c>
      <c r="C6" s="402">
        <f>'Electric CE'!H6</f>
        <v>1372184.51</v>
      </c>
      <c r="D6" s="403">
        <f>'Electric CE'!N6</f>
        <v>4686624.84</v>
      </c>
      <c r="E6" s="403">
        <f>'Electric CE'!T6</f>
        <v>1592427.1745396184</v>
      </c>
      <c r="F6" s="404">
        <f>'Electric CE'!U6</f>
        <v>0.54593184344658652</v>
      </c>
      <c r="G6" s="405">
        <f>'Electric CE'!V6</f>
        <v>0.8795695705996045</v>
      </c>
      <c r="H6" s="406"/>
      <c r="J6" s="401" t="s">
        <v>367</v>
      </c>
      <c r="K6" s="402">
        <f>'Gas CE'!H6</f>
        <v>27669.98</v>
      </c>
      <c r="L6" s="403">
        <f>'Gas CE'!N6</f>
        <v>1354181.8</v>
      </c>
      <c r="M6" s="403">
        <f>'Gas CE'!T6</f>
        <v>313832.91040070547</v>
      </c>
      <c r="N6" s="404">
        <f>'Gas CE'!U6</f>
        <v>0.39206923777934843</v>
      </c>
      <c r="O6" s="405">
        <f>'Gas CE'!V6</f>
        <v>0.52894397837606655</v>
      </c>
      <c r="P6" s="406"/>
    </row>
    <row r="7" spans="2:16" x14ac:dyDescent="0.35">
      <c r="B7" s="401"/>
      <c r="C7" s="402"/>
      <c r="D7" s="403"/>
      <c r="E7" s="403"/>
      <c r="F7" s="407"/>
      <c r="G7" s="408" t="s">
        <v>477</v>
      </c>
      <c r="H7" s="406"/>
      <c r="I7" s="396"/>
      <c r="J7" s="401"/>
      <c r="K7" s="402"/>
      <c r="L7" s="403"/>
      <c r="M7" s="403"/>
      <c r="N7" s="407"/>
      <c r="O7" s="408" t="s">
        <v>477</v>
      </c>
      <c r="P7" s="406"/>
    </row>
    <row r="8" spans="2:16" x14ac:dyDescent="0.35">
      <c r="B8" s="401" t="s">
        <v>542</v>
      </c>
      <c r="C8" s="402">
        <f>'Electric CE'!H7</f>
        <v>81456036.330000013</v>
      </c>
      <c r="D8" s="403">
        <f>'Electric CE'!N7</f>
        <v>18414410.149999999</v>
      </c>
      <c r="E8" s="403">
        <f>'Electric CE'!T7</f>
        <v>5355649.0472577037</v>
      </c>
      <c r="F8" s="407">
        <f>'Electric CE'!U7</f>
        <v>2.8976088532710618</v>
      </c>
      <c r="G8" s="409">
        <f>'Electric CE'!V7</f>
        <v>2.3956735859729861</v>
      </c>
      <c r="H8" s="406"/>
      <c r="J8" s="401" t="s">
        <v>543</v>
      </c>
      <c r="K8" s="402">
        <f>'Gas CE'!H7</f>
        <v>2647911.5799999936</v>
      </c>
      <c r="L8" s="403">
        <f>'Gas CE'!N7</f>
        <v>9312876.0399999991</v>
      </c>
      <c r="M8" s="403">
        <f>'Gas CE'!T7</f>
        <v>3532853.9570566798</v>
      </c>
      <c r="N8" s="407">
        <f>'Gas CE'!U7</f>
        <v>2.1573125671660294</v>
      </c>
      <c r="O8" s="409">
        <f>'Gas CE'!V7</f>
        <v>1.3436974792655516</v>
      </c>
      <c r="P8" s="406"/>
    </row>
    <row r="9" spans="2:16" x14ac:dyDescent="0.35">
      <c r="B9" s="533" t="s">
        <v>370</v>
      </c>
      <c r="C9" s="529">
        <f>'Electric CE'!H8</f>
        <v>922369.00000000512</v>
      </c>
      <c r="D9" s="530">
        <f>'Electric CE'!N8</f>
        <v>1149355.93</v>
      </c>
      <c r="E9" s="530">
        <f>'Electric CE'!T8</f>
        <v>0</v>
      </c>
      <c r="F9" s="531">
        <f>'Electric CE'!U8</f>
        <v>0.92845142200327824</v>
      </c>
      <c r="G9" s="532">
        <f>'Electric CE'!V8</f>
        <v>2.2862934463419533</v>
      </c>
      <c r="H9" s="410"/>
      <c r="J9" s="533" t="s">
        <v>478</v>
      </c>
      <c r="K9" s="529">
        <f>'Gas CE'!H8</f>
        <v>501557.74999999313</v>
      </c>
      <c r="L9" s="530">
        <f>'Gas CE'!N8</f>
        <v>3343842.48</v>
      </c>
      <c r="M9" s="530">
        <f>'Gas CE'!T8</f>
        <v>1254696.4750121871</v>
      </c>
      <c r="N9" s="531">
        <f>'Gas CE'!U8</f>
        <v>2.1968626947270291</v>
      </c>
      <c r="O9" s="532">
        <f>'Gas CE'!V8</f>
        <v>1.4665590756657449</v>
      </c>
    </row>
    <row r="10" spans="2:16" x14ac:dyDescent="0.35">
      <c r="B10" s="533" t="s">
        <v>478</v>
      </c>
      <c r="C10" s="529">
        <f>'Electric CE'!H9</f>
        <v>7583433</v>
      </c>
      <c r="D10" s="530">
        <f>'Electric CE'!N9</f>
        <v>3843297.46</v>
      </c>
      <c r="E10" s="530">
        <f>'Electric CE'!T9</f>
        <v>2161285.0984083693</v>
      </c>
      <c r="F10" s="531">
        <f>'Electric CE'!U9</f>
        <v>2.7673175079265548</v>
      </c>
      <c r="G10" s="532">
        <f>'Electric CE'!V9</f>
        <v>1.2392885660995203</v>
      </c>
      <c r="H10" s="410"/>
      <c r="J10" s="533" t="s">
        <v>479</v>
      </c>
      <c r="K10" s="529">
        <f>'Gas CE'!H9</f>
        <v>55373.940000000395</v>
      </c>
      <c r="L10" s="530">
        <f>'Gas CE'!N9</f>
        <v>364862.41</v>
      </c>
      <c r="M10" s="530">
        <f>'Gas CE'!T9</f>
        <v>178611.82848110003</v>
      </c>
      <c r="N10" s="531">
        <f>'Gas CE'!U9</f>
        <v>2.1077977382494013</v>
      </c>
      <c r="O10" s="532">
        <f>'Gas CE'!V9</f>
        <v>1.3195603312627722</v>
      </c>
    </row>
    <row r="11" spans="2:16" x14ac:dyDescent="0.35">
      <c r="B11" s="533" t="s">
        <v>479</v>
      </c>
      <c r="C11" s="529">
        <f>'Electric CE'!H10</f>
        <v>861350.55999999959</v>
      </c>
      <c r="D11" s="530">
        <f>'Electric CE'!N10</f>
        <v>705775.27</v>
      </c>
      <c r="E11" s="530">
        <f>'Electric CE'!T10</f>
        <v>162115.01513878218</v>
      </c>
      <c r="F11" s="531">
        <f>'Electric CE'!U10</f>
        <v>1.280336146779911</v>
      </c>
      <c r="G11" s="532">
        <f>'Electric CE'!V10</f>
        <v>1.4206473196620115</v>
      </c>
      <c r="H11" s="410"/>
      <c r="J11" s="533" t="s">
        <v>375</v>
      </c>
      <c r="K11" s="529">
        <f>'Gas CE'!H11</f>
        <v>4487.6000000000804</v>
      </c>
      <c r="L11" s="530">
        <f>'Gas CE'!N11</f>
        <v>0</v>
      </c>
      <c r="M11" s="530">
        <f>'Gas CE'!T11</f>
        <v>304162.65680172393</v>
      </c>
      <c r="N11" s="531">
        <f>'Gas CE'!U11</f>
        <v>0</v>
      </c>
      <c r="O11" s="532">
        <f>'Gas CE'!V11</f>
        <v>0</v>
      </c>
    </row>
    <row r="12" spans="2:16" x14ac:dyDescent="0.35">
      <c r="B12" s="533" t="s">
        <v>375</v>
      </c>
      <c r="C12" s="529">
        <f>'Electric CE'!H11</f>
        <v>557414</v>
      </c>
      <c r="D12" s="530">
        <f>'Electric CE'!N11</f>
        <v>548275.39</v>
      </c>
      <c r="E12" s="530">
        <f>'Electric CE'!T11</f>
        <v>561784.96080605744</v>
      </c>
      <c r="F12" s="531">
        <f>'Electric CE'!U11</f>
        <v>1.0279421995223752</v>
      </c>
      <c r="G12" s="532">
        <f>'Electric CE'!V11</f>
        <v>1.7017096316469671</v>
      </c>
      <c r="H12" s="410"/>
      <c r="J12" s="533" t="s">
        <v>448</v>
      </c>
      <c r="K12" s="529">
        <f>'Gas CE'!H12</f>
        <v>351351</v>
      </c>
      <c r="L12" s="530">
        <f>'Gas CE'!N12</f>
        <v>1556488.13</v>
      </c>
      <c r="M12" s="530">
        <f>'Gas CE'!T12</f>
        <v>432213.36865508062</v>
      </c>
      <c r="N12" s="531">
        <f>'Gas CE'!U12</f>
        <v>2.0206294796583304</v>
      </c>
      <c r="O12" s="532">
        <f>'Gas CE'!V12</f>
        <v>1.6253252824850628</v>
      </c>
    </row>
    <row r="13" spans="2:16" x14ac:dyDescent="0.35">
      <c r="B13" s="533" t="s">
        <v>448</v>
      </c>
      <c r="C13" s="529">
        <f>'Electric CE'!H12</f>
        <v>1816088</v>
      </c>
      <c r="D13" s="530">
        <f>'Electric CE'!N12</f>
        <v>998491.8899999999</v>
      </c>
      <c r="E13" s="530">
        <f>'Electric CE'!T12</f>
        <v>980434.40763561754</v>
      </c>
      <c r="F13" s="531">
        <f>'Electric CE'!U12</f>
        <v>2.0483638471438645</v>
      </c>
      <c r="G13" s="532">
        <f>'Electric CE'!V12</f>
        <v>2.6714335614969675</v>
      </c>
      <c r="H13" s="410"/>
      <c r="J13" s="533" t="s">
        <v>378</v>
      </c>
      <c r="K13" s="529">
        <f>'Gas CE'!H13</f>
        <v>16.8</v>
      </c>
      <c r="L13" s="530">
        <f>'Gas CE'!N13</f>
        <v>1030.2399999999998</v>
      </c>
      <c r="M13" s="530">
        <f>'Gas CE'!T13</f>
        <v>632.90386460255104</v>
      </c>
      <c r="N13" s="531">
        <f>'Gas CE'!U13</f>
        <v>0.12457384130691984</v>
      </c>
      <c r="O13" s="532">
        <f>'Gas CE'!V13</f>
        <v>-5.3625568145985798E-2</v>
      </c>
    </row>
    <row r="14" spans="2:16" x14ac:dyDescent="0.35">
      <c r="B14" s="533" t="s">
        <v>378</v>
      </c>
      <c r="C14" s="529">
        <f>'Electric CE'!H13</f>
        <v>278.39999999999998</v>
      </c>
      <c r="D14" s="530">
        <f>'Electric CE'!N13</f>
        <v>3330.9700000000003</v>
      </c>
      <c r="E14" s="530">
        <f>'Electric CE'!T13</f>
        <v>791.1298307531888</v>
      </c>
      <c r="F14" s="531">
        <f>'Electric CE'!U13</f>
        <v>7.0287810700638428E-2</v>
      </c>
      <c r="G14" s="532">
        <f>'Electric CE'!V13</f>
        <v>0.28380276756410194</v>
      </c>
      <c r="H14" s="410"/>
      <c r="J14" s="533" t="s">
        <v>480</v>
      </c>
      <c r="K14" s="529">
        <f>'Gas CE'!H14</f>
        <v>265023.56999999989</v>
      </c>
      <c r="L14" s="530">
        <f>'Gas CE'!N14</f>
        <v>2608389.39</v>
      </c>
      <c r="M14" s="530">
        <f>'Gas CE'!T14</f>
        <v>1362536.7242419855</v>
      </c>
      <c r="N14" s="531">
        <f>'Gas CE'!U14</f>
        <v>2.4047972152759307</v>
      </c>
      <c r="O14" s="532">
        <f>'Gas CE'!V14</f>
        <v>1.0289856307727208</v>
      </c>
    </row>
    <row r="15" spans="2:16" x14ac:dyDescent="0.35">
      <c r="B15" s="533" t="s">
        <v>480</v>
      </c>
      <c r="C15" s="529">
        <f>'Electric CE'!H14</f>
        <v>1356243.3700000008</v>
      </c>
      <c r="D15" s="530">
        <f>'Electric CE'!N14</f>
        <v>1176597.53</v>
      </c>
      <c r="E15" s="530">
        <f>'Electric CE'!T14</f>
        <v>1489238.4354381247</v>
      </c>
      <c r="F15" s="531">
        <f>'Electric CE'!U14</f>
        <v>3.3153977125457996</v>
      </c>
      <c r="G15" s="532">
        <f>'Electric CE'!V14</f>
        <v>1.8236409910729607</v>
      </c>
      <c r="H15" s="410"/>
      <c r="J15" s="533" t="s">
        <v>380</v>
      </c>
      <c r="K15" s="529">
        <f>'Gas CE'!H15</f>
        <v>1470100.92</v>
      </c>
      <c r="L15" s="530">
        <f>'Gas CE'!N15</f>
        <v>1377943.46</v>
      </c>
      <c r="M15" s="530">
        <f>'Gas CE'!T15</f>
        <v>0</v>
      </c>
      <c r="N15" s="531">
        <f>'Gas CE'!U15</f>
        <v>1.8229203994569994</v>
      </c>
      <c r="O15" s="532">
        <f>'Gas CE'!V15</f>
        <v>1.8816794567845574</v>
      </c>
    </row>
    <row r="16" spans="2:16" x14ac:dyDescent="0.35">
      <c r="B16" s="533" t="s">
        <v>380</v>
      </c>
      <c r="C16" s="529">
        <f>'Electric CE'!H15</f>
        <v>50165130</v>
      </c>
      <c r="D16" s="530">
        <f>'Electric CE'!N15</f>
        <v>1577453.42</v>
      </c>
      <c r="E16" s="530">
        <f>'Electric CE'!T15</f>
        <v>0</v>
      </c>
      <c r="F16" s="531">
        <f>'Electric CE'!U15</f>
        <v>6.0502558236040587</v>
      </c>
      <c r="G16" s="532">
        <f>'Electric CE'!V15</f>
        <v>5.7747266266347603</v>
      </c>
      <c r="H16" s="410"/>
      <c r="J16" s="533" t="s">
        <v>544</v>
      </c>
      <c r="K16" s="529">
        <f>'Gas CE'!H16</f>
        <v>0</v>
      </c>
      <c r="L16" s="530">
        <f>'Gas CE'!N16</f>
        <v>60319.93</v>
      </c>
      <c r="M16" s="530">
        <f>'Gas CE'!T16</f>
        <v>0</v>
      </c>
      <c r="N16" s="531">
        <f>'Gas CE'!U16</f>
        <v>0</v>
      </c>
      <c r="O16" s="532">
        <f>'Gas CE'!V16</f>
        <v>0</v>
      </c>
    </row>
    <row r="17" spans="1:19" x14ac:dyDescent="0.35">
      <c r="B17" s="533" t="s">
        <v>544</v>
      </c>
      <c r="C17" s="529">
        <f>'Electric CE'!H16</f>
        <v>0</v>
      </c>
      <c r="D17" s="530">
        <f>'Electric CE'!N16</f>
        <v>67647.7</v>
      </c>
      <c r="E17" s="530">
        <f>'Electric CE'!T16</f>
        <v>0</v>
      </c>
      <c r="F17" s="531">
        <f>'Electric CE'!U16</f>
        <v>0</v>
      </c>
      <c r="G17" s="532">
        <f>'Electric CE'!V16</f>
        <v>0</v>
      </c>
      <c r="H17" s="410"/>
      <c r="J17" s="401" t="s">
        <v>381</v>
      </c>
      <c r="K17" s="402">
        <f>'Gas CE'!H17</f>
        <v>4445</v>
      </c>
      <c r="L17" s="403">
        <f>'Gas CE'!N17</f>
        <v>48673.200000000004</v>
      </c>
      <c r="M17" s="403">
        <f>'Gas CE'!T17</f>
        <v>4162.6831500068147</v>
      </c>
      <c r="N17" s="407">
        <f>'Gas CE'!U17</f>
        <v>0.1140550902870076</v>
      </c>
      <c r="O17" s="409">
        <f>'Gas CE'!V17</f>
        <v>9.111023428603042E-2</v>
      </c>
    </row>
    <row r="18" spans="1:19" x14ac:dyDescent="0.35">
      <c r="A18" s="396"/>
      <c r="B18" s="533" t="s">
        <v>2135</v>
      </c>
      <c r="C18" s="529">
        <f>'Electric CE'!H17</f>
        <v>18193730</v>
      </c>
      <c r="D18" s="530">
        <f>'Electric CE'!N17</f>
        <v>8344184.5899999999</v>
      </c>
      <c r="E18" s="530">
        <f>'Electric CE'!T17</f>
        <v>0</v>
      </c>
      <c r="F18" s="531">
        <f>'Electric CE'!U17</f>
        <v>2.9598330189212851</v>
      </c>
      <c r="G18" s="532">
        <f>'Electric CE'!V17</f>
        <v>3.7816618603916439</v>
      </c>
      <c r="H18" s="410"/>
      <c r="J18" s="401" t="s">
        <v>450</v>
      </c>
      <c r="K18" s="402">
        <f>'Gas CE'!H18</f>
        <v>105.9</v>
      </c>
      <c r="L18" s="403">
        <f>'Gas CE'!N18</f>
        <v>22084.170000000002</v>
      </c>
      <c r="M18" s="403">
        <f>'Gas CE'!T18</f>
        <v>0</v>
      </c>
      <c r="N18" s="407">
        <f>'Gas CE'!U18</f>
        <v>5.588058794621744E-2</v>
      </c>
      <c r="O18" s="409">
        <f>'Gas CE'!V18</f>
        <v>5.7524775959854592E-2</v>
      </c>
    </row>
    <row r="19" spans="1:19" x14ac:dyDescent="0.35">
      <c r="B19" s="401" t="s">
        <v>381</v>
      </c>
      <c r="C19" s="402">
        <f>'Electric CE'!H18</f>
        <v>74618</v>
      </c>
      <c r="D19" s="403">
        <f>'Electric CE'!N18</f>
        <v>139153.93000000002</v>
      </c>
      <c r="E19" s="403">
        <f>'Electric CE'!T18</f>
        <v>6405.2718468288258</v>
      </c>
      <c r="F19" s="407">
        <f>'Electric CE'!U18</f>
        <v>1.2559745023526185</v>
      </c>
      <c r="G19" s="409">
        <f>'Electric CE'!V18</f>
        <v>0.6585746294708561</v>
      </c>
      <c r="H19" s="410"/>
      <c r="J19" s="401" t="s">
        <v>451</v>
      </c>
      <c r="K19" s="402">
        <f>'Gas CE'!H19</f>
        <v>12430.03</v>
      </c>
      <c r="L19" s="403">
        <f>'Gas CE'!N19</f>
        <v>324451.55</v>
      </c>
      <c r="M19" s="403">
        <f>'Gas CE'!T19</f>
        <v>1309.2999757863984</v>
      </c>
      <c r="N19" s="407">
        <f>'Gas CE'!U19</f>
        <v>1.0011462696699307</v>
      </c>
      <c r="O19" s="409">
        <f>'Gas CE'!V19</f>
        <v>0.74262318322838639</v>
      </c>
    </row>
    <row r="20" spans="1:19" x14ac:dyDescent="0.35">
      <c r="B20" s="401" t="s">
        <v>450</v>
      </c>
      <c r="C20" s="402">
        <f>'Electric CE'!H19</f>
        <v>157136</v>
      </c>
      <c r="D20" s="403">
        <f>'Electric CE'!N19</f>
        <v>165040.70000000001</v>
      </c>
      <c r="E20" s="403">
        <f>'Electric CE'!T19</f>
        <v>32092.469585114875</v>
      </c>
      <c r="F20" s="407">
        <f>'Electric CE'!U19</f>
        <v>3.3036407626055082</v>
      </c>
      <c r="G20" s="409">
        <f>'Electric CE'!V19</f>
        <v>2.5062067239746515</v>
      </c>
      <c r="H20" s="410"/>
      <c r="J20" s="401" t="s">
        <v>384</v>
      </c>
      <c r="K20" s="402">
        <f>'Gas CE'!H20</f>
        <v>18901</v>
      </c>
      <c r="L20" s="403">
        <f>'Gas CE'!N20</f>
        <v>186356.66999999998</v>
      </c>
      <c r="M20" s="403">
        <f>'Gas CE'!T20</f>
        <v>0</v>
      </c>
      <c r="N20" s="407">
        <f>'Gas CE'!U20</f>
        <v>1.0832184648063665</v>
      </c>
      <c r="O20" s="409">
        <f>'Gas CE'!V20</f>
        <v>1.1915403112870033</v>
      </c>
    </row>
    <row r="21" spans="1:19" x14ac:dyDescent="0.35">
      <c r="A21" s="396"/>
      <c r="B21" s="401" t="s">
        <v>451</v>
      </c>
      <c r="C21" s="402">
        <f>'Electric CE'!H20</f>
        <v>4945822.32</v>
      </c>
      <c r="D21" s="403">
        <f>'Electric CE'!N20</f>
        <v>5334529.2</v>
      </c>
      <c r="E21" s="403">
        <f>'Electric CE'!T20</f>
        <v>648837.66257981816</v>
      </c>
      <c r="F21" s="407">
        <f>'Electric CE'!U20</f>
        <v>1.683733976411512</v>
      </c>
      <c r="G21" s="409">
        <f>'Electric CE'!V20</f>
        <v>1.4865721556367821</v>
      </c>
      <c r="H21" s="410"/>
      <c r="J21" s="412" t="s">
        <v>481</v>
      </c>
      <c r="K21" s="413">
        <f>SUM(K6,K9:K20)</f>
        <v>2711463.4899999932</v>
      </c>
      <c r="L21" s="414">
        <f>SUM(L6,L9:L20)</f>
        <v>11248623.43</v>
      </c>
      <c r="M21" s="415">
        <f>SUM(M6,M9:M20)</f>
        <v>3852158.8505831785</v>
      </c>
      <c r="N21" s="416"/>
      <c r="O21" s="417"/>
    </row>
    <row r="22" spans="1:19" x14ac:dyDescent="0.35">
      <c r="B22" s="401" t="s">
        <v>384</v>
      </c>
      <c r="C22" s="402">
        <f>'Electric CE'!H21</f>
        <v>3128437</v>
      </c>
      <c r="D22" s="403">
        <f>'Electric CE'!N21</f>
        <v>1431622.1099999999</v>
      </c>
      <c r="E22" s="403">
        <f>'Electric CE'!T21</f>
        <v>0</v>
      </c>
      <c r="F22" s="407">
        <f>'Electric CE'!U21</f>
        <v>2.5101016782082404</v>
      </c>
      <c r="G22" s="409">
        <f>'Electric CE'!V21</f>
        <v>2.7378902442740642</v>
      </c>
      <c r="H22" s="410"/>
      <c r="J22" s="422" t="s">
        <v>482</v>
      </c>
      <c r="K22" s="413">
        <f>'Gas CE'!H22</f>
        <v>2683793.5099999933</v>
      </c>
      <c r="L22" s="414">
        <f>'Gas CE'!N22</f>
        <v>9894441.629999999</v>
      </c>
      <c r="M22" s="415">
        <f>'Gas CE'!T22</f>
        <v>3538325.940182473</v>
      </c>
      <c r="N22" s="416">
        <f>'Gas CE'!U22</f>
        <v>2.0844287364936247</v>
      </c>
      <c r="O22" s="417">
        <f>'Gas CE'!V22</f>
        <v>1.319070420554403</v>
      </c>
      <c r="P22" s="423"/>
    </row>
    <row r="23" spans="1:19" x14ac:dyDescent="0.35">
      <c r="A23" s="396"/>
      <c r="B23" s="412" t="s">
        <v>481</v>
      </c>
      <c r="C23" s="418">
        <f>SUM(C6,C9:C22)</f>
        <v>91134234.159999996</v>
      </c>
      <c r="D23" s="415">
        <f>SUM(D6,D9:D22)</f>
        <v>30171380.93</v>
      </c>
      <c r="E23" s="415">
        <f>SUM(E6,E9:E22)</f>
        <v>7635411.6258090846</v>
      </c>
      <c r="F23" s="419"/>
      <c r="G23" s="420"/>
      <c r="H23" s="421"/>
      <c r="I23" s="396"/>
      <c r="J23" s="427" t="s">
        <v>2200</v>
      </c>
      <c r="K23" s="402">
        <f>'Gas CE'!H23</f>
        <v>850779</v>
      </c>
      <c r="L23" s="403">
        <f>'Gas CE'!N23</f>
        <v>5105304.22</v>
      </c>
      <c r="M23" s="426">
        <f>'Gas CE'!T23</f>
        <v>0</v>
      </c>
      <c r="N23" s="407">
        <f>'Gas CE'!U23</f>
        <v>2.0252403105191887</v>
      </c>
      <c r="O23" s="409">
        <f>'Gas CE'!V24</f>
        <v>0.75407739170544696</v>
      </c>
      <c r="P23" s="396"/>
    </row>
    <row r="24" spans="1:19" s="396" customFormat="1" ht="16.399999999999999" customHeight="1" x14ac:dyDescent="0.35">
      <c r="A24" s="433"/>
      <c r="B24" s="422" t="s">
        <v>482</v>
      </c>
      <c r="C24" s="418">
        <f>'Electric CE'!H23</f>
        <v>89762049.650000006</v>
      </c>
      <c r="D24" s="415">
        <f>'Electric CE'!N23</f>
        <v>25484756.089999996</v>
      </c>
      <c r="E24" s="415">
        <f>'Electric CE'!T23</f>
        <v>6042984.4512694664</v>
      </c>
      <c r="F24" s="419">
        <f>'Electric CE'!U23</f>
        <v>2.6154149460202247</v>
      </c>
      <c r="G24" s="420">
        <f>'Electric CE'!V23</f>
        <v>2.2159738698346878</v>
      </c>
      <c r="H24" s="421"/>
      <c r="I24"/>
      <c r="J24" s="533" t="s">
        <v>387</v>
      </c>
      <c r="K24" s="529">
        <f>'Gas CE'!H24</f>
        <v>813652</v>
      </c>
      <c r="L24" s="530">
        <f>'Gas CE'!N24</f>
        <v>4926479.43</v>
      </c>
      <c r="M24" s="530">
        <f>'Gas CE'!T24</f>
        <v>0</v>
      </c>
      <c r="N24" s="531">
        <f>'Gas CE'!U24</f>
        <v>2.0391067684295385</v>
      </c>
      <c r="O24" s="532">
        <f>'Gas CE'!V25</f>
        <v>0.49205769954930451</v>
      </c>
      <c r="P24" s="432"/>
      <c r="S24"/>
    </row>
    <row r="25" spans="1:19" x14ac:dyDescent="0.35">
      <c r="B25" s="427" t="s">
        <v>2200</v>
      </c>
      <c r="C25" s="428">
        <f>'Electric CE'!H24</f>
        <v>55652061</v>
      </c>
      <c r="D25" s="429">
        <f>'Electric CE'!N24</f>
        <v>19381112.809999999</v>
      </c>
      <c r="E25" s="429">
        <f>'Electric CE'!T24</f>
        <v>15588.265227372882</v>
      </c>
      <c r="F25" s="430">
        <f>'Electric CE'!U24</f>
        <v>2.9085851694488478</v>
      </c>
      <c r="G25" s="431">
        <f>'Electric CE'!V24</f>
        <v>1.7945521818884558</v>
      </c>
      <c r="J25" s="533" t="s">
        <v>322</v>
      </c>
      <c r="K25" s="529">
        <f>'Gas CE'!H25</f>
        <v>12811</v>
      </c>
      <c r="L25" s="530">
        <f>'Gas CE'!N25</f>
        <v>112727.3</v>
      </c>
      <c r="M25" s="530">
        <f>'Gas CE'!T25</f>
        <v>0</v>
      </c>
      <c r="N25" s="531">
        <f>'Gas CE'!U25</f>
        <v>0.44732518140845862</v>
      </c>
      <c r="O25" s="532">
        <f>'Gas CE'!V26</f>
        <v>2.9233174828253978</v>
      </c>
      <c r="P25" s="432"/>
    </row>
    <row r="26" spans="1:19" x14ac:dyDescent="0.35">
      <c r="B26" s="534" t="s">
        <v>387</v>
      </c>
      <c r="C26" s="535">
        <f>'Electric CE'!H25</f>
        <v>13010677</v>
      </c>
      <c r="D26" s="536">
        <f>'Electric CE'!N25</f>
        <v>5448126.9900000002</v>
      </c>
      <c r="E26" s="536">
        <f>'Electric CE'!T25</f>
        <v>0</v>
      </c>
      <c r="F26" s="537">
        <f>'Electric CE'!U25</f>
        <v>2.1345223377829496</v>
      </c>
      <c r="G26" s="538">
        <f>'Electric CE'!V25</f>
        <v>1.6084747633025545</v>
      </c>
      <c r="J26" s="533" t="s">
        <v>533</v>
      </c>
      <c r="K26" s="529">
        <f>'Gas CE'!H26</f>
        <v>24316</v>
      </c>
      <c r="L26" s="530">
        <f>'Gas CE'!N26</f>
        <v>66097.490000000005</v>
      </c>
      <c r="M26" s="530">
        <f>'Gas CE'!T26</f>
        <v>0</v>
      </c>
      <c r="N26" s="531">
        <f>'Gas CE'!U26</f>
        <v>3.6828114599154054</v>
      </c>
      <c r="O26" s="532">
        <f>'Gas CE'!V27</f>
        <v>1.6794633643094734</v>
      </c>
      <c r="P26" s="432"/>
    </row>
    <row r="27" spans="1:19" x14ac:dyDescent="0.35">
      <c r="B27" s="534" t="s">
        <v>532</v>
      </c>
      <c r="C27" s="535">
        <f>'Electric CE'!H26</f>
        <v>35629189</v>
      </c>
      <c r="D27" s="536">
        <f>'Electric CE'!N26</f>
        <v>11481257.83</v>
      </c>
      <c r="E27" s="536">
        <f>'Electric CE'!T26</f>
        <v>15588.265227372882</v>
      </c>
      <c r="F27" s="537">
        <f>'Electric CE'!U26</f>
        <v>3.5637988271119867</v>
      </c>
      <c r="G27" s="538">
        <f>'Electric CE'!V26</f>
        <v>1.8888841264863856</v>
      </c>
      <c r="J27" s="424" t="str">
        <f>'Gas CE'!C27</f>
        <v>Commercial/Industrial New Construction</v>
      </c>
      <c r="K27" s="425">
        <f>'Gas CE'!H27</f>
        <v>43302</v>
      </c>
      <c r="L27" s="403">
        <f>'Gas CE'!N27</f>
        <v>274087.58</v>
      </c>
      <c r="M27" s="426">
        <f>'Gas CE'!T27</f>
        <v>0</v>
      </c>
      <c r="N27" s="407">
        <f>'Gas CE'!U27</f>
        <v>2.0720377752735031</v>
      </c>
      <c r="O27" s="409">
        <f>'Gas CE'!V27</f>
        <v>1.6794633643094734</v>
      </c>
      <c r="P27" s="432"/>
    </row>
    <row r="28" spans="1:19" x14ac:dyDescent="0.35">
      <c r="B28" s="534" t="s">
        <v>533</v>
      </c>
      <c r="C28" s="535">
        <f>'Electric CE'!H27</f>
        <v>4037327</v>
      </c>
      <c r="D28" s="536">
        <f>'Electric CE'!N27</f>
        <v>1461659.92</v>
      </c>
      <c r="E28" s="536">
        <f>'Electric CE'!T27</f>
        <v>0</v>
      </c>
      <c r="F28" s="537">
        <f>'Electric CE'!U27</f>
        <v>1.5019682979246247</v>
      </c>
      <c r="G28" s="538">
        <f>'Electric CE'!V27</f>
        <v>1.9283210435466203</v>
      </c>
      <c r="J28" s="424" t="s">
        <v>389</v>
      </c>
      <c r="K28" s="425">
        <f>'Gas CE'!H28</f>
        <v>196696</v>
      </c>
      <c r="L28" s="403">
        <f>'Gas CE'!N28</f>
        <v>586420.55999999994</v>
      </c>
      <c r="M28" s="426">
        <f>'Gas CE'!T28</f>
        <v>0</v>
      </c>
      <c r="N28" s="407">
        <f>'Gas CE'!U28</f>
        <v>0.82145208806862524</v>
      </c>
      <c r="O28" s="409">
        <f>'Gas CE'!V28</f>
        <v>0.87761400867260864</v>
      </c>
      <c r="P28" s="432"/>
    </row>
    <row r="29" spans="1:19" x14ac:dyDescent="0.35">
      <c r="B29" s="534" t="s">
        <v>2195</v>
      </c>
      <c r="C29" s="535">
        <f>'Electric CE'!H28</f>
        <v>0</v>
      </c>
      <c r="D29" s="536">
        <f>'Electric CE'!N28</f>
        <v>-42571.71</v>
      </c>
      <c r="E29" s="536">
        <f>'Electric CE'!T28</f>
        <v>0</v>
      </c>
      <c r="F29" s="537">
        <f>'Electric CE'!U28</f>
        <v>0</v>
      </c>
      <c r="G29" s="538">
        <f>'Electric CE'!V28</f>
        <v>0</v>
      </c>
      <c r="J29" s="424" t="s">
        <v>390</v>
      </c>
      <c r="K29" s="425">
        <f>'Gas CE'!H29</f>
        <v>7094</v>
      </c>
      <c r="L29" s="403">
        <f>'Gas CE'!N29</f>
        <v>44594.33</v>
      </c>
      <c r="M29" s="426">
        <f>'Gas CE'!T29</f>
        <v>0</v>
      </c>
      <c r="N29" s="407">
        <f>'Gas CE'!U29</f>
        <v>2.1468429445327222</v>
      </c>
      <c r="O29" s="409">
        <f>'Gas CE'!V29</f>
        <v>1.1610202509525109</v>
      </c>
      <c r="P29" s="432"/>
    </row>
    <row r="30" spans="1:19" x14ac:dyDescent="0.35">
      <c r="B30" s="534" t="s">
        <v>322</v>
      </c>
      <c r="C30" s="535">
        <f>'Electric CE'!H29</f>
        <v>621051</v>
      </c>
      <c r="D30" s="536">
        <f>'Electric CE'!N29</f>
        <v>123755.83</v>
      </c>
      <c r="E30" s="536">
        <f>'Electric CE'!T29</f>
        <v>0</v>
      </c>
      <c r="F30" s="537">
        <f>'Electric CE'!U29</f>
        <v>2.1377754417094041</v>
      </c>
      <c r="G30" s="538">
        <f>'Electric CE'!V29</f>
        <v>2.3515529858803448</v>
      </c>
      <c r="J30" s="424" t="str">
        <f>'Gas CE'!C31</f>
        <v>Commercial Foodservice</v>
      </c>
      <c r="K30" s="425">
        <f>'Gas CE'!H31</f>
        <v>172779.90000000002</v>
      </c>
      <c r="L30" s="403">
        <f>'Gas CE'!N31</f>
        <v>1128349.24</v>
      </c>
      <c r="M30" s="426">
        <f>'Gas CE'!T31</f>
        <v>2533552.2740892125</v>
      </c>
      <c r="N30" s="434">
        <f>'Gas CE'!U31</f>
        <v>1.4230028973225497</v>
      </c>
      <c r="O30" s="435">
        <f>'Gas CE'!V31</f>
        <v>5.3834270872290428</v>
      </c>
      <c r="P30" s="432"/>
    </row>
    <row r="31" spans="1:19" x14ac:dyDescent="0.35">
      <c r="B31" s="534" t="s">
        <v>2193</v>
      </c>
      <c r="C31" s="535">
        <f>'Electric CE'!H30</f>
        <v>2353817</v>
      </c>
      <c r="D31" s="536">
        <f>'Electric CE'!N30</f>
        <v>601111.25</v>
      </c>
      <c r="E31" s="536">
        <f>'Electric CE'!T30</f>
        <v>0</v>
      </c>
      <c r="F31" s="537">
        <f>'Electric CE'!U30</f>
        <v>2.2718694795583709</v>
      </c>
      <c r="G31" s="538">
        <f>'Electric CE'!V30</f>
        <v>1.3713651196483168</v>
      </c>
      <c r="J31" s="424" t="str">
        <f>'Gas CE'!C32</f>
        <v>Commercial HVAC</v>
      </c>
      <c r="K31" s="425">
        <f>'Gas CE'!H32</f>
        <v>9311.16</v>
      </c>
      <c r="L31" s="403">
        <f>'Gas CE'!N32</f>
        <v>39124.39</v>
      </c>
      <c r="M31" s="426">
        <f>'Gas CE'!T32</f>
        <v>0</v>
      </c>
      <c r="N31" s="434">
        <f>'Gas CE'!U32</f>
        <v>2.5186587189054532</v>
      </c>
      <c r="O31" s="435">
        <f>'Gas CE'!V32</f>
        <v>2.7705245907959988</v>
      </c>
      <c r="P31" s="432"/>
    </row>
    <row r="32" spans="1:19" x14ac:dyDescent="0.35">
      <c r="B32" s="534" t="s">
        <v>2196</v>
      </c>
      <c r="C32" s="535">
        <f>'Electric CE'!H31</f>
        <v>0</v>
      </c>
      <c r="D32" s="536">
        <f>'Electric CE'!N31</f>
        <v>307772.7</v>
      </c>
      <c r="E32" s="536">
        <f>'Electric CE'!T31</f>
        <v>0</v>
      </c>
      <c r="F32" s="537">
        <f>'Electric CE'!U31</f>
        <v>0</v>
      </c>
      <c r="G32" s="538">
        <f>'Electric CE'!V31</f>
        <v>0</v>
      </c>
      <c r="J32" s="424" t="str">
        <f>'Gas CE'!C33</f>
        <v>Commercial Midstream</v>
      </c>
      <c r="K32" s="425">
        <f>'Gas CE'!H33</f>
        <v>678323.96999999986</v>
      </c>
      <c r="L32" s="403">
        <f>'Gas CE'!N33</f>
        <v>2337197.2799999998</v>
      </c>
      <c r="M32" s="426">
        <f>'Gas CE'!T33</f>
        <v>1800.5533027739118</v>
      </c>
      <c r="N32" s="434">
        <f>'Gas CE'!U33</f>
        <v>2.7730066155372537</v>
      </c>
      <c r="O32" s="435">
        <f>'Gas CE'!V33</f>
        <v>3.577774979712963</v>
      </c>
      <c r="P32" s="432"/>
    </row>
    <row r="33" spans="1:19" x14ac:dyDescent="0.35">
      <c r="B33" s="427" t="s">
        <v>388</v>
      </c>
      <c r="C33" s="428">
        <f>'Electric CE'!H32</f>
        <v>12727553</v>
      </c>
      <c r="D33" s="429">
        <f>'Electric CE'!N32</f>
        <v>3200318.93</v>
      </c>
      <c r="E33" s="429">
        <f>'Electric CE'!T32</f>
        <v>0</v>
      </c>
      <c r="F33" s="430">
        <f>'Electric CE'!U32</f>
        <v>3.5146080969128355</v>
      </c>
      <c r="G33" s="431">
        <f>'Electric CE'!V32</f>
        <v>1.9112818203102377</v>
      </c>
      <c r="H33" s="432"/>
      <c r="J33" s="424" t="str">
        <f>'Gas CE'!C34</f>
        <v>Small Business Direct Install</v>
      </c>
      <c r="K33" s="425">
        <f>'Gas CE'!H34</f>
        <v>255</v>
      </c>
      <c r="L33" s="403">
        <f>'Gas CE'!N34</f>
        <v>27345.3</v>
      </c>
      <c r="M33" s="426">
        <f>'Gas CE'!T34</f>
        <v>3460.5065668789844</v>
      </c>
      <c r="N33" s="434">
        <f>'Gas CE'!U34</f>
        <v>3.0364133637564315E-2</v>
      </c>
      <c r="O33" s="435">
        <f>'Gas CE'!V34</f>
        <v>0.12202536656150925</v>
      </c>
      <c r="P33" s="432"/>
    </row>
    <row r="34" spans="1:19" x14ac:dyDescent="0.35">
      <c r="B34" s="427" t="s">
        <v>389</v>
      </c>
      <c r="C34" s="428">
        <f>'Electric CE'!H33</f>
        <v>11640361</v>
      </c>
      <c r="D34" s="429">
        <f>'Electric CE'!N33</f>
        <v>1575204.4</v>
      </c>
      <c r="E34" s="429">
        <f>'Electric CE'!T33</f>
        <v>0</v>
      </c>
      <c r="F34" s="430">
        <f>'Electric CE'!U33</f>
        <v>1.9590648877124959</v>
      </c>
      <c r="G34" s="431">
        <f>'Electric CE'!V33</f>
        <v>1.9905388221119606</v>
      </c>
      <c r="H34" s="432"/>
      <c r="J34" s="436" t="s">
        <v>486</v>
      </c>
      <c r="K34" s="437">
        <f>SUM(K24:K33)</f>
        <v>1958541.0299999998</v>
      </c>
      <c r="L34" s="437">
        <f t="shared" ref="L34:M34" si="0">SUM(L24:L33)</f>
        <v>9542422.9000000004</v>
      </c>
      <c r="M34" s="437">
        <f t="shared" si="0"/>
        <v>2538813.3339588651</v>
      </c>
      <c r="N34" s="439">
        <f>'Gas CE'!U35</f>
        <v>2.0614177766982373</v>
      </c>
      <c r="O34" s="440">
        <f>'Gas CE'!V35</f>
        <v>1.2934329625279468</v>
      </c>
    </row>
    <row r="35" spans="1:19" x14ac:dyDescent="0.35">
      <c r="B35" s="427" t="s">
        <v>390</v>
      </c>
      <c r="C35" s="428">
        <f>'Electric CE'!H34</f>
        <v>1042434</v>
      </c>
      <c r="D35" s="429">
        <f>'Electric CE'!N34</f>
        <v>307374.74</v>
      </c>
      <c r="E35" s="429">
        <f>'Electric CE'!T34</f>
        <v>0</v>
      </c>
      <c r="F35" s="430">
        <f>'Electric CE'!U34</f>
        <v>2.298196907521207</v>
      </c>
      <c r="G35" s="431">
        <f>'Electric CE'!V34</f>
        <v>1.2082090221962125</v>
      </c>
      <c r="H35" s="432"/>
      <c r="I35" s="433"/>
      <c r="J35" s="442" t="s">
        <v>401</v>
      </c>
      <c r="K35" s="443">
        <f>'Gas CE'!H39</f>
        <v>0</v>
      </c>
      <c r="L35" s="444">
        <f>'Gas CE'!N39</f>
        <v>0</v>
      </c>
      <c r="M35" s="444">
        <f>'Gas CE'!T39</f>
        <v>0</v>
      </c>
      <c r="N35" s="434">
        <f>'Gas CE'!U39</f>
        <v>0</v>
      </c>
      <c r="O35" s="435">
        <f>'Gas CE'!V39</f>
        <v>0</v>
      </c>
      <c r="P35" s="433"/>
      <c r="S35" s="433"/>
    </row>
    <row r="36" spans="1:19" s="433" customFormat="1" x14ac:dyDescent="0.35">
      <c r="A36"/>
      <c r="B36" s="427" t="s">
        <v>483</v>
      </c>
      <c r="C36" s="428">
        <f>'Electric CE'!H35</f>
        <v>12383400</v>
      </c>
      <c r="D36" s="429">
        <f>'Electric CE'!N35</f>
        <v>4750039.7299999995</v>
      </c>
      <c r="E36" s="429">
        <f>'Electric CE'!T35</f>
        <v>0</v>
      </c>
      <c r="F36" s="430">
        <f>'Electric CE'!U35</f>
        <v>3.3388135039373346</v>
      </c>
      <c r="G36" s="431">
        <f>'Electric CE'!V35</f>
        <v>2.8298600826032843</v>
      </c>
      <c r="H36" s="432"/>
      <c r="I36"/>
      <c r="J36" s="442" t="s">
        <v>487</v>
      </c>
      <c r="K36" s="443">
        <f>'Gas CE'!H40</f>
        <v>0</v>
      </c>
      <c r="L36" s="444">
        <f>'Gas CE'!N40</f>
        <v>151.52000000000001</v>
      </c>
      <c r="M36" s="444">
        <f>'Gas CE'!T40</f>
        <v>0</v>
      </c>
      <c r="N36" s="434">
        <f>'Gas CE'!U40</f>
        <v>0</v>
      </c>
      <c r="O36" s="435">
        <f>'Gas CE'!V40</f>
        <v>0</v>
      </c>
      <c r="P36"/>
      <c r="S36"/>
    </row>
    <row r="37" spans="1:19" x14ac:dyDescent="0.35">
      <c r="A37" s="441"/>
      <c r="B37" s="427" t="s">
        <v>484</v>
      </c>
      <c r="C37" s="428">
        <f>'Electric CE'!H36</f>
        <v>4936383</v>
      </c>
      <c r="D37" s="429">
        <f>'Electric CE'!N36</f>
        <v>2723963.96</v>
      </c>
      <c r="E37" s="429">
        <f>'Electric CE'!T36</f>
        <v>0</v>
      </c>
      <c r="F37" s="430">
        <f>'Electric CE'!U36</f>
        <v>1.9983376362247791</v>
      </c>
      <c r="G37" s="431">
        <f>'Electric CE'!V36</f>
        <v>1.4385739575460861</v>
      </c>
      <c r="H37" s="410"/>
      <c r="J37" s="436" t="s">
        <v>403</v>
      </c>
      <c r="K37" s="437">
        <f>SUM(K35:K36)</f>
        <v>0</v>
      </c>
      <c r="L37" s="437">
        <f>SUM(L35:L36)</f>
        <v>151.52000000000001</v>
      </c>
      <c r="M37" s="437">
        <f>SUM(M35:M36)</f>
        <v>0</v>
      </c>
      <c r="N37" s="439">
        <f>SUM(N35:N36)</f>
        <v>0</v>
      </c>
      <c r="O37" s="440">
        <f>SUM(O35:O36)</f>
        <v>0</v>
      </c>
    </row>
    <row r="38" spans="1:19" x14ac:dyDescent="0.35">
      <c r="A38" s="441"/>
      <c r="B38" s="427" t="s">
        <v>485</v>
      </c>
      <c r="C38" s="428">
        <f>'Electric CE'!H38</f>
        <v>18550348</v>
      </c>
      <c r="D38" s="429">
        <f>'Electric CE'!N38</f>
        <v>2896512.2</v>
      </c>
      <c r="E38" s="429">
        <f>'Electric CE'!T38</f>
        <v>1764417.454691241</v>
      </c>
      <c r="F38" s="430">
        <f>'Electric CE'!U38</f>
        <v>6.7017946159640864</v>
      </c>
      <c r="G38" s="431">
        <f>'Electric CE'!V38</f>
        <v>5.0811011352396598</v>
      </c>
      <c r="H38" s="410"/>
      <c r="J38" s="427" t="s">
        <v>488</v>
      </c>
      <c r="K38" s="428">
        <f>'Gas CE'!H36</f>
        <v>0</v>
      </c>
      <c r="L38" s="429">
        <f>'Gas CE'!N36</f>
        <v>1100111.73</v>
      </c>
      <c r="M38" s="429">
        <f>'Electric CE'!X43</f>
        <v>0</v>
      </c>
      <c r="N38" s="430">
        <f>'Electric CE'!AC43</f>
        <v>0</v>
      </c>
      <c r="O38" s="431">
        <f>'Electric CE'!AD43</f>
        <v>0</v>
      </c>
    </row>
    <row r="39" spans="1:19" x14ac:dyDescent="0.35">
      <c r="A39" s="433"/>
      <c r="B39" s="427" t="s">
        <v>2194</v>
      </c>
      <c r="C39" s="428">
        <f>'Electric CE'!H39</f>
        <v>1366081.44</v>
      </c>
      <c r="D39" s="429">
        <f>'Electric CE'!N39</f>
        <v>509446.65</v>
      </c>
      <c r="E39" s="429">
        <f>'Electric CE'!T39</f>
        <v>754013.04474210704</v>
      </c>
      <c r="F39" s="430">
        <f>'Electric CE'!U39</f>
        <v>2.6857219078045333</v>
      </c>
      <c r="G39" s="431">
        <f>'Electric CE'!V39</f>
        <v>6.3163140007121941</v>
      </c>
      <c r="H39" s="410"/>
      <c r="J39" s="427" t="s">
        <v>408</v>
      </c>
      <c r="K39" s="428">
        <f>'Gas CE'!H37</f>
        <v>0</v>
      </c>
      <c r="L39" s="429">
        <f>'Gas CE'!N37</f>
        <v>111824.11000000002</v>
      </c>
      <c r="M39" s="429"/>
      <c r="N39" s="430"/>
      <c r="O39" s="431"/>
    </row>
    <row r="40" spans="1:19" x14ac:dyDescent="0.35">
      <c r="B40" s="427" t="s">
        <v>456</v>
      </c>
      <c r="C40" s="428">
        <f>'Electric CE'!H40</f>
        <v>650867.67999999993</v>
      </c>
      <c r="D40" s="429">
        <f>'Electric CE'!N40</f>
        <v>232898.08</v>
      </c>
      <c r="E40" s="429">
        <f>'Electric CE'!T40</f>
        <v>0</v>
      </c>
      <c r="F40" s="430">
        <f>'Electric CE'!U40</f>
        <v>3.2166495559870194</v>
      </c>
      <c r="G40" s="431">
        <f>'Electric CE'!V40</f>
        <v>2.1929567505789365</v>
      </c>
      <c r="H40" s="410"/>
      <c r="J40" s="436" t="s">
        <v>460</v>
      </c>
      <c r="K40" s="438">
        <f>SUM(K38:K39)</f>
        <v>0</v>
      </c>
      <c r="L40" s="438">
        <f>SUM(L38:L39)</f>
        <v>1211935.8400000001</v>
      </c>
      <c r="M40" s="438">
        <f>SUM(M38:M39)</f>
        <v>0</v>
      </c>
      <c r="N40" s="439">
        <f>SUM(N38:N39)</f>
        <v>0</v>
      </c>
      <c r="O40" s="440">
        <f>SUM(O38:O39)</f>
        <v>0</v>
      </c>
    </row>
    <row r="41" spans="1:19" x14ac:dyDescent="0.35">
      <c r="B41" s="427" t="s">
        <v>396</v>
      </c>
      <c r="C41" s="428">
        <f>'Electric CE'!H41</f>
        <v>641573</v>
      </c>
      <c r="D41" s="429">
        <f>'Electric CE'!N41</f>
        <v>591541.21</v>
      </c>
      <c r="E41" s="429">
        <f>'Electric CE'!T41</f>
        <v>1800.5533027739118</v>
      </c>
      <c r="F41" s="430">
        <f>'Electric CE'!U41</f>
        <v>1.4683716073054587</v>
      </c>
      <c r="G41" s="431">
        <f>'Electric CE'!V41</f>
        <v>1.3044491448023912</v>
      </c>
      <c r="H41" s="410"/>
      <c r="J41" s="452" t="s">
        <v>489</v>
      </c>
      <c r="K41" s="453">
        <f>'Gas CE'!H57</f>
        <v>0</v>
      </c>
      <c r="L41" s="411">
        <f>'Gas CE'!N55</f>
        <v>2076076.3799999997</v>
      </c>
      <c r="M41" s="411">
        <f>'Gas CE'!T57</f>
        <v>0</v>
      </c>
      <c r="N41" s="454"/>
      <c r="O41" s="455"/>
    </row>
    <row r="42" spans="1:19" x14ac:dyDescent="0.35">
      <c r="B42" s="427" t="s">
        <v>397</v>
      </c>
      <c r="C42" s="428">
        <f>'Electric CE'!H42</f>
        <v>13885150.18</v>
      </c>
      <c r="D42" s="429">
        <f>'Electric CE'!N42</f>
        <v>7892532.5199999996</v>
      </c>
      <c r="E42" s="429">
        <f>'Electric CE'!T42</f>
        <v>3610451.1257475135</v>
      </c>
      <c r="F42" s="430">
        <f>'Electric CE'!U42</f>
        <v>1.7897527449585446</v>
      </c>
      <c r="G42" s="431">
        <f>'Electric CE'!V42</f>
        <v>2.6758485947988291</v>
      </c>
      <c r="H42" s="406"/>
      <c r="I42" s="432"/>
      <c r="J42" s="452" t="s">
        <v>491</v>
      </c>
      <c r="K42" s="453">
        <f>'Gas CE'!H60</f>
        <v>0</v>
      </c>
      <c r="L42" s="411">
        <f>'Gas CE'!I60</f>
        <v>422917.11000000004</v>
      </c>
      <c r="M42" s="411">
        <f>'Gas CE'!T60</f>
        <v>0</v>
      </c>
      <c r="N42" s="454"/>
      <c r="O42" s="455"/>
      <c r="P42" s="432"/>
      <c r="S42" s="432"/>
    </row>
    <row r="43" spans="1:19" s="432" customFormat="1" ht="15" thickBot="1" x14ac:dyDescent="0.4">
      <c r="A43"/>
      <c r="B43" s="427" t="s">
        <v>398</v>
      </c>
      <c r="C43" s="428">
        <f>'Electric CE'!H43</f>
        <v>1481281</v>
      </c>
      <c r="D43" s="429">
        <f>'Electric CE'!N43</f>
        <v>1652761.52</v>
      </c>
      <c r="E43" s="429">
        <f>'Electric CE'!T43</f>
        <v>0</v>
      </c>
      <c r="F43" s="430">
        <f>'Electric CE'!U43</f>
        <v>1.1027954863435097</v>
      </c>
      <c r="G43" s="431">
        <f>'Electric CE'!V43</f>
        <v>1.1040983147922545</v>
      </c>
      <c r="H43" s="410"/>
      <c r="I43" s="441"/>
      <c r="J43" s="456" t="s">
        <v>492</v>
      </c>
      <c r="K43" s="457">
        <f>K22+K34+K37</f>
        <v>4642334.5399999935</v>
      </c>
      <c r="L43" s="457">
        <f>L22+L34+L37+L40+L41+L42</f>
        <v>23147945.379999999</v>
      </c>
      <c r="M43" s="457">
        <f>M22+M34</f>
        <v>6077139.2741413377</v>
      </c>
      <c r="N43" s="458">
        <f>'Gas CE'!U62</f>
        <v>1.7407669666776779</v>
      </c>
      <c r="O43" s="459">
        <f>'Gas CE'!V62</f>
        <v>1.2147801594691094</v>
      </c>
      <c r="P43" s="441"/>
      <c r="S43" s="441"/>
    </row>
    <row r="44" spans="1:19" s="441" customFormat="1" x14ac:dyDescent="0.35">
      <c r="A44"/>
      <c r="B44" s="445" t="s">
        <v>486</v>
      </c>
      <c r="C44" s="446">
        <f>SUM(C26:C43)</f>
        <v>134957493.30000001</v>
      </c>
      <c r="D44" s="447">
        <f>SUM(D26:D43)</f>
        <v>45713706.749999993</v>
      </c>
      <c r="E44" s="447">
        <f>SUM(E26:E43)</f>
        <v>6146270.4437110089</v>
      </c>
      <c r="F44" s="448">
        <f>'Electric CE'!U44</f>
        <v>2.8669928701347049</v>
      </c>
      <c r="G44" s="449">
        <f>'Electric CE'!V44</f>
        <v>2.1900726312190533</v>
      </c>
      <c r="H44" s="410"/>
      <c r="J44" s="460" t="s">
        <v>493</v>
      </c>
      <c r="K44" s="461">
        <f>'Gas CE'!H66</f>
        <v>0</v>
      </c>
      <c r="L44" s="462">
        <f>'Gas CE'!N66</f>
        <v>5100</v>
      </c>
      <c r="M44" s="462"/>
      <c r="N44" s="463" t="s">
        <v>494</v>
      </c>
      <c r="O44" s="464" t="s">
        <v>494</v>
      </c>
    </row>
    <row r="45" spans="1:19" s="441" customFormat="1" ht="15" thickBot="1" x14ac:dyDescent="0.4">
      <c r="A45"/>
      <c r="B45" s="427" t="str">
        <f>'Electric CE'!C45</f>
        <v>Residential Pilots</v>
      </c>
      <c r="C45" s="428">
        <f>'Electric CE'!H45</f>
        <v>489261</v>
      </c>
      <c r="D45" s="429">
        <f>'Electric CE'!N45</f>
        <v>410122.26</v>
      </c>
      <c r="E45" s="444">
        <f>'Electric CE'!T45</f>
        <v>0</v>
      </c>
      <c r="F45" s="498">
        <f>IFERROR('Electric CE'!U45,"-")</f>
        <v>0.11259597986949087</v>
      </c>
      <c r="G45" s="499">
        <f>IFERROR('Electric CE'!V45,"-")</f>
        <v>0.11311373741500839</v>
      </c>
      <c r="H45" s="410"/>
      <c r="J45" s="465" t="s">
        <v>495</v>
      </c>
      <c r="K45" s="466">
        <f>K21+K34+K37</f>
        <v>4670004.519999993</v>
      </c>
      <c r="L45" s="466">
        <f>L21+L34+L40+L41+L42+L37+L44</f>
        <v>24507227.179999996</v>
      </c>
      <c r="M45" s="466">
        <f>M21+M34+M37</f>
        <v>6390972.1845420431</v>
      </c>
      <c r="N45" s="467"/>
      <c r="O45" s="468"/>
      <c r="S45" s="433"/>
    </row>
    <row r="46" spans="1:19" s="441" customFormat="1" x14ac:dyDescent="0.35">
      <c r="A46"/>
      <c r="B46" s="427" t="s">
        <v>487</v>
      </c>
      <c r="C46" s="428">
        <f>'Electric CE'!H46</f>
        <v>470354</v>
      </c>
      <c r="D46" s="429">
        <f>'Electric CE'!N46</f>
        <v>2467.1999999999998</v>
      </c>
      <c r="E46" s="444"/>
      <c r="F46" s="450">
        <f>'Electric CE'!U46</f>
        <v>110.60786856516161</v>
      </c>
      <c r="G46" s="451">
        <f>'Electric CE'!V46</f>
        <v>2.9649974373795915</v>
      </c>
      <c r="H46" s="410"/>
      <c r="I46" s="433"/>
      <c r="J46"/>
      <c r="K46"/>
      <c r="L46"/>
      <c r="M46"/>
      <c r="N46"/>
      <c r="O46"/>
      <c r="P46" s="433"/>
      <c r="S46" s="433"/>
    </row>
    <row r="47" spans="1:19" s="433" customFormat="1" x14ac:dyDescent="0.35">
      <c r="A47" s="432"/>
      <c r="B47" s="445" t="s">
        <v>490</v>
      </c>
      <c r="C47" s="446">
        <f>SUM(C45:C46)</f>
        <v>959615</v>
      </c>
      <c r="D47" s="447">
        <f>SUM(D45:D46)</f>
        <v>412589.46</v>
      </c>
      <c r="E47" s="447">
        <f>'Electric CE'!T47</f>
        <v>0</v>
      </c>
      <c r="F47" s="448">
        <f>'Electric CE'!U47</f>
        <v>0.77333495396357621</v>
      </c>
      <c r="G47" s="449">
        <f>'Electric CE'!V47</f>
        <v>0.6377790206797459</v>
      </c>
      <c r="H47" s="410"/>
      <c r="I47"/>
      <c r="J47"/>
      <c r="K47"/>
      <c r="L47" s="396"/>
      <c r="M47"/>
      <c r="N47" s="396"/>
      <c r="O47" s="479"/>
      <c r="P47"/>
      <c r="S47"/>
    </row>
    <row r="48" spans="1:19" x14ac:dyDescent="0.35">
      <c r="B48" s="427" t="str">
        <f>'Electric CE'!C48</f>
        <v>Northwest Energy Efficiency Alliance</v>
      </c>
      <c r="C48" s="428">
        <f>'Electric CE'!H48</f>
        <v>14310718.605800306</v>
      </c>
      <c r="D48" s="429">
        <f>'Electric CE'!N48</f>
        <v>4276053.2</v>
      </c>
      <c r="E48" s="429">
        <f>'Electric CE'!P48</f>
        <v>0</v>
      </c>
      <c r="F48" s="430">
        <f>'Electric CE'!U48</f>
        <v>1.4256693990715656</v>
      </c>
      <c r="G48" s="431">
        <f>'Electric CE'!V48</f>
        <v>6.2524388399145607</v>
      </c>
      <c r="H48" s="410"/>
    </row>
    <row r="49" spans="1:19" x14ac:dyDescent="0.35">
      <c r="B49" s="427" t="s">
        <v>408</v>
      </c>
      <c r="C49" s="428">
        <f>'Electric CE'!H50</f>
        <v>0</v>
      </c>
      <c r="D49" s="429">
        <f>'Electric CE'!N50</f>
        <v>243127.72</v>
      </c>
      <c r="E49" s="429"/>
      <c r="F49" s="430"/>
      <c r="G49" s="431"/>
      <c r="H49" s="410"/>
      <c r="J49" t="s">
        <v>496</v>
      </c>
    </row>
    <row r="50" spans="1:19" x14ac:dyDescent="0.35">
      <c r="B50" s="427" t="str">
        <f>'Electric CE'!C49</f>
        <v>Transmission &amp; Distribution</v>
      </c>
      <c r="C50" s="428">
        <f>'Electric CE'!H49</f>
        <v>2980966</v>
      </c>
      <c r="D50" s="429">
        <f>'Electric CE'!N49</f>
        <v>0</v>
      </c>
      <c r="E50" s="429">
        <f>'Electric CE'!T49</f>
        <v>0</v>
      </c>
      <c r="F50" s="430">
        <f>'Electric CE'!U49</f>
        <v>0</v>
      </c>
      <c r="G50" s="431">
        <f>'Electric CE'!V49</f>
        <v>20.619200640969186</v>
      </c>
      <c r="H50" s="410"/>
      <c r="J50" t="s">
        <v>498</v>
      </c>
    </row>
    <row r="51" spans="1:19" ht="15" thickBot="1" x14ac:dyDescent="0.4">
      <c r="B51" s="469" t="s">
        <v>460</v>
      </c>
      <c r="C51" s="470">
        <f>SUM(C48:C50)</f>
        <v>17291684.605800308</v>
      </c>
      <c r="D51" s="471">
        <f>SUM(D48:D50)</f>
        <v>4519180.92</v>
      </c>
      <c r="E51" s="471">
        <f>'Electric CE'!T51</f>
        <v>0</v>
      </c>
      <c r="F51" s="472">
        <f>'Electric CE'!U51</f>
        <v>2.2270622999274168</v>
      </c>
      <c r="G51" s="473">
        <f>'Electric CE'!V51</f>
        <v>6.9907322598514048</v>
      </c>
      <c r="H51" s="421"/>
      <c r="J51" t="s">
        <v>499</v>
      </c>
    </row>
    <row r="52" spans="1:19" ht="15" thickTop="1" x14ac:dyDescent="0.35">
      <c r="B52" s="474" t="s">
        <v>489</v>
      </c>
      <c r="C52" s="475">
        <f>'Electric CE'!H65</f>
        <v>0</v>
      </c>
      <c r="D52" s="476">
        <f>'Electric CE'!$N$65</f>
        <v>11736301.629999999</v>
      </c>
      <c r="E52" s="476"/>
      <c r="F52" s="477"/>
      <c r="G52" s="478"/>
      <c r="H52" s="406"/>
      <c r="J52" s="483" t="s">
        <v>501</v>
      </c>
      <c r="K52" s="432"/>
      <c r="L52" s="432"/>
      <c r="M52" s="432"/>
      <c r="N52" s="432"/>
      <c r="O52" s="432"/>
    </row>
    <row r="53" spans="1:19" x14ac:dyDescent="0.35">
      <c r="B53" s="474" t="s">
        <v>491</v>
      </c>
      <c r="C53" s="475">
        <f>'Electric CE'!H71</f>
        <v>0</v>
      </c>
      <c r="D53" s="476">
        <f>'Electric CE'!$N$71</f>
        <v>2897036.7</v>
      </c>
      <c r="E53" s="476"/>
      <c r="F53" s="477"/>
      <c r="G53" s="478"/>
      <c r="H53" s="410"/>
      <c r="I53" s="432"/>
      <c r="J53" s="396"/>
      <c r="K53" s="396"/>
      <c r="L53" s="396"/>
      <c r="M53" s="396"/>
      <c r="N53" s="396"/>
      <c r="O53" s="396"/>
      <c r="P53" s="432"/>
      <c r="S53" s="432"/>
    </row>
    <row r="54" spans="1:19" s="432" customFormat="1" x14ac:dyDescent="0.35">
      <c r="A54"/>
      <c r="B54" s="480"/>
      <c r="C54" s="461"/>
      <c r="D54" s="462"/>
      <c r="E54" s="462"/>
      <c r="F54" s="481"/>
      <c r="G54" s="482"/>
      <c r="H54" s="421"/>
      <c r="I54"/>
      <c r="J54" s="396" t="s">
        <v>503</v>
      </c>
      <c r="K54" s="396"/>
      <c r="L54" s="396"/>
      <c r="M54" s="396"/>
      <c r="N54" s="396"/>
      <c r="O54" s="396"/>
      <c r="P54"/>
      <c r="S54"/>
    </row>
    <row r="55" spans="1:19" ht="15" thickBot="1" x14ac:dyDescent="0.4">
      <c r="B55" s="456" t="s">
        <v>497</v>
      </c>
      <c r="C55" s="457">
        <f>C24+C44+C47+C51</f>
        <v>242970842.55580032</v>
      </c>
      <c r="D55" s="457">
        <f>D24+D44+D47+D51+D52+D53</f>
        <v>90763571.549999982</v>
      </c>
      <c r="E55" s="457">
        <f>E24+E44</f>
        <v>12189254.894980475</v>
      </c>
      <c r="F55" s="458">
        <f>'Electric CE'!U72</f>
        <v>2.2929205960169625</v>
      </c>
      <c r="G55" s="459">
        <f>'Electric CE'!V72</f>
        <v>1.9861619585694501</v>
      </c>
      <c r="H55" s="410"/>
      <c r="J55" s="396" t="s">
        <v>504</v>
      </c>
      <c r="K55" s="396"/>
      <c r="L55" s="396"/>
      <c r="M55" s="396"/>
      <c r="N55" s="396"/>
      <c r="O55" s="396"/>
    </row>
    <row r="56" spans="1:19" x14ac:dyDescent="0.35">
      <c r="B56" s="480"/>
      <c r="C56" s="461"/>
      <c r="D56" s="462"/>
      <c r="E56" s="462"/>
      <c r="F56" s="481"/>
      <c r="G56" s="482"/>
      <c r="H56" s="410"/>
      <c r="J56" s="396" t="s">
        <v>505</v>
      </c>
      <c r="K56" s="396"/>
      <c r="L56" s="396"/>
      <c r="M56" s="396"/>
      <c r="N56" s="396"/>
      <c r="O56" s="396"/>
    </row>
    <row r="57" spans="1:19" x14ac:dyDescent="0.35">
      <c r="B57" s="480" t="s">
        <v>500</v>
      </c>
      <c r="C57" s="461">
        <f>'Electric CE'!H77</f>
        <v>0</v>
      </c>
      <c r="D57" s="462">
        <f>'Electric CE'!N77</f>
        <v>3707084.52</v>
      </c>
      <c r="E57" s="462"/>
      <c r="F57" s="463" t="s">
        <v>494</v>
      </c>
      <c r="G57" s="464" t="s">
        <v>494</v>
      </c>
      <c r="H57" s="421"/>
      <c r="J57" s="396" t="s">
        <v>506</v>
      </c>
      <c r="K57" s="396"/>
      <c r="L57" s="396"/>
      <c r="M57" s="396"/>
      <c r="N57" s="396"/>
      <c r="O57" s="396"/>
    </row>
    <row r="58" spans="1:19" ht="15" thickBot="1" x14ac:dyDescent="0.4">
      <c r="B58" s="484" t="s">
        <v>502</v>
      </c>
      <c r="C58" s="485">
        <f>C23+C44+C47+C51+C57</f>
        <v>244343027.06580031</v>
      </c>
      <c r="D58" s="485">
        <f>D23+D44+D47+D51+D52+D53+D57</f>
        <v>99157280.909999982</v>
      </c>
      <c r="E58" s="485">
        <f>E23+E44+E47+E51+E52+E53+E57</f>
        <v>13781682.069520094</v>
      </c>
      <c r="F58" s="486"/>
      <c r="G58" s="487"/>
      <c r="H58" s="406"/>
    </row>
    <row r="59" spans="1:19" x14ac:dyDescent="0.35">
      <c r="H59" s="406"/>
    </row>
    <row r="60" spans="1:19" x14ac:dyDescent="0.35">
      <c r="B60" s="432"/>
      <c r="D60" s="488"/>
      <c r="E60" s="489"/>
      <c r="H60" s="406"/>
    </row>
    <row r="61" spans="1:19" x14ac:dyDescent="0.35">
      <c r="D61" s="490"/>
      <c r="E61" s="489"/>
      <c r="H61" s="491"/>
    </row>
    <row r="62" spans="1:19" x14ac:dyDescent="0.35">
      <c r="E62" s="421"/>
      <c r="H62" s="406"/>
    </row>
    <row r="63" spans="1:19" x14ac:dyDescent="0.35">
      <c r="H63" s="492"/>
    </row>
    <row r="64" spans="1:19" x14ac:dyDescent="0.35">
      <c r="F64" s="493"/>
      <c r="G64" s="479" t="s">
        <v>507</v>
      </c>
      <c r="H64" s="491"/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32"/>
  <sheetViews>
    <sheetView zoomScale="85" zoomScaleNormal="85" workbookViewId="0">
      <selection activeCell="L24" sqref="L24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18230023</v>
      </c>
      <c r="D2" s="20" t="s">
        <v>299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18230023</v>
      </c>
      <c r="D5" s="61" t="s">
        <v>299</v>
      </c>
      <c r="E5" s="38" t="s">
        <v>667</v>
      </c>
      <c r="F5" s="39" t="s">
        <v>668</v>
      </c>
      <c r="G5" s="39"/>
      <c r="H5" s="39"/>
      <c r="I5" s="40" t="s">
        <v>274</v>
      </c>
      <c r="J5" s="41">
        <v>34</v>
      </c>
      <c r="K5" s="41">
        <v>0</v>
      </c>
      <c r="L5" s="41"/>
      <c r="M5" s="42">
        <v>0</v>
      </c>
      <c r="N5" s="42">
        <v>0</v>
      </c>
      <c r="O5" s="43">
        <v>0</v>
      </c>
      <c r="P5" s="44">
        <v>1399.99</v>
      </c>
      <c r="Q5" s="44">
        <v>0</v>
      </c>
      <c r="R5" s="45">
        <v>0</v>
      </c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-1399.99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 t="str">
        <f>HLOOKUP(I5,ElecAvoidedCostsWOCC!$A$5:$Q$50,G5+1,FALSE)</f>
        <v>SF Space Heat</v>
      </c>
      <c r="AG5" s="44" t="e">
        <f t="shared" ref="AG5:AG24" si="10">AF5*J5*K5</f>
        <v>#VALUE!</v>
      </c>
      <c r="AH5" s="52" t="str">
        <f>HLOOKUP(I5,ElecAvoidedCostsWOCC!$A$5:$Q$50,T5+1,FALSE)</f>
        <v>SF Space Heat</v>
      </c>
      <c r="AI5" s="44" t="e">
        <f t="shared" ref="AI5:AI24" si="11">AH5*J5*L5</f>
        <v>#VALUE!</v>
      </c>
      <c r="AJ5" s="44" t="e">
        <f>AG5+AI5</f>
        <v>#VALUE!</v>
      </c>
      <c r="AK5" s="44" t="e">
        <f>HLOOKUP(I5,ElecAvoidedCostsWOCC!$A$5:$Q$50,G5+1,FALSE)*J5*L5</f>
        <v>#VALUE!</v>
      </c>
      <c r="AL5" s="44" t="e">
        <f>AG5+AI5-AK5</f>
        <v>#VALUE!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707612.22</v>
      </c>
      <c r="B6" s="97" t="s">
        <v>15</v>
      </c>
      <c r="C6" s="61">
        <v>18230023</v>
      </c>
      <c r="D6" s="61" t="s">
        <v>299</v>
      </c>
      <c r="E6" s="38" t="s">
        <v>669</v>
      </c>
      <c r="F6" s="39" t="s">
        <v>670</v>
      </c>
      <c r="G6" s="39">
        <v>11</v>
      </c>
      <c r="H6" s="39"/>
      <c r="I6" s="40" t="s">
        <v>274</v>
      </c>
      <c r="J6" s="41">
        <v>290</v>
      </c>
      <c r="K6" s="41">
        <v>508</v>
      </c>
      <c r="L6" s="41"/>
      <c r="M6" s="42">
        <v>75</v>
      </c>
      <c r="N6" s="42">
        <v>189</v>
      </c>
      <c r="O6" s="43">
        <v>147320</v>
      </c>
      <c r="P6" s="44">
        <v>21698.61</v>
      </c>
      <c r="Q6" s="44">
        <v>54810</v>
      </c>
      <c r="R6" s="45">
        <v>0</v>
      </c>
      <c r="S6" s="46">
        <v>0</v>
      </c>
      <c r="T6" s="39">
        <f t="shared" si="0"/>
        <v>11</v>
      </c>
      <c r="U6" s="47">
        <f t="shared" si="1"/>
        <v>0.89231358832831886</v>
      </c>
      <c r="V6" s="48">
        <f t="shared" si="2"/>
        <v>114</v>
      </c>
      <c r="W6" s="49">
        <f t="shared" si="3"/>
        <v>8.1119417120756265E-2</v>
      </c>
      <c r="X6" s="44">
        <f t="shared" si="4"/>
        <v>23595.989282677925</v>
      </c>
      <c r="Y6" s="44">
        <f t="shared" si="5"/>
        <v>33111.39</v>
      </c>
      <c r="Z6" s="44">
        <f t="shared" si="6"/>
        <v>80997.080116602272</v>
      </c>
      <c r="AA6" s="50">
        <f t="shared" si="7"/>
        <v>78405.989282677925</v>
      </c>
      <c r="AB6" s="51">
        <f t="shared" si="8"/>
        <v>75839.962655994634</v>
      </c>
      <c r="AC6" s="44">
        <f t="shared" si="8"/>
        <v>73413.847642956855</v>
      </c>
      <c r="AD6" s="44">
        <f t="shared" si="9"/>
        <v>0</v>
      </c>
      <c r="AE6" s="44">
        <v>0</v>
      </c>
      <c r="AF6" s="52">
        <f>HLOOKUP(I6,ElecAvoidedCostsWOCC!$A$5:$Q$50,G6+1,FALSE)</f>
        <v>1.0150905720727579</v>
      </c>
      <c r="AG6" s="44">
        <f t="shared" si="10"/>
        <v>149543.14307775869</v>
      </c>
      <c r="AH6" s="52">
        <f>HLOOKUP(I6,ElecAvoidedCostsWOCC!$A$5:$Q$50,T6+1,FALSE)</f>
        <v>1.0150905720727579</v>
      </c>
      <c r="AI6" s="44">
        <f t="shared" si="11"/>
        <v>0</v>
      </c>
      <c r="AJ6" s="44">
        <f t="shared" ref="AJ6:AJ24" si="12">AG6+AI6</f>
        <v>149543.14307775869</v>
      </c>
      <c r="AK6" s="44">
        <f>HLOOKUP(I6,ElecAvoidedCostsWOCC!$A$5:$Q$50,G6+1,FALSE)*J6*L6</f>
        <v>0</v>
      </c>
      <c r="AL6" s="44">
        <f t="shared" ref="AL6:AL24" si="13">AG6+AI6-AK6</f>
        <v>149543.14307775869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149543.14307775869</v>
      </c>
      <c r="AN6" s="48">
        <f t="shared" ref="AN6:AN24" si="14">AM6*1.1+AD6+AE6</f>
        <v>164497.45738553457</v>
      </c>
      <c r="AO6" s="47">
        <f t="shared" ref="AO6:AO24" si="15">IFERROR(AM6/AB6,0)</f>
        <v>1.9718251148945987</v>
      </c>
      <c r="AP6" s="47">
        <f t="shared" ref="AP6:AP24" si="16">AN6/AC6</f>
        <v>2.2406870456586954</v>
      </c>
    </row>
    <row r="7" spans="1:42" ht="13.5" customHeight="1" x14ac:dyDescent="0.35">
      <c r="A7" s="36" t="s">
        <v>240</v>
      </c>
      <c r="B7" s="97" t="s">
        <v>15</v>
      </c>
      <c r="C7" s="61">
        <v>18230023</v>
      </c>
      <c r="D7" s="61" t="s">
        <v>299</v>
      </c>
      <c r="E7" s="38" t="s">
        <v>671</v>
      </c>
      <c r="F7" s="39" t="s">
        <v>670</v>
      </c>
      <c r="G7" s="39">
        <v>11</v>
      </c>
      <c r="H7" s="39"/>
      <c r="I7" s="40" t="s">
        <v>274</v>
      </c>
      <c r="J7" s="41">
        <v>1000</v>
      </c>
      <c r="K7" s="41">
        <v>508</v>
      </c>
      <c r="L7" s="41"/>
      <c r="M7" s="42">
        <v>75</v>
      </c>
      <c r="N7" s="42">
        <v>189</v>
      </c>
      <c r="O7" s="43">
        <v>508000</v>
      </c>
      <c r="P7" s="44">
        <v>73637.56</v>
      </c>
      <c r="Q7" s="44">
        <v>189000</v>
      </c>
      <c r="R7" s="45">
        <v>20.9</v>
      </c>
      <c r="S7" s="46">
        <v>0</v>
      </c>
      <c r="T7" s="39">
        <f t="shared" si="0"/>
        <v>11</v>
      </c>
      <c r="U7" s="47">
        <f t="shared" si="1"/>
        <v>3.0769434080286859</v>
      </c>
      <c r="V7" s="48">
        <f t="shared" si="2"/>
        <v>114</v>
      </c>
      <c r="W7" s="49">
        <f t="shared" si="3"/>
        <v>0.27972212800260782</v>
      </c>
      <c r="X7" s="44">
        <f t="shared" si="4"/>
        <v>81365.480285096302</v>
      </c>
      <c r="Y7" s="44">
        <f t="shared" si="5"/>
        <v>115362.44</v>
      </c>
      <c r="Z7" s="44">
        <f t="shared" si="6"/>
        <v>279300.27626414574</v>
      </c>
      <c r="AA7" s="50">
        <f t="shared" si="7"/>
        <v>270365.48028509633</v>
      </c>
      <c r="AB7" s="51">
        <f t="shared" si="8"/>
        <v>261517.11260687801</v>
      </c>
      <c r="AC7" s="44">
        <f t="shared" si="8"/>
        <v>253151.19876881677</v>
      </c>
      <c r="AD7" s="44">
        <f t="shared" si="9"/>
        <v>158295.52326008523</v>
      </c>
      <c r="AE7" s="44">
        <v>0</v>
      </c>
      <c r="AF7" s="52">
        <f>HLOOKUP(I7,ElecAvoidedCostsWOCC!$A$5:$Q$50,G7+1,FALSE)</f>
        <v>1.0150905720727579</v>
      </c>
      <c r="AG7" s="44">
        <f t="shared" si="10"/>
        <v>515666.01061296096</v>
      </c>
      <c r="AH7" s="52">
        <f>HLOOKUP(I7,ElecAvoidedCostsWOCC!$A$5:$Q$50,T7+1,FALSE)</f>
        <v>1.0150905720727579</v>
      </c>
      <c r="AI7" s="44">
        <f t="shared" si="11"/>
        <v>0</v>
      </c>
      <c r="AJ7" s="44">
        <f t="shared" si="12"/>
        <v>515666.01061296096</v>
      </c>
      <c r="AK7" s="44">
        <f>HLOOKUP(I7,ElecAvoidedCostsWOCC!$A$5:$Q$50,G7+1,FALSE)*J7*L7</f>
        <v>0</v>
      </c>
      <c r="AL7" s="44">
        <f t="shared" si="13"/>
        <v>515666.01061296096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515666.01061296102</v>
      </c>
      <c r="AN7" s="48">
        <f t="shared" si="14"/>
        <v>725528.13493434247</v>
      </c>
      <c r="AO7" s="47">
        <f t="shared" si="15"/>
        <v>1.9718251148945989</v>
      </c>
      <c r="AP7" s="47">
        <f t="shared" si="16"/>
        <v>2.865987356421372</v>
      </c>
    </row>
    <row r="8" spans="1:42" ht="13.5" customHeight="1" x14ac:dyDescent="0.35">
      <c r="A8" s="53">
        <f>SUMIF('Program Costs'!D:D,C2,'Program Costs'!O:O)</f>
        <v>290879.66999999993</v>
      </c>
      <c r="B8" s="97" t="s">
        <v>15</v>
      </c>
      <c r="C8" s="61">
        <v>18230023</v>
      </c>
      <c r="D8" s="61" t="s">
        <v>299</v>
      </c>
      <c r="E8" s="38" t="s">
        <v>672</v>
      </c>
      <c r="F8" s="39" t="s">
        <v>673</v>
      </c>
      <c r="G8" s="39">
        <v>11</v>
      </c>
      <c r="H8" s="39"/>
      <c r="I8" s="40" t="s">
        <v>274</v>
      </c>
      <c r="J8" s="41">
        <v>4</v>
      </c>
      <c r="K8" s="41">
        <v>508</v>
      </c>
      <c r="L8" s="41"/>
      <c r="M8" s="42">
        <v>150</v>
      </c>
      <c r="N8" s="42">
        <v>189</v>
      </c>
      <c r="O8" s="43">
        <v>2032</v>
      </c>
      <c r="P8" s="44">
        <v>600</v>
      </c>
      <c r="Q8" s="44">
        <v>756</v>
      </c>
      <c r="R8" s="45">
        <v>20.9</v>
      </c>
      <c r="S8" s="46">
        <v>0</v>
      </c>
      <c r="T8" s="39">
        <f t="shared" si="0"/>
        <v>11</v>
      </c>
      <c r="U8" s="47">
        <f t="shared" si="1"/>
        <v>1.2307773632114744E-2</v>
      </c>
      <c r="V8" s="48">
        <f t="shared" si="2"/>
        <v>39</v>
      </c>
      <c r="W8" s="49">
        <f t="shared" si="3"/>
        <v>1.1188885120104312E-3</v>
      </c>
      <c r="X8" s="44">
        <f t="shared" si="4"/>
        <v>325.46192114038519</v>
      </c>
      <c r="Y8" s="44">
        <f t="shared" si="5"/>
        <v>156</v>
      </c>
      <c r="Z8" s="44">
        <f t="shared" si="6"/>
        <v>1117.2011050565829</v>
      </c>
      <c r="AA8" s="50">
        <f t="shared" si="7"/>
        <v>1081.4619211403851</v>
      </c>
      <c r="AB8" s="51">
        <f t="shared" si="8"/>
        <v>1046.0684504275121</v>
      </c>
      <c r="AC8" s="44">
        <f t="shared" si="8"/>
        <v>1012.6047950752669</v>
      </c>
      <c r="AD8" s="44">
        <f t="shared" si="9"/>
        <v>633.18209304034087</v>
      </c>
      <c r="AE8" s="44">
        <v>0</v>
      </c>
      <c r="AF8" s="52">
        <f>HLOOKUP(I8,ElecAvoidedCostsWOCC!$A$5:$Q$50,G8+1,FALSE)</f>
        <v>1.0150905720727579</v>
      </c>
      <c r="AG8" s="44">
        <f t="shared" si="10"/>
        <v>2062.6640424518441</v>
      </c>
      <c r="AH8" s="52">
        <f>HLOOKUP(I8,ElecAvoidedCostsWOCC!$A$5:$Q$50,T8+1,FALSE)</f>
        <v>1.0150905720727579</v>
      </c>
      <c r="AI8" s="44">
        <f t="shared" si="11"/>
        <v>0</v>
      </c>
      <c r="AJ8" s="44">
        <f t="shared" si="12"/>
        <v>2062.6640424518441</v>
      </c>
      <c r="AK8" s="44">
        <f>HLOOKUP(I8,ElecAvoidedCostsWOCC!$A$5:$Q$50,G8+1,FALSE)*J8*L8</f>
        <v>0</v>
      </c>
      <c r="AL8" s="44">
        <f t="shared" si="13"/>
        <v>2062.6640424518441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2062.6640424518441</v>
      </c>
      <c r="AN8" s="48">
        <f t="shared" si="14"/>
        <v>2902.1125397373698</v>
      </c>
      <c r="AO8" s="47">
        <f t="shared" si="15"/>
        <v>1.9718251148945991</v>
      </c>
      <c r="AP8" s="47">
        <f t="shared" si="16"/>
        <v>2.8659873564213725</v>
      </c>
    </row>
    <row r="9" spans="1:42" ht="13.5" customHeight="1" x14ac:dyDescent="0.35">
      <c r="A9" s="36" t="s">
        <v>242</v>
      </c>
      <c r="B9" s="97" t="s">
        <v>15</v>
      </c>
      <c r="C9" s="61">
        <v>18230023</v>
      </c>
      <c r="D9" s="61" t="s">
        <v>299</v>
      </c>
      <c r="E9" s="38" t="s">
        <v>674</v>
      </c>
      <c r="F9" s="39" t="s">
        <v>675</v>
      </c>
      <c r="G9" s="39">
        <v>11</v>
      </c>
      <c r="H9" s="39"/>
      <c r="I9" s="40" t="s">
        <v>274</v>
      </c>
      <c r="J9" s="41">
        <v>1255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11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1.0150905720727579</v>
      </c>
      <c r="AG9" s="44">
        <f t="shared" si="10"/>
        <v>0</v>
      </c>
      <c r="AH9" s="52">
        <f>HLOOKUP(I9,ElecAvoidedCostsWOCC!$A$5:$Q$50,T9+1,FALSE)</f>
        <v>1.0150905720727579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1816088</v>
      </c>
      <c r="B10" s="97" t="s">
        <v>15</v>
      </c>
      <c r="C10" s="61">
        <v>18230023</v>
      </c>
      <c r="D10" s="61" t="s">
        <v>299</v>
      </c>
      <c r="E10" s="38" t="s">
        <v>676</v>
      </c>
      <c r="F10" s="39" t="s">
        <v>675</v>
      </c>
      <c r="G10" s="39">
        <v>11</v>
      </c>
      <c r="H10" s="39"/>
      <c r="I10" s="40" t="s">
        <v>274</v>
      </c>
      <c r="J10" s="41">
        <v>3615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6.0759999999999996</v>
      </c>
      <c r="S10" s="46">
        <v>0</v>
      </c>
      <c r="T10" s="39">
        <f t="shared" si="0"/>
        <v>11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166359.8091661112</v>
      </c>
      <c r="AE10" s="44">
        <f t="shared" si="17"/>
        <v>0</v>
      </c>
      <c r="AF10" s="52">
        <f>HLOOKUP(I10,ElecAvoidedCostsWOCC!$A$5:$Q$50,G10+1,FALSE)</f>
        <v>1.0150905720727579</v>
      </c>
      <c r="AG10" s="44">
        <f t="shared" si="10"/>
        <v>0</v>
      </c>
      <c r="AH10" s="52">
        <f>HLOOKUP(I10,ElecAvoidedCostsWOCC!$A$5:$Q$50,T10+1,FALSE)</f>
        <v>1.0150905720727579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166359.8091661112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15</v>
      </c>
      <c r="C11" s="61">
        <v>18230023</v>
      </c>
      <c r="D11" s="61" t="s">
        <v>299</v>
      </c>
      <c r="E11" s="38" t="s">
        <v>677</v>
      </c>
      <c r="F11" s="39" t="s">
        <v>678</v>
      </c>
      <c r="G11" s="39">
        <v>11</v>
      </c>
      <c r="H11" s="39"/>
      <c r="I11" s="40" t="s">
        <v>274</v>
      </c>
      <c r="J11" s="41">
        <v>17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6.0759999999999996</v>
      </c>
      <c r="S11" s="46">
        <v>0</v>
      </c>
      <c r="T11" s="39">
        <f t="shared" si="0"/>
        <v>11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782.32828653496279</v>
      </c>
      <c r="AE11" s="44">
        <f t="shared" si="17"/>
        <v>0</v>
      </c>
      <c r="AF11" s="52">
        <f>HLOOKUP(I11,ElecAvoidedCostsWOCC!$A$5:$Q$50,G11+1,FALSE)</f>
        <v>1.0150905720727579</v>
      </c>
      <c r="AG11" s="44">
        <f t="shared" si="10"/>
        <v>0</v>
      </c>
      <c r="AH11" s="52">
        <f>HLOOKUP(I11,ElecAvoidedCostsWOCC!$A$5:$Q$50,T11+1,FALSE)</f>
        <v>1.0150905720727579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782.32828653496279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649350.17999999993</v>
      </c>
      <c r="B12" s="97" t="s">
        <v>15</v>
      </c>
      <c r="C12" s="61">
        <v>18230023</v>
      </c>
      <c r="D12" s="61" t="s">
        <v>299</v>
      </c>
      <c r="E12" s="38" t="s">
        <v>679</v>
      </c>
      <c r="F12" s="39" t="s">
        <v>680</v>
      </c>
      <c r="G12" s="39">
        <v>15</v>
      </c>
      <c r="H12" s="39"/>
      <c r="I12" s="40" t="s">
        <v>274</v>
      </c>
      <c r="J12" s="41">
        <v>420</v>
      </c>
      <c r="K12" s="41">
        <v>69</v>
      </c>
      <c r="L12" s="41"/>
      <c r="M12" s="42">
        <v>75</v>
      </c>
      <c r="N12" s="42">
        <v>100</v>
      </c>
      <c r="O12" s="43">
        <v>28980</v>
      </c>
      <c r="P12" s="44">
        <v>31907.07</v>
      </c>
      <c r="Q12" s="44">
        <v>42000</v>
      </c>
      <c r="R12" s="45">
        <v>0</v>
      </c>
      <c r="S12" s="46">
        <v>0</v>
      </c>
      <c r="T12" s="39">
        <f t="shared" si="0"/>
        <v>15</v>
      </c>
      <c r="U12" s="47">
        <f t="shared" si="1"/>
        <v>0.23936064772191656</v>
      </c>
      <c r="V12" s="48">
        <f t="shared" si="2"/>
        <v>25</v>
      </c>
      <c r="W12" s="49">
        <f t="shared" si="3"/>
        <v>1.5957376514794439E-2</v>
      </c>
      <c r="X12" s="44">
        <f t="shared" si="4"/>
        <v>4641.6764146891555</v>
      </c>
      <c r="Y12" s="44">
        <f t="shared" si="5"/>
        <v>10092.93</v>
      </c>
      <c r="Z12" s="44">
        <f t="shared" si="6"/>
        <v>15933.311035698709</v>
      </c>
      <c r="AA12" s="50">
        <f t="shared" si="7"/>
        <v>46641.676414689158</v>
      </c>
      <c r="AB12" s="51">
        <f t="shared" si="8"/>
        <v>14918.830557770327</v>
      </c>
      <c r="AC12" s="44">
        <f t="shared" si="8"/>
        <v>43671.981661693964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1.3031638418298148</v>
      </c>
      <c r="AG12" s="44">
        <f t="shared" si="10"/>
        <v>37765.688136228033</v>
      </c>
      <c r="AH12" s="52">
        <f>HLOOKUP(I12,ElecAvoidedCostsWOCC!$A$5:$Q$50,T12+1,FALSE)</f>
        <v>1.3031638418298148</v>
      </c>
      <c r="AI12" s="44">
        <f t="shared" si="11"/>
        <v>0</v>
      </c>
      <c r="AJ12" s="44">
        <f t="shared" si="12"/>
        <v>37765.688136228033</v>
      </c>
      <c r="AK12" s="44">
        <f>HLOOKUP(I12,ElecAvoidedCostsWOCC!$A$5:$Q$50,G12+1,FALSE)*J12*L12</f>
        <v>0</v>
      </c>
      <c r="AL12" s="44">
        <f t="shared" si="13"/>
        <v>37765.688136228033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37765.688136228033</v>
      </c>
      <c r="AN12" s="48">
        <f t="shared" si="14"/>
        <v>41542.256949850838</v>
      </c>
      <c r="AO12" s="47">
        <f t="shared" si="15"/>
        <v>2.5314107556880954</v>
      </c>
      <c r="AP12" s="47">
        <f t="shared" si="16"/>
        <v>0.95123361407455498</v>
      </c>
    </row>
    <row r="13" spans="1:42" ht="13.5" customHeight="1" x14ac:dyDescent="0.35">
      <c r="A13" s="56" t="s">
        <v>246</v>
      </c>
      <c r="B13" s="97" t="s">
        <v>15</v>
      </c>
      <c r="C13" s="61">
        <v>18230023</v>
      </c>
      <c r="D13" s="61" t="s">
        <v>299</v>
      </c>
      <c r="E13" s="38" t="s">
        <v>681</v>
      </c>
      <c r="F13" s="39" t="s">
        <v>680</v>
      </c>
      <c r="G13" s="39">
        <v>15</v>
      </c>
      <c r="H13" s="39"/>
      <c r="I13" s="40" t="s">
        <v>274</v>
      </c>
      <c r="J13" s="41">
        <v>910</v>
      </c>
      <c r="K13" s="41">
        <v>69</v>
      </c>
      <c r="L13" s="41"/>
      <c r="M13" s="42">
        <v>75</v>
      </c>
      <c r="N13" s="42">
        <v>100</v>
      </c>
      <c r="O13" s="43">
        <v>62790</v>
      </c>
      <c r="P13" s="44">
        <v>67650</v>
      </c>
      <c r="Q13" s="44">
        <v>91000</v>
      </c>
      <c r="R13" s="45">
        <v>3.601</v>
      </c>
      <c r="S13" s="46">
        <v>0</v>
      </c>
      <c r="T13" s="39">
        <f t="shared" si="0"/>
        <v>15</v>
      </c>
      <c r="U13" s="47">
        <f t="shared" si="1"/>
        <v>0.51861473673081926</v>
      </c>
      <c r="V13" s="48">
        <f t="shared" si="2"/>
        <v>25</v>
      </c>
      <c r="W13" s="49">
        <f t="shared" si="3"/>
        <v>3.4574315782054617E-2</v>
      </c>
      <c r="X13" s="44">
        <f t="shared" si="4"/>
        <v>10056.965565159837</v>
      </c>
      <c r="Y13" s="44">
        <f t="shared" si="5"/>
        <v>23350</v>
      </c>
      <c r="Z13" s="44">
        <f t="shared" si="6"/>
        <v>34522.17391068054</v>
      </c>
      <c r="AA13" s="50">
        <f t="shared" si="7"/>
        <v>101056.96556515983</v>
      </c>
      <c r="AB13" s="51">
        <f t="shared" si="8"/>
        <v>32324.132875169042</v>
      </c>
      <c r="AC13" s="44">
        <f t="shared" si="8"/>
        <v>94622.626933670253</v>
      </c>
      <c r="AD13" s="44">
        <f t="shared" si="9"/>
        <v>30226.524500081141</v>
      </c>
      <c r="AE13" s="44">
        <f t="shared" si="17"/>
        <v>0</v>
      </c>
      <c r="AF13" s="52">
        <f>HLOOKUP(I13,ElecAvoidedCostsWOCC!$A$5:$Q$50,G13+1,FALSE)</f>
        <v>1.3031638418298148</v>
      </c>
      <c r="AG13" s="44">
        <f t="shared" si="10"/>
        <v>81825.657628494082</v>
      </c>
      <c r="AH13" s="52">
        <f>HLOOKUP(I13,ElecAvoidedCostsWOCC!$A$5:$Q$50,T13+1,FALSE)</f>
        <v>1.3031638418298148</v>
      </c>
      <c r="AI13" s="44">
        <f t="shared" si="11"/>
        <v>0</v>
      </c>
      <c r="AJ13" s="44">
        <f t="shared" si="12"/>
        <v>81825.657628494082</v>
      </c>
      <c r="AK13" s="44">
        <f>HLOOKUP(I13,ElecAvoidedCostsWOCC!$A$5:$Q$50,G13+1,FALSE)*J13*L13</f>
        <v>0</v>
      </c>
      <c r="AL13" s="44">
        <f t="shared" si="13"/>
        <v>81825.657628494082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81825.657628494067</v>
      </c>
      <c r="AN13" s="48">
        <f t="shared" si="14"/>
        <v>120234.74789142462</v>
      </c>
      <c r="AO13" s="47">
        <f t="shared" si="15"/>
        <v>2.5314107556880954</v>
      </c>
      <c r="AP13" s="47">
        <f t="shared" si="16"/>
        <v>1.2706764944890852</v>
      </c>
    </row>
    <row r="14" spans="1:42" ht="13.5" customHeight="1" x14ac:dyDescent="0.35">
      <c r="A14" s="55">
        <f>SUM(Y5:Y1000)</f>
        <v>293903.82</v>
      </c>
      <c r="B14" s="97" t="s">
        <v>15</v>
      </c>
      <c r="C14" s="61">
        <v>18230023</v>
      </c>
      <c r="D14" s="61" t="s">
        <v>299</v>
      </c>
      <c r="E14" s="38" t="s">
        <v>682</v>
      </c>
      <c r="F14" s="39" t="s">
        <v>683</v>
      </c>
      <c r="G14" s="39">
        <v>15</v>
      </c>
      <c r="H14" s="39"/>
      <c r="I14" s="40" t="s">
        <v>274</v>
      </c>
      <c r="J14" s="41">
        <v>2270</v>
      </c>
      <c r="K14" s="41">
        <v>69</v>
      </c>
      <c r="L14" s="41"/>
      <c r="M14" s="42">
        <v>100</v>
      </c>
      <c r="N14" s="42">
        <v>100</v>
      </c>
      <c r="O14" s="43">
        <v>156630</v>
      </c>
      <c r="P14" s="44">
        <v>226959.62</v>
      </c>
      <c r="Q14" s="44">
        <v>227000</v>
      </c>
      <c r="R14" s="45">
        <v>3.601</v>
      </c>
      <c r="S14" s="46">
        <v>0</v>
      </c>
      <c r="T14" s="39">
        <f t="shared" si="0"/>
        <v>15</v>
      </c>
      <c r="U14" s="47">
        <f t="shared" si="1"/>
        <v>1.2936873103065489</v>
      </c>
      <c r="V14" s="48">
        <f t="shared" si="2"/>
        <v>0</v>
      </c>
      <c r="W14" s="49">
        <f t="shared" si="3"/>
        <v>8.6245820687103264E-2</v>
      </c>
      <c r="X14" s="44">
        <f t="shared" si="4"/>
        <v>25087.155860343762</v>
      </c>
      <c r="Y14" s="44">
        <f t="shared" si="5"/>
        <v>40.380000000004657</v>
      </c>
      <c r="Z14" s="44">
        <f t="shared" si="6"/>
        <v>86115.752502466828</v>
      </c>
      <c r="AA14" s="50">
        <f t="shared" si="7"/>
        <v>252087.15586034377</v>
      </c>
      <c r="AB14" s="51">
        <f t="shared" si="8"/>
        <v>80632.727062234859</v>
      </c>
      <c r="AC14" s="44">
        <f t="shared" si="8"/>
        <v>236036.66279058406</v>
      </c>
      <c r="AD14" s="44">
        <f t="shared" si="9"/>
        <v>75400.231445257348</v>
      </c>
      <c r="AE14" s="44">
        <f t="shared" si="17"/>
        <v>0</v>
      </c>
      <c r="AF14" s="52">
        <f>HLOOKUP(I14,ElecAvoidedCostsWOCC!$A$5:$Q$50,G14+1,FALSE)</f>
        <v>1.3031638418298148</v>
      </c>
      <c r="AG14" s="44">
        <f t="shared" si="10"/>
        <v>204114.55254580389</v>
      </c>
      <c r="AH14" s="52">
        <f>HLOOKUP(I14,ElecAvoidedCostsWOCC!$A$5:$Q$50,T14+1,FALSE)</f>
        <v>1.3031638418298148</v>
      </c>
      <c r="AI14" s="44">
        <f t="shared" si="11"/>
        <v>0</v>
      </c>
      <c r="AJ14" s="44">
        <f t="shared" si="12"/>
        <v>204114.55254580389</v>
      </c>
      <c r="AK14" s="44">
        <f>HLOOKUP(I14,ElecAvoidedCostsWOCC!$A$5:$Q$50,G14+1,FALSE)*J14*L14</f>
        <v>0</v>
      </c>
      <c r="AL14" s="44">
        <f t="shared" si="13"/>
        <v>204114.55254580389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204114.55254580389</v>
      </c>
      <c r="AN14" s="48">
        <f t="shared" si="14"/>
        <v>299926.23924564163</v>
      </c>
      <c r="AO14" s="47">
        <f t="shared" si="15"/>
        <v>2.5314107556880954</v>
      </c>
      <c r="AP14" s="47">
        <f t="shared" si="16"/>
        <v>1.2706764944890852</v>
      </c>
    </row>
    <row r="15" spans="1:42" ht="13.5" customHeight="1" x14ac:dyDescent="0.35">
      <c r="A15" s="57" t="s">
        <v>249</v>
      </c>
      <c r="B15" s="97" t="s">
        <v>15</v>
      </c>
      <c r="C15" s="61">
        <v>18230023</v>
      </c>
      <c r="D15" s="61" t="s">
        <v>299</v>
      </c>
      <c r="E15" s="38" t="s">
        <v>684</v>
      </c>
      <c r="F15" s="39" t="s">
        <v>685</v>
      </c>
      <c r="G15" s="39"/>
      <c r="H15" s="39"/>
      <c r="I15" s="40" t="s">
        <v>274</v>
      </c>
      <c r="J15" s="41">
        <v>10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875</v>
      </c>
      <c r="Q15" s="44">
        <v>0</v>
      </c>
      <c r="R15" s="45">
        <v>0</v>
      </c>
      <c r="S15" s="46">
        <v>0</v>
      </c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-875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str">
        <f>HLOOKUP(I15,ElecAvoidedCostsWOCC!$A$5:$Q$50,G15+1,FALSE)</f>
        <v>SF Space Heat</v>
      </c>
      <c r="AG15" s="44" t="e">
        <f t="shared" si="10"/>
        <v>#VALUE!</v>
      </c>
      <c r="AH15" s="52" t="str">
        <f>HLOOKUP(I15,ElecAvoidedCostsWOCC!$A$5:$Q$50,T15+1,FALSE)</f>
        <v>SF Space Heat</v>
      </c>
      <c r="AI15" s="44" t="e">
        <f t="shared" si="11"/>
        <v>#VALUE!</v>
      </c>
      <c r="AJ15" s="44" t="e">
        <f t="shared" si="12"/>
        <v>#VALUE!</v>
      </c>
      <c r="AK15" s="44" t="e">
        <f>HLOOKUP(I15,ElecAvoidedCostsWOCC!$A$5:$Q$50,G15+1,FALSE)*J15*L15</f>
        <v>#VALUE!</v>
      </c>
      <c r="AL15" s="44" t="e">
        <f t="shared" si="13"/>
        <v>#VALUE!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11.547110051935809</v>
      </c>
      <c r="B16" s="97" t="s">
        <v>15</v>
      </c>
      <c r="C16" s="61">
        <v>18230023</v>
      </c>
      <c r="D16" s="61" t="s">
        <v>299</v>
      </c>
      <c r="E16" s="38" t="s">
        <v>686</v>
      </c>
      <c r="F16" s="39" t="s">
        <v>687</v>
      </c>
      <c r="G16" s="39">
        <v>11</v>
      </c>
      <c r="H16" s="39"/>
      <c r="I16" s="40" t="s">
        <v>274</v>
      </c>
      <c r="J16" s="41">
        <v>9</v>
      </c>
      <c r="K16" s="41">
        <v>508</v>
      </c>
      <c r="L16" s="41"/>
      <c r="M16" s="42">
        <v>150</v>
      </c>
      <c r="N16" s="42">
        <v>189</v>
      </c>
      <c r="O16" s="43">
        <v>4572</v>
      </c>
      <c r="P16" s="44">
        <v>1350</v>
      </c>
      <c r="Q16" s="44">
        <v>1701</v>
      </c>
      <c r="R16" s="45">
        <v>20.9</v>
      </c>
      <c r="S16" s="46">
        <v>0</v>
      </c>
      <c r="T16" s="39">
        <f t="shared" si="0"/>
        <v>11</v>
      </c>
      <c r="U16" s="47">
        <f t="shared" si="1"/>
        <v>2.7692490672258169E-2</v>
      </c>
      <c r="V16" s="48">
        <f t="shared" si="2"/>
        <v>39</v>
      </c>
      <c r="W16" s="49">
        <f t="shared" si="3"/>
        <v>2.5174991520234701E-3</v>
      </c>
      <c r="X16" s="44">
        <f t="shared" si="4"/>
        <v>732.28932256586666</v>
      </c>
      <c r="Y16" s="44">
        <f t="shared" si="5"/>
        <v>351</v>
      </c>
      <c r="Z16" s="44">
        <f t="shared" si="6"/>
        <v>2513.7024863773117</v>
      </c>
      <c r="AA16" s="50">
        <f t="shared" si="7"/>
        <v>2433.2893225658668</v>
      </c>
      <c r="AB16" s="51">
        <f t="shared" si="8"/>
        <v>2353.6540134619022</v>
      </c>
      <c r="AC16" s="44">
        <f t="shared" si="8"/>
        <v>2278.3607889193509</v>
      </c>
      <c r="AD16" s="44">
        <f t="shared" si="9"/>
        <v>1424.659709340767</v>
      </c>
      <c r="AE16" s="44">
        <f t="shared" si="17"/>
        <v>0</v>
      </c>
      <c r="AF16" s="52">
        <f>HLOOKUP(I16,ElecAvoidedCostsWOCC!$A$5:$Q$50,G16+1,FALSE)</f>
        <v>1.0150905720727579</v>
      </c>
      <c r="AG16" s="44">
        <f t="shared" si="10"/>
        <v>4640.9940955166494</v>
      </c>
      <c r="AH16" s="52">
        <f>HLOOKUP(I16,ElecAvoidedCostsWOCC!$A$5:$Q$50,T16+1,FALSE)</f>
        <v>1.0150905720727579</v>
      </c>
      <c r="AI16" s="44">
        <f t="shared" si="11"/>
        <v>0</v>
      </c>
      <c r="AJ16" s="44">
        <f t="shared" si="12"/>
        <v>4640.9940955166494</v>
      </c>
      <c r="AK16" s="44">
        <f>HLOOKUP(I16,ElecAvoidedCostsWOCC!$A$5:$Q$50,G16+1,FALSE)*J16*L16</f>
        <v>0</v>
      </c>
      <c r="AL16" s="44">
        <f t="shared" si="13"/>
        <v>4640.9940955166494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4640.9940955166494</v>
      </c>
      <c r="AN16" s="48">
        <f t="shared" si="14"/>
        <v>6529.7532144090819</v>
      </c>
      <c r="AO16" s="47">
        <f t="shared" si="15"/>
        <v>1.9718251148945991</v>
      </c>
      <c r="AP16" s="47">
        <f t="shared" si="16"/>
        <v>2.865987356421372</v>
      </c>
    </row>
    <row r="17" spans="1:42" ht="13.5" customHeight="1" x14ac:dyDescent="0.35">
      <c r="A17" s="58" t="s">
        <v>252</v>
      </c>
      <c r="B17" s="97" t="s">
        <v>15</v>
      </c>
      <c r="C17" s="61">
        <v>18230023</v>
      </c>
      <c r="D17" s="61" t="s">
        <v>299</v>
      </c>
      <c r="E17" s="38" t="s">
        <v>688</v>
      </c>
      <c r="F17" s="39" t="s">
        <v>689</v>
      </c>
      <c r="G17" s="39">
        <v>11</v>
      </c>
      <c r="H17" s="39"/>
      <c r="I17" s="40" t="s">
        <v>274</v>
      </c>
      <c r="J17" s="41">
        <v>57</v>
      </c>
      <c r="K17" s="41">
        <v>508</v>
      </c>
      <c r="L17" s="41"/>
      <c r="M17" s="42">
        <v>100</v>
      </c>
      <c r="N17" s="42">
        <v>189</v>
      </c>
      <c r="O17" s="43">
        <v>28956</v>
      </c>
      <c r="P17" s="44">
        <v>5700</v>
      </c>
      <c r="Q17" s="44">
        <v>10773</v>
      </c>
      <c r="R17" s="45">
        <v>20.9</v>
      </c>
      <c r="S17" s="46">
        <v>0</v>
      </c>
      <c r="T17" s="39">
        <f t="shared" si="0"/>
        <v>11</v>
      </c>
      <c r="U17" s="47">
        <f t="shared" si="1"/>
        <v>0.1753857742576351</v>
      </c>
      <c r="V17" s="48">
        <f t="shared" si="2"/>
        <v>89</v>
      </c>
      <c r="W17" s="49">
        <f t="shared" si="3"/>
        <v>1.5944161296148646E-2</v>
      </c>
      <c r="X17" s="44">
        <f t="shared" si="4"/>
        <v>4637.8323762504888</v>
      </c>
      <c r="Y17" s="44">
        <f t="shared" si="5"/>
        <v>5073</v>
      </c>
      <c r="Z17" s="44">
        <f t="shared" si="6"/>
        <v>15920.115747056308</v>
      </c>
      <c r="AA17" s="50">
        <f t="shared" si="7"/>
        <v>15410.832376250488</v>
      </c>
      <c r="AB17" s="51">
        <f t="shared" si="8"/>
        <v>14906.475418592048</v>
      </c>
      <c r="AC17" s="44">
        <f t="shared" si="8"/>
        <v>14429.618329822553</v>
      </c>
      <c r="AD17" s="44">
        <f t="shared" si="9"/>
        <v>9022.8448258248573</v>
      </c>
      <c r="AE17" s="44">
        <f t="shared" si="17"/>
        <v>0</v>
      </c>
      <c r="AF17" s="52">
        <f>HLOOKUP(I17,ElecAvoidedCostsWOCC!$A$5:$Q$50,G17+1,FALSE)</f>
        <v>1.0150905720727579</v>
      </c>
      <c r="AG17" s="44">
        <f t="shared" si="10"/>
        <v>29392.962604938777</v>
      </c>
      <c r="AH17" s="52">
        <f>HLOOKUP(I17,ElecAvoidedCostsWOCC!$A$5:$Q$50,T17+1,FALSE)</f>
        <v>1.0150905720727579</v>
      </c>
      <c r="AI17" s="44">
        <f t="shared" si="11"/>
        <v>0</v>
      </c>
      <c r="AJ17" s="44">
        <f t="shared" si="12"/>
        <v>29392.962604938777</v>
      </c>
      <c r="AK17" s="44">
        <f>HLOOKUP(I17,ElecAvoidedCostsWOCC!$A$5:$Q$50,G17+1,FALSE)*J17*L17</f>
        <v>0</v>
      </c>
      <c r="AL17" s="44">
        <f t="shared" si="13"/>
        <v>29392.962604938777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29392.962604938777</v>
      </c>
      <c r="AN17" s="48">
        <f t="shared" si="14"/>
        <v>41355.103691257515</v>
      </c>
      <c r="AO17" s="47">
        <f t="shared" si="15"/>
        <v>1.9718251148945987</v>
      </c>
      <c r="AP17" s="47">
        <f t="shared" si="16"/>
        <v>2.865987356421372</v>
      </c>
    </row>
    <row r="18" spans="1:42" ht="13.5" customHeight="1" x14ac:dyDescent="0.35">
      <c r="A18" s="59">
        <f>A6+A8</f>
        <v>998491.8899999999</v>
      </c>
      <c r="B18" s="97" t="s">
        <v>15</v>
      </c>
      <c r="C18" s="61">
        <v>18230023</v>
      </c>
      <c r="D18" s="61" t="s">
        <v>299</v>
      </c>
      <c r="E18" s="38" t="s">
        <v>690</v>
      </c>
      <c r="F18" s="39" t="s">
        <v>691</v>
      </c>
      <c r="G18" s="39">
        <v>11</v>
      </c>
      <c r="H18" s="39"/>
      <c r="I18" s="40" t="s">
        <v>274</v>
      </c>
      <c r="J18" s="41">
        <v>271</v>
      </c>
      <c r="K18" s="41">
        <v>508</v>
      </c>
      <c r="L18" s="41"/>
      <c r="M18" s="42">
        <v>150</v>
      </c>
      <c r="N18" s="42">
        <v>189</v>
      </c>
      <c r="O18" s="43">
        <v>137668</v>
      </c>
      <c r="P18" s="44">
        <v>40627.339999999997</v>
      </c>
      <c r="Q18" s="44">
        <v>51219</v>
      </c>
      <c r="R18" s="45">
        <v>20.9</v>
      </c>
      <c r="S18" s="46">
        <v>0</v>
      </c>
      <c r="T18" s="39">
        <f t="shared" si="0"/>
        <v>11</v>
      </c>
      <c r="U18" s="47">
        <f t="shared" si="1"/>
        <v>0.83385166357577389</v>
      </c>
      <c r="V18" s="48">
        <f t="shared" si="2"/>
        <v>39</v>
      </c>
      <c r="W18" s="49">
        <f t="shared" si="3"/>
        <v>7.5804696688706721E-2</v>
      </c>
      <c r="X18" s="44">
        <f t="shared" si="4"/>
        <v>22050.045157261098</v>
      </c>
      <c r="Y18" s="44">
        <f t="shared" si="5"/>
        <v>10591.660000000003</v>
      </c>
      <c r="Z18" s="44">
        <f t="shared" si="6"/>
        <v>75690.374867583509</v>
      </c>
      <c r="AA18" s="50">
        <f t="shared" si="7"/>
        <v>73269.045157261105</v>
      </c>
      <c r="AB18" s="51">
        <f t="shared" si="8"/>
        <v>70871.137516463961</v>
      </c>
      <c r="AC18" s="44">
        <f t="shared" si="8"/>
        <v>68603.974866349352</v>
      </c>
      <c r="AD18" s="44">
        <f t="shared" si="9"/>
        <v>42898.086803483093</v>
      </c>
      <c r="AE18" s="44">
        <f t="shared" si="17"/>
        <v>0</v>
      </c>
      <c r="AF18" s="52">
        <f>HLOOKUP(I18,ElecAvoidedCostsWOCC!$A$5:$Q$50,G18+1,FALSE)</f>
        <v>1.0150905720727579</v>
      </c>
      <c r="AG18" s="44">
        <f t="shared" si="10"/>
        <v>139745.48887611242</v>
      </c>
      <c r="AH18" s="52">
        <f>HLOOKUP(I18,ElecAvoidedCostsWOCC!$A$5:$Q$50,T18+1,FALSE)</f>
        <v>1.0150905720727579</v>
      </c>
      <c r="AI18" s="44">
        <f t="shared" si="11"/>
        <v>0</v>
      </c>
      <c r="AJ18" s="44">
        <f t="shared" si="12"/>
        <v>139745.48887611242</v>
      </c>
      <c r="AK18" s="44">
        <f>HLOOKUP(I18,ElecAvoidedCostsWOCC!$A$5:$Q$50,G18+1,FALSE)*J18*L18</f>
        <v>0</v>
      </c>
      <c r="AL18" s="44">
        <f t="shared" si="13"/>
        <v>139745.48887611242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139745.48887611245</v>
      </c>
      <c r="AN18" s="48">
        <f t="shared" si="14"/>
        <v>196618.12456720677</v>
      </c>
      <c r="AO18" s="47">
        <f t="shared" si="15"/>
        <v>1.9718251148945987</v>
      </c>
      <c r="AP18" s="47">
        <f t="shared" si="16"/>
        <v>2.8659873564213711</v>
      </c>
    </row>
    <row r="19" spans="1:42" ht="13.5" customHeight="1" x14ac:dyDescent="0.35">
      <c r="A19" s="58" t="s">
        <v>222</v>
      </c>
      <c r="B19" s="97" t="s">
        <v>15</v>
      </c>
      <c r="C19" s="61">
        <v>18230023</v>
      </c>
      <c r="D19" s="61" t="s">
        <v>299</v>
      </c>
      <c r="E19" s="38" t="s">
        <v>692</v>
      </c>
      <c r="F19" s="39" t="s">
        <v>693</v>
      </c>
      <c r="G19" s="39">
        <v>11</v>
      </c>
      <c r="H19" s="39"/>
      <c r="I19" s="40" t="s">
        <v>274</v>
      </c>
      <c r="J19" s="41">
        <v>826</v>
      </c>
      <c r="K19" s="41">
        <v>508</v>
      </c>
      <c r="L19" s="41"/>
      <c r="M19" s="42">
        <v>100</v>
      </c>
      <c r="N19" s="42">
        <v>189</v>
      </c>
      <c r="O19" s="43">
        <v>419608</v>
      </c>
      <c r="P19" s="44">
        <v>82594.990000000005</v>
      </c>
      <c r="Q19" s="44">
        <v>156114</v>
      </c>
      <c r="R19" s="45">
        <v>20.9</v>
      </c>
      <c r="S19" s="46">
        <v>0</v>
      </c>
      <c r="T19" s="39">
        <f t="shared" si="0"/>
        <v>11</v>
      </c>
      <c r="U19" s="47">
        <f t="shared" si="1"/>
        <v>2.5415552550316947</v>
      </c>
      <c r="V19" s="48">
        <f t="shared" si="2"/>
        <v>89</v>
      </c>
      <c r="W19" s="49">
        <f t="shared" si="3"/>
        <v>0.23105047773015405</v>
      </c>
      <c r="X19" s="44">
        <f t="shared" si="4"/>
        <v>67207.886715489542</v>
      </c>
      <c r="Y19" s="44">
        <f t="shared" si="5"/>
        <v>73519.009999999995</v>
      </c>
      <c r="Z19" s="44">
        <f t="shared" si="6"/>
        <v>230702.02819418442</v>
      </c>
      <c r="AA19" s="50">
        <f t="shared" si="7"/>
        <v>223321.88671548956</v>
      </c>
      <c r="AB19" s="51">
        <f t="shared" si="8"/>
        <v>216013.13501328128</v>
      </c>
      <c r="AC19" s="44">
        <f t="shared" si="8"/>
        <v>209102.89018304265</v>
      </c>
      <c r="AD19" s="44">
        <f t="shared" si="9"/>
        <v>130752.10221283039</v>
      </c>
      <c r="AE19" s="44">
        <f t="shared" si="17"/>
        <v>0</v>
      </c>
      <c r="AF19" s="52">
        <f>HLOOKUP(I19,ElecAvoidedCostsWOCC!$A$5:$Q$50,G19+1,FALSE)</f>
        <v>1.0150905720727579</v>
      </c>
      <c r="AG19" s="44">
        <f t="shared" si="10"/>
        <v>425940.12476630579</v>
      </c>
      <c r="AH19" s="52">
        <f>HLOOKUP(I19,ElecAvoidedCostsWOCC!$A$5:$Q$50,T19+1,FALSE)</f>
        <v>1.0150905720727579</v>
      </c>
      <c r="AI19" s="44">
        <f t="shared" si="11"/>
        <v>0</v>
      </c>
      <c r="AJ19" s="44">
        <f t="shared" si="12"/>
        <v>425940.12476630579</v>
      </c>
      <c r="AK19" s="44">
        <f>HLOOKUP(I19,ElecAvoidedCostsWOCC!$A$5:$Q$50,G19+1,FALSE)*J19*L19</f>
        <v>0</v>
      </c>
      <c r="AL19" s="44">
        <f t="shared" si="13"/>
        <v>425940.12476630579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425940.12476630579</v>
      </c>
      <c r="AN19" s="48">
        <f t="shared" si="14"/>
        <v>599286.23945576674</v>
      </c>
      <c r="AO19" s="47">
        <f t="shared" si="15"/>
        <v>1.9718251148945984</v>
      </c>
      <c r="AP19" s="47">
        <f t="shared" si="16"/>
        <v>2.8659873564213716</v>
      </c>
    </row>
    <row r="20" spans="1:42" ht="13.5" customHeight="1" x14ac:dyDescent="0.35">
      <c r="A20" s="59">
        <f>A8+SUM(Q5:Q906)</f>
        <v>1234133.67</v>
      </c>
      <c r="B20" s="97" t="s">
        <v>15</v>
      </c>
      <c r="C20" s="61">
        <v>18230023</v>
      </c>
      <c r="D20" s="61" t="s">
        <v>299</v>
      </c>
      <c r="E20" s="38" t="s">
        <v>694</v>
      </c>
      <c r="F20" s="39" t="s">
        <v>695</v>
      </c>
      <c r="G20" s="39">
        <v>11</v>
      </c>
      <c r="H20" s="39"/>
      <c r="I20" s="40" t="s">
        <v>274</v>
      </c>
      <c r="J20" s="41">
        <v>629</v>
      </c>
      <c r="K20" s="41">
        <v>508</v>
      </c>
      <c r="L20" s="41"/>
      <c r="M20" s="42">
        <v>150</v>
      </c>
      <c r="N20" s="42">
        <v>189</v>
      </c>
      <c r="O20" s="43">
        <v>319532</v>
      </c>
      <c r="P20" s="44">
        <v>94350</v>
      </c>
      <c r="Q20" s="44">
        <v>118881</v>
      </c>
      <c r="R20" s="45">
        <v>20.9</v>
      </c>
      <c r="S20" s="46">
        <v>0</v>
      </c>
      <c r="T20" s="39">
        <f t="shared" si="0"/>
        <v>11</v>
      </c>
      <c r="U20" s="47">
        <f t="shared" si="1"/>
        <v>1.9353974036500434</v>
      </c>
      <c r="V20" s="48">
        <f t="shared" si="2"/>
        <v>39</v>
      </c>
      <c r="W20" s="49">
        <f t="shared" si="3"/>
        <v>0.17594521851364031</v>
      </c>
      <c r="X20" s="44">
        <f t="shared" si="4"/>
        <v>51178.88709932557</v>
      </c>
      <c r="Y20" s="44">
        <f t="shared" si="5"/>
        <v>24531</v>
      </c>
      <c r="Z20" s="44">
        <f t="shared" si="6"/>
        <v>175679.87377014768</v>
      </c>
      <c r="AA20" s="50">
        <f t="shared" si="7"/>
        <v>170059.88709932557</v>
      </c>
      <c r="AB20" s="51">
        <f t="shared" si="8"/>
        <v>164494.26382972629</v>
      </c>
      <c r="AC20" s="44">
        <f t="shared" si="8"/>
        <v>159232.10402558572</v>
      </c>
      <c r="AD20" s="44">
        <f t="shared" si="9"/>
        <v>99567.884130593608</v>
      </c>
      <c r="AE20" s="44">
        <f t="shared" si="17"/>
        <v>0</v>
      </c>
      <c r="AF20" s="52">
        <f>HLOOKUP(I20,ElecAvoidedCostsWOCC!$A$5:$Q$50,G20+1,FALSE)</f>
        <v>1.0150905720727579</v>
      </c>
      <c r="AG20" s="44">
        <f t="shared" si="10"/>
        <v>324353.92067555251</v>
      </c>
      <c r="AH20" s="52">
        <f>HLOOKUP(I20,ElecAvoidedCostsWOCC!$A$5:$Q$50,T20+1,FALSE)</f>
        <v>1.0150905720727579</v>
      </c>
      <c r="AI20" s="44">
        <f t="shared" si="11"/>
        <v>0</v>
      </c>
      <c r="AJ20" s="44">
        <f t="shared" si="12"/>
        <v>324353.92067555251</v>
      </c>
      <c r="AK20" s="44">
        <f>HLOOKUP(I20,ElecAvoidedCostsWOCC!$A$5:$Q$50,G20+1,FALSE)*J20*L20</f>
        <v>0</v>
      </c>
      <c r="AL20" s="44">
        <f t="shared" si="13"/>
        <v>324353.92067555251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324353.92067555251</v>
      </c>
      <c r="AN20" s="48">
        <f t="shared" si="14"/>
        <v>456357.19687370141</v>
      </c>
      <c r="AO20" s="47">
        <f t="shared" si="15"/>
        <v>1.9718251148945989</v>
      </c>
      <c r="AP20" s="47">
        <f t="shared" si="16"/>
        <v>2.8659873564213725</v>
      </c>
    </row>
    <row r="21" spans="1:42" ht="13.5" customHeight="1" x14ac:dyDescent="0.35">
      <c r="A21" s="58" t="s">
        <v>236</v>
      </c>
      <c r="B21" s="97" t="s">
        <v>15</v>
      </c>
      <c r="C21" s="61">
        <v>18230023</v>
      </c>
      <c r="D21" s="61" t="s">
        <v>299</v>
      </c>
      <c r="E21" s="38" t="s">
        <v>696</v>
      </c>
      <c r="F21" s="39" t="s">
        <v>697</v>
      </c>
      <c r="G21" s="39">
        <v>11</v>
      </c>
      <c r="H21" s="39"/>
      <c r="I21" s="40" t="s">
        <v>274</v>
      </c>
      <c r="J21" s="41">
        <v>3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>
        <v>6.0759999999999996</v>
      </c>
      <c r="S21" s="46">
        <v>0</v>
      </c>
      <c r="T21" s="39">
        <f t="shared" si="0"/>
        <v>11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138.05793291793461</v>
      </c>
      <c r="AE21" s="44">
        <f t="shared" si="17"/>
        <v>0</v>
      </c>
      <c r="AF21" s="52">
        <f>HLOOKUP(I21,ElecAvoidedCostsWOCC!$A$5:$Q$50,G21+1,FALSE)</f>
        <v>1.0150905720727579</v>
      </c>
      <c r="AG21" s="44">
        <f t="shared" si="10"/>
        <v>0</v>
      </c>
      <c r="AH21" s="52">
        <f>HLOOKUP(I21,ElecAvoidedCostsWOCC!$A$5:$Q$50,T21+1,FALSE)</f>
        <v>1.0150905720727579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138.05793291793461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2.048363847143865</v>
      </c>
      <c r="B22" s="97" t="s">
        <v>15</v>
      </c>
      <c r="C22" s="61">
        <v>18230023</v>
      </c>
      <c r="D22" s="61" t="s">
        <v>299</v>
      </c>
      <c r="E22" s="38" t="s">
        <v>698</v>
      </c>
      <c r="F22" s="39" t="s">
        <v>699</v>
      </c>
      <c r="G22" s="39">
        <v>11</v>
      </c>
      <c r="H22" s="39"/>
      <c r="I22" s="40" t="s">
        <v>274</v>
      </c>
      <c r="J22" s="41">
        <v>25</v>
      </c>
      <c r="K22" s="41"/>
      <c r="L22" s="41"/>
      <c r="M22" s="42"/>
      <c r="N22" s="42"/>
      <c r="O22" s="43">
        <v>0</v>
      </c>
      <c r="P22" s="44">
        <v>0</v>
      </c>
      <c r="Q22" s="44">
        <v>0</v>
      </c>
      <c r="R22" s="45">
        <v>6.0759999999999996</v>
      </c>
      <c r="S22" s="46">
        <v>0</v>
      </c>
      <c r="T22" s="39">
        <f t="shared" si="0"/>
        <v>11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1150.4827743161218</v>
      </c>
      <c r="AE22" s="44">
        <f t="shared" si="17"/>
        <v>0</v>
      </c>
      <c r="AF22" s="52">
        <f>HLOOKUP(I22,ElecAvoidedCostsWOCC!$A$5:$Q$50,G22+1,FALSE)</f>
        <v>1.0150905720727579</v>
      </c>
      <c r="AG22" s="44">
        <f t="shared" si="10"/>
        <v>0</v>
      </c>
      <c r="AH22" s="52">
        <f>HLOOKUP(I22,ElecAvoidedCostsWOCC!$A$5:$Q$50,T22+1,FALSE)</f>
        <v>1.0150905720727579</v>
      </c>
      <c r="AI22" s="44">
        <f t="shared" si="11"/>
        <v>0</v>
      </c>
      <c r="AJ22" s="44">
        <f t="shared" si="12"/>
        <v>0</v>
      </c>
      <c r="AK22" s="44">
        <f>HLOOKUP(I22,ElecAvoidedCostsWOCC!$A$5:$Q$50,G22+1,FALSE)*J22*L22</f>
        <v>0</v>
      </c>
      <c r="AL22" s="44">
        <f t="shared" si="13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1150.4827743161218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15</v>
      </c>
      <c r="C23" s="61">
        <v>18230023</v>
      </c>
      <c r="D23" s="61" t="s">
        <v>299</v>
      </c>
      <c r="E23" s="38" t="s">
        <v>700</v>
      </c>
      <c r="F23" s="39" t="s">
        <v>701</v>
      </c>
      <c r="G23" s="39">
        <v>11</v>
      </c>
      <c r="H23" s="39"/>
      <c r="I23" s="40" t="s">
        <v>274</v>
      </c>
      <c r="J23" s="41">
        <v>446</v>
      </c>
      <c r="K23" s="41"/>
      <c r="L23" s="41"/>
      <c r="M23" s="42"/>
      <c r="N23" s="42"/>
      <c r="O23" s="43">
        <v>0</v>
      </c>
      <c r="P23" s="44">
        <v>0</v>
      </c>
      <c r="Q23" s="44">
        <v>0</v>
      </c>
      <c r="R23" s="45">
        <v>6.0759999999999996</v>
      </c>
      <c r="S23" s="46">
        <v>0</v>
      </c>
      <c r="T23" s="39">
        <f t="shared" si="0"/>
        <v>11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20524.612693799612</v>
      </c>
      <c r="AE23" s="44">
        <f t="shared" si="17"/>
        <v>0</v>
      </c>
      <c r="AF23" s="52">
        <f>HLOOKUP(I23,ElecAvoidedCostsWOCC!$A$5:$Q$50,G23+1,FALSE)</f>
        <v>1.0150905720727579</v>
      </c>
      <c r="AG23" s="44">
        <f t="shared" si="10"/>
        <v>0</v>
      </c>
      <c r="AH23" s="52">
        <f>HLOOKUP(I23,ElecAvoidedCostsWOCC!$A$5:$Q$50,T23+1,FALSE)</f>
        <v>1.0150905720727579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20524.612693799612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2.6714335614969666</v>
      </c>
      <c r="B24" s="97" t="s">
        <v>15</v>
      </c>
      <c r="C24" s="61">
        <v>18230023</v>
      </c>
      <c r="D24" s="61" t="s">
        <v>299</v>
      </c>
      <c r="E24" s="38" t="s">
        <v>702</v>
      </c>
      <c r="F24" s="39" t="s">
        <v>703</v>
      </c>
      <c r="G24" s="39">
        <v>11</v>
      </c>
      <c r="H24" s="39"/>
      <c r="I24" s="40" t="s">
        <v>274</v>
      </c>
      <c r="J24" s="41">
        <v>2029</v>
      </c>
      <c r="K24" s="41"/>
      <c r="L24" s="41"/>
      <c r="M24" s="42"/>
      <c r="N24" s="42"/>
      <c r="O24" s="43">
        <v>0</v>
      </c>
      <c r="P24" s="44">
        <v>0</v>
      </c>
      <c r="Q24" s="44">
        <v>0</v>
      </c>
      <c r="R24" s="45">
        <v>6.0759999999999996</v>
      </c>
      <c r="S24" s="46">
        <v>0</v>
      </c>
      <c r="T24" s="39">
        <f t="shared" si="0"/>
        <v>11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93373.181963496434</v>
      </c>
      <c r="AE24" s="44">
        <f t="shared" si="17"/>
        <v>0</v>
      </c>
      <c r="AF24" s="52">
        <f>HLOOKUP(I24,ElecAvoidedCostsWOCC!$A$5:$Q$50,G24+1,FALSE)</f>
        <v>1.0150905720727579</v>
      </c>
      <c r="AG24" s="44">
        <f t="shared" si="10"/>
        <v>0</v>
      </c>
      <c r="AH24" s="52">
        <f>HLOOKUP(I24,ElecAvoidedCostsWOCC!$A$5:$Q$50,T24+1,FALSE)</f>
        <v>1.0150905720727579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93373.181963496434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15</v>
      </c>
      <c r="C25" s="61">
        <v>18230023</v>
      </c>
      <c r="D25" s="61" t="s">
        <v>299</v>
      </c>
      <c r="E25" s="38" t="s">
        <v>704</v>
      </c>
      <c r="F25" s="39" t="s">
        <v>705</v>
      </c>
      <c r="G25" s="39">
        <v>11</v>
      </c>
      <c r="H25" s="39"/>
      <c r="I25" s="40" t="s">
        <v>274</v>
      </c>
      <c r="J25" s="41">
        <v>1571</v>
      </c>
      <c r="K25" s="41"/>
      <c r="L25" s="41"/>
      <c r="M25" s="42"/>
      <c r="N25" s="42"/>
      <c r="O25" s="43">
        <v>0</v>
      </c>
      <c r="P25" s="44">
        <v>0</v>
      </c>
      <c r="Q25" s="44">
        <v>0</v>
      </c>
      <c r="R25" s="45">
        <v>6.0759999999999996</v>
      </c>
      <c r="S25" s="46">
        <v>0</v>
      </c>
      <c r="T25" s="39">
        <f t="shared" ref="T25:T32" si="19">G25+H25</f>
        <v>11</v>
      </c>
      <c r="U25" s="47">
        <f t="shared" ref="U25:U32" si="20">(O25/$A$10)*T25</f>
        <v>0</v>
      </c>
      <c r="V25" s="48">
        <f t="shared" ref="V25:V32" si="21">N25-M25</f>
        <v>0</v>
      </c>
      <c r="W25" s="49">
        <f t="shared" ref="W25:W32" si="22">(O25/A$10)</f>
        <v>0</v>
      </c>
      <c r="X25" s="44">
        <f t="shared" ref="X25:X32" si="23">W25*A$8</f>
        <v>0</v>
      </c>
      <c r="Y25" s="44">
        <f t="shared" ref="Y25:Y32" si="24">Q25-P25</f>
        <v>0</v>
      </c>
      <c r="Z25" s="44">
        <f t="shared" ref="Z25:Z32" si="25">X25+(A$6*W25)</f>
        <v>0</v>
      </c>
      <c r="AA25" s="50">
        <f t="shared" ref="AA25:AA32" si="26">Q25+X25</f>
        <v>0</v>
      </c>
      <c r="AB25" s="51">
        <f t="shared" ref="AB25:AB32" si="27">Z25/(1+ElecDiscountRate)^1</f>
        <v>0</v>
      </c>
      <c r="AC25" s="44">
        <f t="shared" ref="AC25:AC32" si="28">AA25/(1+ElecDiscountRate)^1</f>
        <v>0</v>
      </c>
      <c r="AD25" s="44">
        <f t="shared" ref="AD25:AD32" si="29">-PV(ElecDiscountRate,T25,R25)*J25</f>
        <v>72296.33753802508</v>
      </c>
      <c r="AE25" s="44">
        <f t="shared" ref="AE25:AE32" si="30">-PV(ElecDiscountRate,T25,S25)*J25</f>
        <v>0</v>
      </c>
      <c r="AF25" s="52">
        <f>HLOOKUP(I25,ElecAvoidedCostsWOCC!$A$5:$Q$50,G25+1,FALSE)</f>
        <v>1.0150905720727579</v>
      </c>
      <c r="AG25" s="44">
        <f t="shared" ref="AG25:AG32" si="31">AF25*J25*K25</f>
        <v>0</v>
      </c>
      <c r="AH25" s="52">
        <f>HLOOKUP(I25,ElecAvoidedCostsWOCC!$A$5:$Q$50,T25+1,FALSE)</f>
        <v>1.0150905720727579</v>
      </c>
      <c r="AI25" s="44">
        <f t="shared" ref="AI25:AI32" si="32">AH25*J25*L25</f>
        <v>0</v>
      </c>
      <c r="AJ25" s="44">
        <f t="shared" ref="AJ25:AJ32" si="33">AG25+AI25</f>
        <v>0</v>
      </c>
      <c r="AK25" s="44">
        <f>HLOOKUP(I25,ElecAvoidedCostsWOCC!$A$5:$Q$50,G25+1,FALSE)*J25*L25</f>
        <v>0</v>
      </c>
      <c r="AL25" s="44">
        <f t="shared" ref="AL25:AL3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2" si="35">AM25*1.1+AD25+AE25</f>
        <v>72296.33753802508</v>
      </c>
      <c r="AO25" s="47">
        <f t="shared" ref="AO25:AO32" si="36">IFERROR(AM25/AB25,0)</f>
        <v>0</v>
      </c>
      <c r="AP25" s="47" t="e">
        <f t="shared" ref="AP25:AP32" si="37">AN25/AC25</f>
        <v>#DIV/0!</v>
      </c>
    </row>
    <row r="26" spans="1:42" ht="13.5" customHeight="1" x14ac:dyDescent="0.35">
      <c r="B26" s="97" t="s">
        <v>15</v>
      </c>
      <c r="C26" s="61">
        <v>18230023</v>
      </c>
      <c r="D26" s="61" t="s">
        <v>299</v>
      </c>
      <c r="E26" s="38" t="s">
        <v>706</v>
      </c>
      <c r="F26" s="39" t="s">
        <v>707</v>
      </c>
      <c r="G26" s="39">
        <v>11</v>
      </c>
      <c r="H26" s="39"/>
      <c r="I26" s="40" t="s">
        <v>274</v>
      </c>
      <c r="J26" s="41">
        <v>1686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>
        <v>6.0759999999999996</v>
      </c>
      <c r="S26" s="46">
        <v>0</v>
      </c>
      <c r="T26" s="39">
        <f t="shared" si="19"/>
        <v>11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77588.558299879252</v>
      </c>
      <c r="AE26" s="44">
        <f t="shared" si="30"/>
        <v>0</v>
      </c>
      <c r="AF26" s="52">
        <f>HLOOKUP(I26,ElecAvoidedCostsWOCC!$A$5:$Q$50,G26+1,FALSE)</f>
        <v>1.0150905720727579</v>
      </c>
      <c r="AG26" s="44">
        <f t="shared" si="31"/>
        <v>0</v>
      </c>
      <c r="AH26" s="52">
        <f>HLOOKUP(I26,ElecAvoidedCostsWOCC!$A$5:$Q$50,T26+1,FALSE)</f>
        <v>1.0150905720727579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77588.558299879252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</sheetData>
  <conditionalFormatting sqref="J5:L32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32 R5:S32">
    <cfRule type="expression" dxfId="307" priority="2">
      <formula>ISTEXT(M5)</formula>
    </cfRule>
  </conditionalFormatting>
  <conditionalFormatting sqref="M5:N32 R5:S32">
    <cfRule type="notContainsBlanks" dxfId="306" priority="3">
      <formula>LEN(TRIM(M5))&gt;0</formula>
    </cfRule>
  </conditionalFormatting>
  <conditionalFormatting sqref="R5:S32">
    <cfRule type="expression" dxfId="3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14" sqref="E14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18230435</v>
      </c>
      <c r="D2" s="20" t="s">
        <v>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18230435</v>
      </c>
      <c r="D5" s="61" t="s">
        <v>49</v>
      </c>
      <c r="E5" s="38" t="s">
        <v>708</v>
      </c>
      <c r="F5" s="39" t="s">
        <v>709</v>
      </c>
      <c r="G5" s="39">
        <v>10</v>
      </c>
      <c r="H5" s="39"/>
      <c r="I5" s="40" t="s">
        <v>270</v>
      </c>
      <c r="J5" s="41">
        <v>18</v>
      </c>
      <c r="K5" s="41">
        <v>11.1</v>
      </c>
      <c r="L5" s="41"/>
      <c r="M5" s="42">
        <v>3.5</v>
      </c>
      <c r="N5" s="42">
        <v>12</v>
      </c>
      <c r="O5" s="43">
        <v>199.8</v>
      </c>
      <c r="P5" s="44">
        <v>63</v>
      </c>
      <c r="Q5" s="44">
        <v>216</v>
      </c>
      <c r="R5" s="45">
        <v>3.72</v>
      </c>
      <c r="S5" s="46">
        <v>0</v>
      </c>
      <c r="T5" s="39">
        <f t="shared" ref="T5:T24" si="0">G5+H5</f>
        <v>10</v>
      </c>
      <c r="U5" s="47">
        <f t="shared" ref="U5:U24" si="1">(O5/$A$10)*T5</f>
        <v>7.1767241379310356</v>
      </c>
      <c r="V5" s="48">
        <f t="shared" ref="V5:V24" si="2">N5-M5</f>
        <v>8.5</v>
      </c>
      <c r="W5" s="49">
        <f t="shared" ref="W5:W24" si="3">(O5/A$10)</f>
        <v>0.71767241379310354</v>
      </c>
      <c r="X5" s="44">
        <f t="shared" ref="X5:X24" si="4">W5*A$8</f>
        <v>2557.9423706896555</v>
      </c>
      <c r="Y5" s="44">
        <f t="shared" ref="Y5:Y24" si="5">Q5-P5</f>
        <v>153</v>
      </c>
      <c r="Z5" s="44">
        <f t="shared" ref="Z5:Z24" si="6">X5+(A$6*W5)</f>
        <v>2390.5452801724141</v>
      </c>
      <c r="AA5" s="50">
        <f t="shared" ref="AA5:AA24" si="7">Q5+X5</f>
        <v>2773.9423706896555</v>
      </c>
      <c r="AB5" s="51">
        <f t="shared" ref="AB5:AC20" si="8">Z5/(1+ElecDiscountRate)^1</f>
        <v>2238.3382773149942</v>
      </c>
      <c r="AC5" s="44">
        <f t="shared" si="8"/>
        <v>2597.3243171251456</v>
      </c>
      <c r="AD5" s="44">
        <f t="shared" ref="AD5:AD24" si="9">-PV(ElecDiscountRate,T5,R5)*J5</f>
        <v>474.67789845191328</v>
      </c>
      <c r="AE5" s="44">
        <v>0</v>
      </c>
      <c r="AF5" s="52">
        <f>HLOOKUP(I5,ElecAvoidedCostsWOCC!$A$5:$Q$50,G5+1,FALSE)</f>
        <v>0.78742691251205932</v>
      </c>
      <c r="AG5" s="44">
        <f t="shared" ref="AG5:AG24" si="10">AF5*J5*K5</f>
        <v>157.32789711990947</v>
      </c>
      <c r="AH5" s="52">
        <f>HLOOKUP(I5,ElecAvoidedCostsWOCC!$A$5:$Q$50,T5+1,FALSE)</f>
        <v>0.78742691251205932</v>
      </c>
      <c r="AI5" s="44">
        <f t="shared" ref="AI5:AI24" si="11">AH5*J5*L5</f>
        <v>0</v>
      </c>
      <c r="AJ5" s="44">
        <f>AG5+AI5</f>
        <v>157.32789711990947</v>
      </c>
      <c r="AK5" s="44">
        <f>HLOOKUP(I5,ElecAvoidedCostsWOCC!$A$5:$Q$50,G5+1,FALSE)*J5*L5</f>
        <v>0</v>
      </c>
      <c r="AL5" s="44">
        <f>AG5+AI5-AK5</f>
        <v>157.32789711990947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157.32789711990944</v>
      </c>
      <c r="AN5" s="48">
        <f>AM5*1.1+AD5+AE5</f>
        <v>647.73858528381368</v>
      </c>
      <c r="AO5" s="47">
        <f>IFERROR(AM5/AB5,0)</f>
        <v>7.0287810700638428E-2</v>
      </c>
      <c r="AP5" s="47">
        <f>AN5/AC5</f>
        <v>0.24938687133255835</v>
      </c>
    </row>
    <row r="6" spans="1:42" ht="13.5" customHeight="1" x14ac:dyDescent="0.35">
      <c r="A6" s="53">
        <f>SUMIF('Program Costs'!D:D,C2,'Program Costs'!L:L)</f>
        <v>-233.25</v>
      </c>
      <c r="B6" s="97" t="s">
        <v>15</v>
      </c>
      <c r="C6" s="61">
        <v>18230435</v>
      </c>
      <c r="D6" s="61" t="s">
        <v>49</v>
      </c>
      <c r="E6" s="38" t="s">
        <v>710</v>
      </c>
      <c r="F6" s="39" t="s">
        <v>711</v>
      </c>
      <c r="G6" s="39">
        <v>10</v>
      </c>
      <c r="H6" s="39"/>
      <c r="I6" s="40" t="s">
        <v>270</v>
      </c>
      <c r="J6" s="41">
        <v>6</v>
      </c>
      <c r="K6" s="41">
        <v>13.1</v>
      </c>
      <c r="L6" s="41"/>
      <c r="M6" s="42">
        <v>5</v>
      </c>
      <c r="N6" s="42">
        <v>17.399999999999999</v>
      </c>
      <c r="O6" s="43">
        <v>78.599999999999994</v>
      </c>
      <c r="P6" s="44">
        <v>30</v>
      </c>
      <c r="Q6" s="44">
        <v>104.4</v>
      </c>
      <c r="R6" s="45">
        <v>3.72</v>
      </c>
      <c r="S6" s="46">
        <v>0</v>
      </c>
      <c r="T6" s="39">
        <f t="shared" si="0"/>
        <v>10</v>
      </c>
      <c r="U6" s="47">
        <f t="shared" si="1"/>
        <v>2.8232758620689657</v>
      </c>
      <c r="V6" s="48">
        <f t="shared" si="2"/>
        <v>12.399999999999999</v>
      </c>
      <c r="W6" s="49">
        <f t="shared" si="3"/>
        <v>0.28232758620689657</v>
      </c>
      <c r="X6" s="44">
        <f t="shared" si="4"/>
        <v>1006.277629310345</v>
      </c>
      <c r="Y6" s="44">
        <f t="shared" si="5"/>
        <v>74.400000000000006</v>
      </c>
      <c r="Z6" s="44">
        <f t="shared" si="6"/>
        <v>940.42471982758639</v>
      </c>
      <c r="AA6" s="50">
        <f t="shared" si="7"/>
        <v>1110.6776293103451</v>
      </c>
      <c r="AB6" s="51">
        <f t="shared" si="8"/>
        <v>880.54749047526809</v>
      </c>
      <c r="AC6" s="44">
        <f t="shared" si="8"/>
        <v>1039.9603270696114</v>
      </c>
      <c r="AD6" s="44">
        <f t="shared" si="9"/>
        <v>158.22596615063776</v>
      </c>
      <c r="AE6" s="44">
        <v>0</v>
      </c>
      <c r="AF6" s="52">
        <f>HLOOKUP(I6,ElecAvoidedCostsWOCC!$A$5:$Q$50,G6+1,FALSE)</f>
        <v>0.78742691251205932</v>
      </c>
      <c r="AG6" s="44">
        <f t="shared" si="10"/>
        <v>61.89175532344786</v>
      </c>
      <c r="AH6" s="52">
        <f>HLOOKUP(I6,ElecAvoidedCostsWOCC!$A$5:$Q$50,T6+1,FALSE)</f>
        <v>0.78742691251205932</v>
      </c>
      <c r="AI6" s="44">
        <f t="shared" si="11"/>
        <v>0</v>
      </c>
      <c r="AJ6" s="44">
        <f t="shared" ref="AJ6:AJ24" si="12">AG6+AI6</f>
        <v>61.89175532344786</v>
      </c>
      <c r="AK6" s="44">
        <f>HLOOKUP(I6,ElecAvoidedCostsWOCC!$A$5:$Q$50,G6+1,FALSE)*J6*L6</f>
        <v>0</v>
      </c>
      <c r="AL6" s="44">
        <f t="shared" ref="AL6:AL24" si="13">AG6+AI6-AK6</f>
        <v>61.89175532344786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61.89175532344786</v>
      </c>
      <c r="AN6" s="48">
        <f t="shared" ref="AN6:AN24" si="14">AM6*1.1+AD6+AE6</f>
        <v>226.3068970064304</v>
      </c>
      <c r="AO6" s="47">
        <f t="shared" ref="AO6:AO24" si="15">IFERROR(AM6/AB6,0)</f>
        <v>7.0287810700638428E-2</v>
      </c>
      <c r="AP6" s="47">
        <f t="shared" ref="AP6:AP24" si="16">AN6/AC6</f>
        <v>0.21761108680377786</v>
      </c>
    </row>
    <row r="7" spans="1:42" ht="13.5" customHeight="1" x14ac:dyDescent="0.35">
      <c r="A7" s="36" t="s">
        <v>240</v>
      </c>
      <c r="B7" s="97" t="s">
        <v>15</v>
      </c>
      <c r="C7" s="61">
        <v>18230435</v>
      </c>
      <c r="D7" s="61" t="s">
        <v>49</v>
      </c>
      <c r="E7" s="38" t="s">
        <v>712</v>
      </c>
      <c r="F7" s="39" t="s">
        <v>713</v>
      </c>
      <c r="G7" s="39">
        <v>10</v>
      </c>
      <c r="H7" s="39"/>
      <c r="I7" s="40" t="s">
        <v>270</v>
      </c>
      <c r="J7" s="41">
        <v>6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3.72</v>
      </c>
      <c r="S7" s="46">
        <v>0</v>
      </c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158.22596615063776</v>
      </c>
      <c r="AE7" s="44">
        <v>0</v>
      </c>
      <c r="AF7" s="52">
        <f>HLOOKUP(I7,ElecAvoidedCostsWOCC!$A$5:$Q$50,G7+1,FALSE)</f>
        <v>0.78742691251205932</v>
      </c>
      <c r="AG7" s="44">
        <f t="shared" si="10"/>
        <v>0</v>
      </c>
      <c r="AH7" s="52">
        <f>HLOOKUP(I7,ElecAvoidedCostsWOCC!$A$5:$Q$50,T7+1,FALSE)</f>
        <v>0.78742691251205932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158.22596615063776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3564.2200000000003</v>
      </c>
      <c r="B8" s="97" t="s">
        <v>15</v>
      </c>
      <c r="C8" s="61">
        <v>18230435</v>
      </c>
      <c r="D8" s="61" t="s">
        <v>49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15</v>
      </c>
      <c r="C9" s="61">
        <v>18230435</v>
      </c>
      <c r="D9" s="61" t="s">
        <v>49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278.39999999999998</v>
      </c>
      <c r="B10" s="97" t="s">
        <v>15</v>
      </c>
      <c r="C10" s="61">
        <v>18230435</v>
      </c>
      <c r="D10" s="61" t="s">
        <v>49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15</v>
      </c>
      <c r="C11" s="61">
        <v>18230435</v>
      </c>
      <c r="D11" s="61" t="s">
        <v>49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93</v>
      </c>
      <c r="B12" s="97" t="s">
        <v>15</v>
      </c>
      <c r="C12" s="61">
        <v>18230435</v>
      </c>
      <c r="D12" s="61" t="s">
        <v>49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15</v>
      </c>
      <c r="C13" s="61">
        <v>18230435</v>
      </c>
      <c r="D13" s="61" t="s">
        <v>49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227.4</v>
      </c>
      <c r="B14" s="97" t="s">
        <v>15</v>
      </c>
      <c r="C14" s="61">
        <v>18230435</v>
      </c>
      <c r="D14" s="61" t="s">
        <v>49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15</v>
      </c>
      <c r="C15" s="61">
        <v>18230435</v>
      </c>
      <c r="D15" s="61" t="s">
        <v>49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10.000000000000002</v>
      </c>
      <c r="B16" s="97" t="s">
        <v>15</v>
      </c>
      <c r="C16" s="61">
        <v>18230435</v>
      </c>
      <c r="D16" s="61" t="s">
        <v>49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 t="s">
        <v>15</v>
      </c>
      <c r="C17" s="61">
        <v>18230435</v>
      </c>
      <c r="D17" s="61" t="s">
        <v>49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3330.9700000000003</v>
      </c>
      <c r="B18" s="97" t="s">
        <v>15</v>
      </c>
      <c r="C18" s="61">
        <v>18230435</v>
      </c>
      <c r="D18" s="61" t="s">
        <v>49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3884.6200000000003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7.0287810700638428E-2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0.28380276756410194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24 R5:S24">
    <cfRule type="expression" dxfId="302" priority="2">
      <formula>ISTEXT(M5)</formula>
    </cfRule>
  </conditionalFormatting>
  <conditionalFormatting sqref="M5:N24 R5:S24">
    <cfRule type="notContainsBlanks" dxfId="301" priority="3">
      <formula>LEN(TRIM(M5))&gt;0</formula>
    </cfRule>
  </conditionalFormatting>
  <conditionalFormatting sqref="R5:S24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K107" sqref="K107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18230627</v>
      </c>
      <c r="D2" s="20" t="s">
        <v>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18230627</v>
      </c>
      <c r="D5" s="61" t="s">
        <v>76</v>
      </c>
      <c r="E5" s="38" t="s">
        <v>714</v>
      </c>
      <c r="F5" s="39" t="s">
        <v>715</v>
      </c>
      <c r="G5" s="39">
        <v>45</v>
      </c>
      <c r="H5" s="39"/>
      <c r="I5" s="40" t="s">
        <v>274</v>
      </c>
      <c r="J5" s="41">
        <v>14353.7</v>
      </c>
      <c r="K5" s="496">
        <v>4.667400043194438</v>
      </c>
      <c r="L5" s="41"/>
      <c r="M5" s="42">
        <v>50</v>
      </c>
      <c r="N5" s="42">
        <v>22.6</v>
      </c>
      <c r="O5" s="43">
        <v>66994.460000000006</v>
      </c>
      <c r="P5" s="44">
        <v>37850</v>
      </c>
      <c r="Q5" s="44">
        <v>324393.52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2.2228685254328644</v>
      </c>
      <c r="V5" s="48">
        <f t="shared" ref="V5:V24" si="2">N5-M5</f>
        <v>-27.4</v>
      </c>
      <c r="W5" s="49">
        <f t="shared" ref="W5:W24" si="3">(O5/A$10)</f>
        <v>4.9397078342952538E-2</v>
      </c>
      <c r="X5" s="44">
        <f t="shared" ref="X5:X24" si="4">W5*A$8</f>
        <v>11630.390446817664</v>
      </c>
      <c r="Y5" s="44">
        <f t="shared" ref="Y5:Y24" si="5">Q5-P5</f>
        <v>286543.52</v>
      </c>
      <c r="Z5" s="44">
        <f t="shared" ref="Z5:Z24" si="6">X5+(A$6*W5)</f>
        <v>58120.480367534452</v>
      </c>
      <c r="AA5" s="50">
        <f t="shared" ref="AA5:AA24" si="7">Q5+X5</f>
        <v>336023.9104468177</v>
      </c>
      <c r="AB5" s="51">
        <f t="shared" ref="AB5:AC20" si="8">Z5/(1+ElecDiscountRate)^1</f>
        <v>54419.925437766338</v>
      </c>
      <c r="AC5" s="44">
        <f t="shared" si="8"/>
        <v>314629.12963185174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3.2695302314196475</v>
      </c>
      <c r="AG5" s="44">
        <f t="shared" ref="AG5:AG24" si="10">AF5*J5*K5</f>
        <v>219040.41230763434</v>
      </c>
      <c r="AH5" s="52">
        <f>HLOOKUP(I5,ElecAvoidedCostsWOCC!$A$5:$Q$50,T5+1,FALSE)</f>
        <v>3.2695302314196475</v>
      </c>
      <c r="AI5" s="44">
        <f t="shared" ref="AI5:AI24" si="11">AH5*J5*L5</f>
        <v>0</v>
      </c>
      <c r="AJ5" s="44">
        <f>AG5+AI5</f>
        <v>219040.41230763434</v>
      </c>
      <c r="AK5" s="44">
        <f>HLOOKUP(I5,ElecAvoidedCostsWOCC!$A$5:$Q$50,G5+1,FALSE)*J5*L5</f>
        <v>0</v>
      </c>
      <c r="AL5" s="44">
        <f>AG5+AI5-AK5</f>
        <v>219040.41230763434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219040.41230763434</v>
      </c>
      <c r="AN5" s="48">
        <f>AM5*1.1+AD5+AE5</f>
        <v>240944.45353839779</v>
      </c>
      <c r="AO5" s="47">
        <f>IFERROR(AM5/AB5,0)</f>
        <v>4.0250039033611884</v>
      </c>
      <c r="AP5" s="47">
        <f>AN5/AC5</f>
        <v>0.76580465966494404</v>
      </c>
    </row>
    <row r="6" spans="1:42" ht="13.5" customHeight="1" x14ac:dyDescent="0.35">
      <c r="A6" s="53">
        <f>SUMIF('Program Costs'!D:D,C2,'Program Costs'!L:L)</f>
        <v>941150.6</v>
      </c>
      <c r="B6" s="97" t="s">
        <v>15</v>
      </c>
      <c r="C6" s="61">
        <v>18230627</v>
      </c>
      <c r="D6" s="61" t="s">
        <v>76</v>
      </c>
      <c r="E6" s="38" t="s">
        <v>716</v>
      </c>
      <c r="F6" s="39" t="s">
        <v>717</v>
      </c>
      <c r="G6" s="39">
        <v>45</v>
      </c>
      <c r="H6" s="39"/>
      <c r="I6" s="40" t="s">
        <v>274</v>
      </c>
      <c r="J6" s="41">
        <v>241.84</v>
      </c>
      <c r="K6" s="496">
        <v>6.9899933840555741</v>
      </c>
      <c r="L6" s="41"/>
      <c r="M6" s="42">
        <v>50</v>
      </c>
      <c r="N6" s="42">
        <v>20.5</v>
      </c>
      <c r="O6" s="43">
        <v>1690.46</v>
      </c>
      <c r="P6" s="44">
        <v>250</v>
      </c>
      <c r="Q6" s="44">
        <v>4957.72</v>
      </c>
      <c r="R6" s="45">
        <v>0.106</v>
      </c>
      <c r="S6" s="46">
        <v>0</v>
      </c>
      <c r="T6" s="39">
        <f t="shared" si="0"/>
        <v>45</v>
      </c>
      <c r="U6" s="47">
        <f t="shared" si="1"/>
        <v>5.6089269582936252E-2</v>
      </c>
      <c r="V6" s="48">
        <f t="shared" si="2"/>
        <v>-29.5</v>
      </c>
      <c r="W6" s="49">
        <f t="shared" si="3"/>
        <v>1.2464282129541389E-3</v>
      </c>
      <c r="X6" s="44">
        <f t="shared" si="4"/>
        <v>293.4676962054383</v>
      </c>
      <c r="Y6" s="44">
        <f t="shared" si="5"/>
        <v>4707.72</v>
      </c>
      <c r="Z6" s="44">
        <f t="shared" si="6"/>
        <v>1466.5443566841536</v>
      </c>
      <c r="AA6" s="50">
        <f t="shared" si="7"/>
        <v>5251.1876962054384</v>
      </c>
      <c r="AB6" s="51">
        <f t="shared" si="8"/>
        <v>1373.1688732997693</v>
      </c>
      <c r="AC6" s="44">
        <f t="shared" si="8"/>
        <v>4916.8424121773769</v>
      </c>
      <c r="AD6" s="44">
        <f t="shared" si="9"/>
        <v>357.45963819062626</v>
      </c>
      <c r="AE6" s="44">
        <v>0</v>
      </c>
      <c r="AF6" s="52">
        <f>HLOOKUP(I6,ElecAvoidedCostsWOCC!$A$5:$Q$50,G6+1,FALSE)</f>
        <v>3.2695302314196475</v>
      </c>
      <c r="AG6" s="44">
        <f t="shared" si="10"/>
        <v>5527.0100750056572</v>
      </c>
      <c r="AH6" s="52">
        <f>HLOOKUP(I6,ElecAvoidedCostsWOCC!$A$5:$Q$50,T6+1,FALSE)</f>
        <v>3.2695302314196475</v>
      </c>
      <c r="AI6" s="44">
        <f t="shared" si="11"/>
        <v>0</v>
      </c>
      <c r="AJ6" s="44">
        <f t="shared" ref="AJ6:AJ24" si="12">AG6+AI6</f>
        <v>5527.0100750056572</v>
      </c>
      <c r="AK6" s="44">
        <f>HLOOKUP(I6,ElecAvoidedCostsWOCC!$A$5:$Q$50,G6+1,FALSE)*J6*L6</f>
        <v>0</v>
      </c>
      <c r="AL6" s="44">
        <f t="shared" ref="AL6:AL24" si="13">AG6+AI6-AK6</f>
        <v>5527.0100750056572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5527.0100750056572</v>
      </c>
      <c r="AN6" s="48">
        <f t="shared" ref="AN6:AN24" si="14">AM6*1.1+AD6+AE6</f>
        <v>6437.1707206968495</v>
      </c>
      <c r="AO6" s="47">
        <f t="shared" ref="AO6:AO24" si="15">IFERROR(AM6/AB6,0)</f>
        <v>4.0250039033611884</v>
      </c>
      <c r="AP6" s="47">
        <f t="shared" ref="AP6:AP24" si="16">AN6/AC6</f>
        <v>1.3092082643840948</v>
      </c>
    </row>
    <row r="7" spans="1:42" ht="13.5" customHeight="1" x14ac:dyDescent="0.35">
      <c r="A7" s="36" t="s">
        <v>240</v>
      </c>
      <c r="B7" s="97" t="s">
        <v>15</v>
      </c>
      <c r="C7" s="61">
        <v>18230627</v>
      </c>
      <c r="D7" s="61" t="s">
        <v>76</v>
      </c>
      <c r="E7" s="38" t="s">
        <v>718</v>
      </c>
      <c r="F7" s="39" t="s">
        <v>717</v>
      </c>
      <c r="G7" s="39">
        <v>45</v>
      </c>
      <c r="H7" s="39"/>
      <c r="I7" s="40" t="s">
        <v>274</v>
      </c>
      <c r="J7" s="41">
        <v>12864.5</v>
      </c>
      <c r="K7" s="496">
        <v>2.8993975669478025</v>
      </c>
      <c r="L7" s="41"/>
      <c r="M7" s="42">
        <v>50</v>
      </c>
      <c r="N7" s="42">
        <v>22.6</v>
      </c>
      <c r="O7" s="43">
        <v>37299.300000000003</v>
      </c>
      <c r="P7" s="44">
        <v>35750</v>
      </c>
      <c r="Q7" s="44">
        <v>290737.59000000003</v>
      </c>
      <c r="R7" s="45">
        <v>0</v>
      </c>
      <c r="S7" s="46">
        <v>0</v>
      </c>
      <c r="T7" s="39">
        <f t="shared" si="0"/>
        <v>45</v>
      </c>
      <c r="U7" s="47">
        <f t="shared" si="1"/>
        <v>1.237586510745486</v>
      </c>
      <c r="V7" s="48">
        <f t="shared" si="2"/>
        <v>-27.4</v>
      </c>
      <c r="W7" s="49">
        <f t="shared" si="3"/>
        <v>2.7501922461010801E-2</v>
      </c>
      <c r="X7" s="44">
        <f t="shared" si="4"/>
        <v>6475.2432125430387</v>
      </c>
      <c r="Y7" s="44">
        <f t="shared" si="5"/>
        <v>254987.59000000003</v>
      </c>
      <c r="Z7" s="44">
        <f t="shared" si="6"/>
        <v>32358.69403787683</v>
      </c>
      <c r="AA7" s="50">
        <f t="shared" si="7"/>
        <v>297212.83321254305</v>
      </c>
      <c r="AB7" s="51">
        <f t="shared" si="8"/>
        <v>30298.402657188042</v>
      </c>
      <c r="AC7" s="44">
        <f t="shared" si="8"/>
        <v>278289.16967466578</v>
      </c>
      <c r="AD7" s="44">
        <f t="shared" si="9"/>
        <v>0</v>
      </c>
      <c r="AE7" s="44">
        <v>0</v>
      </c>
      <c r="AF7" s="52">
        <f>HLOOKUP(I7,ElecAvoidedCostsWOCC!$A$5:$Q$50,G7+1,FALSE)</f>
        <v>3.2695302314196475</v>
      </c>
      <c r="AG7" s="44">
        <f t="shared" si="10"/>
        <v>121951.18896079088</v>
      </c>
      <c r="AH7" s="52">
        <f>HLOOKUP(I7,ElecAvoidedCostsWOCC!$A$5:$Q$50,T7+1,FALSE)</f>
        <v>3.2695302314196475</v>
      </c>
      <c r="AI7" s="44">
        <f t="shared" si="11"/>
        <v>0</v>
      </c>
      <c r="AJ7" s="44">
        <f t="shared" si="12"/>
        <v>121951.18896079088</v>
      </c>
      <c r="AK7" s="44">
        <f>HLOOKUP(I7,ElecAvoidedCostsWOCC!$A$5:$Q$50,G7+1,FALSE)*J7*L7</f>
        <v>0</v>
      </c>
      <c r="AL7" s="44">
        <f t="shared" si="13"/>
        <v>121951.18896079088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121951.18896079088</v>
      </c>
      <c r="AN7" s="48">
        <f t="shared" si="14"/>
        <v>134146.30785686997</v>
      </c>
      <c r="AO7" s="47">
        <f t="shared" si="15"/>
        <v>4.0250039033611884</v>
      </c>
      <c r="AP7" s="47">
        <f t="shared" si="16"/>
        <v>0.48203926877101916</v>
      </c>
    </row>
    <row r="8" spans="1:42" ht="13.5" customHeight="1" x14ac:dyDescent="0.35">
      <c r="A8" s="53">
        <f>SUMIF('Program Costs'!D:D,C2,'Program Costs'!O:O)</f>
        <v>235446.93000000005</v>
      </c>
      <c r="B8" s="97" t="s">
        <v>15</v>
      </c>
      <c r="C8" s="61">
        <v>18230627</v>
      </c>
      <c r="D8" s="61" t="s">
        <v>76</v>
      </c>
      <c r="E8" s="38" t="s">
        <v>719</v>
      </c>
      <c r="F8" s="39" t="s">
        <v>720</v>
      </c>
      <c r="G8" s="39">
        <v>45</v>
      </c>
      <c r="H8" s="39"/>
      <c r="I8" s="40" t="s">
        <v>274</v>
      </c>
      <c r="J8" s="41">
        <v>228</v>
      </c>
      <c r="K8" s="496">
        <v>8.92</v>
      </c>
      <c r="L8" s="41"/>
      <c r="M8" s="42">
        <v>50</v>
      </c>
      <c r="N8" s="42">
        <v>20.5</v>
      </c>
      <c r="O8" s="43">
        <v>2033.76</v>
      </c>
      <c r="P8" s="44">
        <v>750</v>
      </c>
      <c r="Q8" s="44">
        <v>4674</v>
      </c>
      <c r="R8" s="45">
        <v>0.14799999999999999</v>
      </c>
      <c r="S8" s="46">
        <v>0</v>
      </c>
      <c r="T8" s="39">
        <f t="shared" si="0"/>
        <v>45</v>
      </c>
      <c r="U8" s="47">
        <f t="shared" si="1"/>
        <v>6.7479924344256842E-2</v>
      </c>
      <c r="V8" s="48">
        <f t="shared" si="2"/>
        <v>-29.5</v>
      </c>
      <c r="W8" s="49">
        <f t="shared" si="3"/>
        <v>1.4995538743168189E-3</v>
      </c>
      <c r="X8" s="44">
        <f t="shared" si="4"/>
        <v>353.06535607750095</v>
      </c>
      <c r="Y8" s="44">
        <f t="shared" si="5"/>
        <v>3924</v>
      </c>
      <c r="Z8" s="44">
        <f t="shared" si="6"/>
        <v>1764.3713846230994</v>
      </c>
      <c r="AA8" s="50">
        <f t="shared" si="7"/>
        <v>5027.0653560775008</v>
      </c>
      <c r="AB8" s="51">
        <f t="shared" si="8"/>
        <v>1652.0331316695685</v>
      </c>
      <c r="AC8" s="44">
        <f t="shared" si="8"/>
        <v>4706.9900337804311</v>
      </c>
      <c r="AD8" s="44">
        <f t="shared" si="9"/>
        <v>470.53244430687425</v>
      </c>
      <c r="AE8" s="44">
        <v>0</v>
      </c>
      <c r="AF8" s="52">
        <f>HLOOKUP(I8,ElecAvoidedCostsWOCC!$A$5:$Q$50,G8+1,FALSE)</f>
        <v>3.2695302314196475</v>
      </c>
      <c r="AG8" s="44">
        <f t="shared" si="10"/>
        <v>6649.4398034520227</v>
      </c>
      <c r="AH8" s="52">
        <f>HLOOKUP(I8,ElecAvoidedCostsWOCC!$A$5:$Q$50,T8+1,FALSE)</f>
        <v>3.2695302314196475</v>
      </c>
      <c r="AI8" s="44">
        <f t="shared" si="11"/>
        <v>0</v>
      </c>
      <c r="AJ8" s="44">
        <f t="shared" si="12"/>
        <v>6649.4398034520227</v>
      </c>
      <c r="AK8" s="44">
        <f>HLOOKUP(I8,ElecAvoidedCostsWOCC!$A$5:$Q$50,G8+1,FALSE)*J8*L8</f>
        <v>0</v>
      </c>
      <c r="AL8" s="44">
        <f t="shared" si="13"/>
        <v>6649.4398034520227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6649.4398034520218</v>
      </c>
      <c r="AN8" s="48">
        <f t="shared" si="14"/>
        <v>7784.9162281040981</v>
      </c>
      <c r="AO8" s="47">
        <f t="shared" si="15"/>
        <v>4.0250039033611884</v>
      </c>
      <c r="AP8" s="47">
        <f t="shared" si="16"/>
        <v>1.6539053986166234</v>
      </c>
    </row>
    <row r="9" spans="1:42" ht="13.5" customHeight="1" x14ac:dyDescent="0.35">
      <c r="A9" s="36" t="s">
        <v>242</v>
      </c>
      <c r="B9" s="97" t="s">
        <v>15</v>
      </c>
      <c r="C9" s="61">
        <v>18230627</v>
      </c>
      <c r="D9" s="61" t="s">
        <v>76</v>
      </c>
      <c r="E9" s="38" t="s">
        <v>721</v>
      </c>
      <c r="F9" s="39" t="s">
        <v>720</v>
      </c>
      <c r="G9" s="39">
        <v>45</v>
      </c>
      <c r="H9" s="39"/>
      <c r="I9" s="40" t="s">
        <v>274</v>
      </c>
      <c r="J9" s="41">
        <v>19607.3</v>
      </c>
      <c r="K9" s="496">
        <v>4.4339021690900839</v>
      </c>
      <c r="L9" s="41"/>
      <c r="M9" s="42">
        <v>50</v>
      </c>
      <c r="N9" s="42">
        <v>22.6</v>
      </c>
      <c r="O9" s="43">
        <v>86936.85</v>
      </c>
      <c r="P9" s="44">
        <v>45450</v>
      </c>
      <c r="Q9" s="44">
        <v>443124.97</v>
      </c>
      <c r="R9" s="45">
        <v>0</v>
      </c>
      <c r="S9" s="46">
        <v>0</v>
      </c>
      <c r="T9" s="39">
        <f t="shared" si="0"/>
        <v>45</v>
      </c>
      <c r="U9" s="47">
        <f t="shared" si="1"/>
        <v>2.884554746247348</v>
      </c>
      <c r="V9" s="48">
        <f t="shared" si="2"/>
        <v>-27.4</v>
      </c>
      <c r="W9" s="49">
        <f t="shared" si="3"/>
        <v>6.4101216583274404E-2</v>
      </c>
      <c r="X9" s="44">
        <f t="shared" si="4"/>
        <v>15092.43465379705</v>
      </c>
      <c r="Y9" s="44">
        <f t="shared" si="5"/>
        <v>397674.97</v>
      </c>
      <c r="Z9" s="44">
        <f t="shared" si="6"/>
        <v>75421.333101875702</v>
      </c>
      <c r="AA9" s="50">
        <f t="shared" si="7"/>
        <v>458217.40465379704</v>
      </c>
      <c r="AB9" s="51">
        <f t="shared" si="8"/>
        <v>70619.22575081994</v>
      </c>
      <c r="AC9" s="44">
        <f t="shared" si="8"/>
        <v>429042.5137207837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3.2695302314196475</v>
      </c>
      <c r="AG9" s="44">
        <f t="shared" si="10"/>
        <v>284242.65929939516</v>
      </c>
      <c r="AH9" s="52">
        <f>HLOOKUP(I9,ElecAvoidedCostsWOCC!$A$5:$Q$50,T9+1,FALSE)</f>
        <v>3.2695302314196475</v>
      </c>
      <c r="AI9" s="44">
        <f t="shared" si="11"/>
        <v>0</v>
      </c>
      <c r="AJ9" s="44">
        <f t="shared" si="12"/>
        <v>284242.65929939516</v>
      </c>
      <c r="AK9" s="44">
        <f>HLOOKUP(I9,ElecAvoidedCostsWOCC!$A$5:$Q$50,G9+1,FALSE)*J9*L9</f>
        <v>0</v>
      </c>
      <c r="AL9" s="44">
        <f t="shared" si="13"/>
        <v>284242.65929939516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284242.65929939516</v>
      </c>
      <c r="AN9" s="48">
        <f t="shared" si="14"/>
        <v>312666.92522933468</v>
      </c>
      <c r="AO9" s="47">
        <f t="shared" si="15"/>
        <v>4.0250039033611875</v>
      </c>
      <c r="AP9" s="47">
        <f t="shared" si="16"/>
        <v>0.72875511220973077</v>
      </c>
    </row>
    <row r="10" spans="1:42" ht="13.5" customHeight="1" x14ac:dyDescent="0.35">
      <c r="A10" s="54">
        <f>SUM(O5:O999)</f>
        <v>1356243.3700000008</v>
      </c>
      <c r="B10" s="97" t="s">
        <v>15</v>
      </c>
      <c r="C10" s="61">
        <v>18230627</v>
      </c>
      <c r="D10" s="61" t="s">
        <v>76</v>
      </c>
      <c r="E10" s="38" t="s">
        <v>722</v>
      </c>
      <c r="F10" s="39" t="s">
        <v>723</v>
      </c>
      <c r="G10" s="39">
        <v>30</v>
      </c>
      <c r="H10" s="39"/>
      <c r="I10" s="40" t="s">
        <v>274</v>
      </c>
      <c r="J10" s="41">
        <v>243.47</v>
      </c>
      <c r="K10" s="496">
        <v>0</v>
      </c>
      <c r="L10" s="41"/>
      <c r="M10" s="42"/>
      <c r="N10" s="42"/>
      <c r="O10" s="43">
        <v>0</v>
      </c>
      <c r="P10" s="44">
        <v>0</v>
      </c>
      <c r="Q10" s="44">
        <v>0</v>
      </c>
      <c r="R10" s="45">
        <v>0.24</v>
      </c>
      <c r="S10" s="46">
        <v>0</v>
      </c>
      <c r="T10" s="39">
        <f t="shared" si="0"/>
        <v>30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739.90426653591294</v>
      </c>
      <c r="AE10" s="44">
        <f t="shared" si="17"/>
        <v>0</v>
      </c>
      <c r="AF10" s="52">
        <f>HLOOKUP(I10,ElecAvoidedCostsWOCC!$A$5:$Q$50,G10+1,FALSE)</f>
        <v>2.2574980118390635</v>
      </c>
      <c r="AG10" s="44">
        <f t="shared" si="10"/>
        <v>0</v>
      </c>
      <c r="AH10" s="52">
        <f>HLOOKUP(I10,ElecAvoidedCostsWOCC!$A$5:$Q$50,T10+1,FALSE)</f>
        <v>2.2574980118390635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739.90426653591294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15</v>
      </c>
      <c r="C11" s="61">
        <v>18230627</v>
      </c>
      <c r="D11" s="61" t="s">
        <v>76</v>
      </c>
      <c r="E11" s="38" t="s">
        <v>724</v>
      </c>
      <c r="F11" s="39" t="s">
        <v>723</v>
      </c>
      <c r="G11" s="39">
        <v>45</v>
      </c>
      <c r="H11" s="39"/>
      <c r="I11" s="40" t="s">
        <v>274</v>
      </c>
      <c r="J11" s="41">
        <v>36.75</v>
      </c>
      <c r="K11" s="496">
        <v>0</v>
      </c>
      <c r="L11" s="41"/>
      <c r="M11" s="42"/>
      <c r="N11" s="42"/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45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3.2695302314196475</v>
      </c>
      <c r="AG11" s="44">
        <f t="shared" si="10"/>
        <v>0</v>
      </c>
      <c r="AH11" s="52">
        <f>HLOOKUP(I11,ElecAvoidedCostsWOCC!$A$5:$Q$50,T11+1,FALSE)</f>
        <v>3.2695302314196475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940719.99999999988</v>
      </c>
      <c r="B12" s="97" t="s">
        <v>15</v>
      </c>
      <c r="C12" s="61">
        <v>18230627</v>
      </c>
      <c r="D12" s="61" t="s">
        <v>76</v>
      </c>
      <c r="E12" s="38" t="s">
        <v>725</v>
      </c>
      <c r="F12" s="39" t="s">
        <v>723</v>
      </c>
      <c r="G12" s="39">
        <v>45</v>
      </c>
      <c r="H12" s="39"/>
      <c r="I12" s="40" t="s">
        <v>274</v>
      </c>
      <c r="J12" s="41">
        <v>132031.04000000001</v>
      </c>
      <c r="K12" s="496">
        <v>0.31830052993599084</v>
      </c>
      <c r="L12" s="41"/>
      <c r="M12" s="42">
        <v>0</v>
      </c>
      <c r="N12" s="42">
        <v>0</v>
      </c>
      <c r="O12" s="43">
        <v>42025.55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1.3944029455421405</v>
      </c>
      <c r="V12" s="48">
        <f t="shared" si="2"/>
        <v>0</v>
      </c>
      <c r="W12" s="49">
        <f t="shared" si="3"/>
        <v>3.0986732123158677E-2</v>
      </c>
      <c r="X12" s="44">
        <f t="shared" si="4"/>
        <v>7295.7309491300939</v>
      </c>
      <c r="Y12" s="44">
        <f t="shared" si="5"/>
        <v>0</v>
      </c>
      <c r="Z12" s="44">
        <f t="shared" si="6"/>
        <v>36458.912478880156</v>
      </c>
      <c r="AA12" s="50">
        <f t="shared" si="7"/>
        <v>7295.7309491300939</v>
      </c>
      <c r="AB12" s="51">
        <f t="shared" si="8"/>
        <v>34137.558500824118</v>
      </c>
      <c r="AC12" s="44">
        <f t="shared" si="8"/>
        <v>6831.2087538671285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3.2695302314196475</v>
      </c>
      <c r="AG12" s="44">
        <f t="shared" si="10"/>
        <v>137403.80621703799</v>
      </c>
      <c r="AH12" s="52">
        <f>HLOOKUP(I12,ElecAvoidedCostsWOCC!$A$5:$Q$50,T12+1,FALSE)</f>
        <v>3.2695302314196475</v>
      </c>
      <c r="AI12" s="44">
        <f t="shared" si="11"/>
        <v>0</v>
      </c>
      <c r="AJ12" s="44">
        <f t="shared" si="12"/>
        <v>137403.80621703799</v>
      </c>
      <c r="AK12" s="44">
        <f>HLOOKUP(I12,ElecAvoidedCostsWOCC!$A$5:$Q$50,G12+1,FALSE)*J12*L12</f>
        <v>0</v>
      </c>
      <c r="AL12" s="44">
        <f t="shared" si="13"/>
        <v>137403.80621703799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137403.80621703799</v>
      </c>
      <c r="AN12" s="48">
        <f t="shared" si="14"/>
        <v>151144.18683874179</v>
      </c>
      <c r="AO12" s="47">
        <f t="shared" si="15"/>
        <v>4.0250039033611884</v>
      </c>
      <c r="AP12" s="47">
        <f t="shared" si="16"/>
        <v>22.12554063044545</v>
      </c>
    </row>
    <row r="13" spans="1:42" ht="13.5" customHeight="1" x14ac:dyDescent="0.35">
      <c r="A13" s="56" t="s">
        <v>246</v>
      </c>
      <c r="B13" s="97" t="s">
        <v>15</v>
      </c>
      <c r="C13" s="61">
        <v>18230627</v>
      </c>
      <c r="D13" s="61" t="s">
        <v>76</v>
      </c>
      <c r="E13" s="38" t="s">
        <v>726</v>
      </c>
      <c r="F13" s="39" t="s">
        <v>727</v>
      </c>
      <c r="G13" s="39">
        <v>25</v>
      </c>
      <c r="H13" s="39"/>
      <c r="I13" s="40" t="s">
        <v>274</v>
      </c>
      <c r="J13" s="41">
        <v>7819.5</v>
      </c>
      <c r="K13" s="496">
        <v>16.535296374448492</v>
      </c>
      <c r="L13" s="41"/>
      <c r="M13" s="42">
        <v>200</v>
      </c>
      <c r="N13" s="42">
        <v>18.53</v>
      </c>
      <c r="O13" s="43">
        <v>129297.75</v>
      </c>
      <c r="P13" s="44">
        <v>91237.41</v>
      </c>
      <c r="Q13" s="44">
        <v>144895.35</v>
      </c>
      <c r="R13" s="45">
        <v>0</v>
      </c>
      <c r="S13" s="46">
        <v>0</v>
      </c>
      <c r="T13" s="39">
        <f t="shared" si="0"/>
        <v>25</v>
      </c>
      <c r="U13" s="47">
        <f t="shared" si="1"/>
        <v>2.3833803146997119</v>
      </c>
      <c r="V13" s="48">
        <f t="shared" si="2"/>
        <v>-181.47</v>
      </c>
      <c r="W13" s="49">
        <f t="shared" si="3"/>
        <v>9.533521258798848E-2</v>
      </c>
      <c r="X13" s="44">
        <f t="shared" si="4"/>
        <v>22446.383124739248</v>
      </c>
      <c r="Y13" s="44">
        <f t="shared" si="5"/>
        <v>53657.94</v>
      </c>
      <c r="Z13" s="44">
        <f t="shared" si="6"/>
        <v>112171.17565305217</v>
      </c>
      <c r="AA13" s="50">
        <f t="shared" si="7"/>
        <v>167341.73312473926</v>
      </c>
      <c r="AB13" s="51">
        <f t="shared" si="8"/>
        <v>105029.19068637842</v>
      </c>
      <c r="AC13" s="44">
        <f t="shared" si="8"/>
        <v>156687.01603440003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1.9455570023927977</v>
      </c>
      <c r="AG13" s="44">
        <f t="shared" si="10"/>
        <v>251556.14290613335</v>
      </c>
      <c r="AH13" s="52">
        <f>HLOOKUP(I13,ElecAvoidedCostsWOCC!$A$5:$Q$50,T13+1,FALSE)</f>
        <v>1.9455570023927977</v>
      </c>
      <c r="AI13" s="44">
        <f t="shared" si="11"/>
        <v>0</v>
      </c>
      <c r="AJ13" s="44">
        <f t="shared" si="12"/>
        <v>251556.14290613335</v>
      </c>
      <c r="AK13" s="44">
        <f>HLOOKUP(I13,ElecAvoidedCostsWOCC!$A$5:$Q$50,G13+1,FALSE)*J13*L13</f>
        <v>0</v>
      </c>
      <c r="AL13" s="44">
        <f t="shared" si="13"/>
        <v>251556.14290613335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251556.14290613332</v>
      </c>
      <c r="AN13" s="48">
        <f t="shared" si="14"/>
        <v>276711.75719674665</v>
      </c>
      <c r="AO13" s="47">
        <f t="shared" si="15"/>
        <v>2.3951069341978513</v>
      </c>
      <c r="AP13" s="47">
        <f t="shared" si="16"/>
        <v>1.7660158716405425</v>
      </c>
    </row>
    <row r="14" spans="1:42" ht="13.5" customHeight="1" x14ac:dyDescent="0.35">
      <c r="A14" s="55">
        <f>SUM(Y5:Y1000)</f>
        <v>2048965.8199999998</v>
      </c>
      <c r="B14" s="97" t="s">
        <v>15</v>
      </c>
      <c r="C14" s="61">
        <v>18230627</v>
      </c>
      <c r="D14" s="61" t="s">
        <v>76</v>
      </c>
      <c r="E14" s="38" t="s">
        <v>728</v>
      </c>
      <c r="F14" s="39" t="s">
        <v>729</v>
      </c>
      <c r="G14" s="39">
        <v>25</v>
      </c>
      <c r="H14" s="39"/>
      <c r="I14" s="40" t="s">
        <v>274</v>
      </c>
      <c r="J14" s="41">
        <v>2768.63</v>
      </c>
      <c r="K14" s="496">
        <v>0.56139679191513492</v>
      </c>
      <c r="L14" s="41"/>
      <c r="M14" s="42">
        <v>0</v>
      </c>
      <c r="N14" s="42">
        <v>0</v>
      </c>
      <c r="O14" s="43">
        <v>1554.3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25</v>
      </c>
      <c r="U14" s="47">
        <f t="shared" si="1"/>
        <v>2.8650831303234297E-2</v>
      </c>
      <c r="V14" s="48">
        <f t="shared" si="2"/>
        <v>0</v>
      </c>
      <c r="W14" s="49">
        <f t="shared" si="3"/>
        <v>1.1460332521293719E-3</v>
      </c>
      <c r="X14" s="44">
        <f t="shared" si="4"/>
        <v>269.83001089177662</v>
      </c>
      <c r="Y14" s="44">
        <f t="shared" si="5"/>
        <v>0</v>
      </c>
      <c r="Z14" s="44">
        <f t="shared" si="6"/>
        <v>1348.4198937532865</v>
      </c>
      <c r="AA14" s="50">
        <f t="shared" si="7"/>
        <v>269.83001089177662</v>
      </c>
      <c r="AB14" s="51">
        <f t="shared" si="8"/>
        <v>1262.5654435892195</v>
      </c>
      <c r="AC14" s="44">
        <f t="shared" si="8"/>
        <v>252.64982293237509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1.9455570023927977</v>
      </c>
      <c r="AG14" s="44">
        <f t="shared" si="10"/>
        <v>3023.9792488191256</v>
      </c>
      <c r="AH14" s="52">
        <f>HLOOKUP(I14,ElecAvoidedCostsWOCC!$A$5:$Q$50,T14+1,FALSE)</f>
        <v>1.9455570023927977</v>
      </c>
      <c r="AI14" s="44">
        <f t="shared" si="11"/>
        <v>0</v>
      </c>
      <c r="AJ14" s="44">
        <f t="shared" si="12"/>
        <v>3023.9792488191256</v>
      </c>
      <c r="AK14" s="44">
        <f>HLOOKUP(I14,ElecAvoidedCostsWOCC!$A$5:$Q$50,G14+1,FALSE)*J14*L14</f>
        <v>0</v>
      </c>
      <c r="AL14" s="44">
        <f t="shared" si="13"/>
        <v>3023.9792488191256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3023.9792488191256</v>
      </c>
      <c r="AN14" s="48">
        <f t="shared" si="14"/>
        <v>3326.3771737010384</v>
      </c>
      <c r="AO14" s="47">
        <f t="shared" si="15"/>
        <v>2.3951069341978513</v>
      </c>
      <c r="AP14" s="47">
        <f t="shared" si="16"/>
        <v>13.165958855990906</v>
      </c>
    </row>
    <row r="15" spans="1:42" ht="13.5" customHeight="1" x14ac:dyDescent="0.35">
      <c r="A15" s="57" t="s">
        <v>249</v>
      </c>
      <c r="B15" s="97" t="s">
        <v>15</v>
      </c>
      <c r="C15" s="61">
        <v>18230627</v>
      </c>
      <c r="D15" s="61" t="s">
        <v>76</v>
      </c>
      <c r="E15" s="38" t="s">
        <v>730</v>
      </c>
      <c r="F15" s="39" t="s">
        <v>731</v>
      </c>
      <c r="G15" s="39">
        <v>45</v>
      </c>
      <c r="H15" s="39"/>
      <c r="I15" s="40" t="s">
        <v>274</v>
      </c>
      <c r="J15" s="41">
        <v>5636</v>
      </c>
      <c r="K15" s="496">
        <v>1.8601987224982257</v>
      </c>
      <c r="L15" s="41"/>
      <c r="M15" s="42">
        <v>0.5</v>
      </c>
      <c r="N15" s="42">
        <v>1.49</v>
      </c>
      <c r="O15" s="43">
        <v>10484.08</v>
      </c>
      <c r="P15" s="44">
        <v>3000</v>
      </c>
      <c r="Q15" s="44">
        <v>8397.64</v>
      </c>
      <c r="R15" s="45">
        <v>0</v>
      </c>
      <c r="S15" s="46">
        <v>0</v>
      </c>
      <c r="T15" s="39">
        <f t="shared" si="0"/>
        <v>45</v>
      </c>
      <c r="U15" s="47">
        <f t="shared" si="1"/>
        <v>0.34786057608524917</v>
      </c>
      <c r="V15" s="48">
        <f t="shared" si="2"/>
        <v>0.99</v>
      </c>
      <c r="W15" s="49">
        <f t="shared" si="3"/>
        <v>7.7302350241166481E-3</v>
      </c>
      <c r="X15" s="44">
        <f t="shared" si="4"/>
        <v>1820.0601046067411</v>
      </c>
      <c r="Y15" s="44">
        <f t="shared" si="5"/>
        <v>5397.6399999999994</v>
      </c>
      <c r="Z15" s="44">
        <f t="shared" si="6"/>
        <v>9095.3754356951395</v>
      </c>
      <c r="AA15" s="50">
        <f t="shared" si="7"/>
        <v>10217.70010460674</v>
      </c>
      <c r="AB15" s="51">
        <f t="shared" si="8"/>
        <v>8516.2691345460098</v>
      </c>
      <c r="AC15" s="44">
        <f t="shared" si="8"/>
        <v>9567.1349294070587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3.2695302314196475</v>
      </c>
      <c r="AG15" s="44">
        <f t="shared" si="10"/>
        <v>34278.016508622102</v>
      </c>
      <c r="AH15" s="52">
        <f>HLOOKUP(I15,ElecAvoidedCostsWOCC!$A$5:$Q$50,T15+1,FALSE)</f>
        <v>3.2695302314196475</v>
      </c>
      <c r="AI15" s="44">
        <f t="shared" si="11"/>
        <v>0</v>
      </c>
      <c r="AJ15" s="44">
        <f t="shared" si="12"/>
        <v>34278.016508622102</v>
      </c>
      <c r="AK15" s="44">
        <f>HLOOKUP(I15,ElecAvoidedCostsWOCC!$A$5:$Q$50,G15+1,FALSE)*J15*L15</f>
        <v>0</v>
      </c>
      <c r="AL15" s="44">
        <f t="shared" si="13"/>
        <v>34278.016508622102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34278.016508622095</v>
      </c>
      <c r="AN15" s="48">
        <f t="shared" si="14"/>
        <v>37705.818159484304</v>
      </c>
      <c r="AO15" s="47">
        <f t="shared" si="15"/>
        <v>4.0250039033611875</v>
      </c>
      <c r="AP15" s="47">
        <f t="shared" si="16"/>
        <v>3.9411818101975062</v>
      </c>
    </row>
    <row r="16" spans="1:42" ht="13.5" customHeight="1" x14ac:dyDescent="0.35">
      <c r="A16" s="54">
        <f>SUM(U5:U999)</f>
        <v>36.246500545104958</v>
      </c>
      <c r="B16" s="97" t="s">
        <v>15</v>
      </c>
      <c r="C16" s="61">
        <v>18230627</v>
      </c>
      <c r="D16" s="61" t="s">
        <v>76</v>
      </c>
      <c r="E16" s="38" t="s">
        <v>732</v>
      </c>
      <c r="F16" s="39" t="s">
        <v>731</v>
      </c>
      <c r="G16" s="39">
        <v>45</v>
      </c>
      <c r="H16" s="39"/>
      <c r="I16" s="40" t="s">
        <v>274</v>
      </c>
      <c r="J16" s="41">
        <v>21300</v>
      </c>
      <c r="K16" s="496">
        <v>1.8601995305164318</v>
      </c>
      <c r="L16" s="41"/>
      <c r="M16" s="42">
        <v>0.5</v>
      </c>
      <c r="N16" s="42">
        <v>1.49</v>
      </c>
      <c r="O16" s="43">
        <v>39622.25</v>
      </c>
      <c r="P16" s="44">
        <v>10650</v>
      </c>
      <c r="Q16" s="44">
        <v>31737</v>
      </c>
      <c r="R16" s="45">
        <v>1.78E-2</v>
      </c>
      <c r="S16" s="46">
        <v>0</v>
      </c>
      <c r="T16" s="39">
        <f t="shared" si="0"/>
        <v>45</v>
      </c>
      <c r="U16" s="47">
        <f t="shared" si="1"/>
        <v>1.3146617262357558</v>
      </c>
      <c r="V16" s="48">
        <f t="shared" si="2"/>
        <v>0.99</v>
      </c>
      <c r="W16" s="49">
        <f t="shared" si="3"/>
        <v>2.9214705027461242E-2</v>
      </c>
      <c r="X16" s="44">
        <f t="shared" si="4"/>
        <v>6878.5126095713167</v>
      </c>
      <c r="Y16" s="44">
        <f t="shared" si="5"/>
        <v>21087</v>
      </c>
      <c r="Z16" s="44">
        <f t="shared" si="6"/>
        <v>34373.94977498948</v>
      </c>
      <c r="AA16" s="50">
        <f t="shared" si="7"/>
        <v>38615.51260957132</v>
      </c>
      <c r="AB16" s="51">
        <f t="shared" si="8"/>
        <v>32185.346231263557</v>
      </c>
      <c r="AC16" s="44">
        <f t="shared" si="8"/>
        <v>36156.847012707229</v>
      </c>
      <c r="AD16" s="44">
        <f t="shared" si="9"/>
        <v>5286.7967915631898</v>
      </c>
      <c r="AE16" s="44">
        <f t="shared" si="17"/>
        <v>0</v>
      </c>
      <c r="AF16" s="52">
        <f>HLOOKUP(I16,ElecAvoidedCostsWOCC!$A$5:$Q$50,G16+1,FALSE)</f>
        <v>3.2695302314196475</v>
      </c>
      <c r="AG16" s="44">
        <f t="shared" si="10"/>
        <v>129546.14421186713</v>
      </c>
      <c r="AH16" s="52">
        <f>HLOOKUP(I16,ElecAvoidedCostsWOCC!$A$5:$Q$50,T16+1,FALSE)</f>
        <v>3.2695302314196475</v>
      </c>
      <c r="AI16" s="44">
        <f t="shared" si="11"/>
        <v>0</v>
      </c>
      <c r="AJ16" s="44">
        <f t="shared" si="12"/>
        <v>129546.14421186713</v>
      </c>
      <c r="AK16" s="44">
        <f>HLOOKUP(I16,ElecAvoidedCostsWOCC!$A$5:$Q$50,G16+1,FALSE)*J16*L16</f>
        <v>0</v>
      </c>
      <c r="AL16" s="44">
        <f t="shared" si="13"/>
        <v>129546.14421186713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129546.14421186713</v>
      </c>
      <c r="AN16" s="48">
        <f t="shared" si="14"/>
        <v>147787.55542461705</v>
      </c>
      <c r="AO16" s="47">
        <f t="shared" si="15"/>
        <v>4.0250039033611884</v>
      </c>
      <c r="AP16" s="47">
        <f t="shared" si="16"/>
        <v>4.0874016302549139</v>
      </c>
    </row>
    <row r="17" spans="1:42" ht="13.5" customHeight="1" x14ac:dyDescent="0.35">
      <c r="A17" s="58" t="s">
        <v>252</v>
      </c>
      <c r="B17" s="97" t="s">
        <v>15</v>
      </c>
      <c r="C17" s="61">
        <v>18230627</v>
      </c>
      <c r="D17" s="61" t="s">
        <v>76</v>
      </c>
      <c r="E17" s="38" t="s">
        <v>733</v>
      </c>
      <c r="F17" s="39" t="s">
        <v>734</v>
      </c>
      <c r="G17" s="39">
        <v>45</v>
      </c>
      <c r="H17" s="39"/>
      <c r="I17" s="40" t="s">
        <v>274</v>
      </c>
      <c r="J17" s="41">
        <v>78083</v>
      </c>
      <c r="K17" s="496">
        <v>7.9500659554576539E-2</v>
      </c>
      <c r="L17" s="41"/>
      <c r="M17" s="42">
        <v>0</v>
      </c>
      <c r="N17" s="42">
        <v>0</v>
      </c>
      <c r="O17" s="43">
        <v>6207.65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45</v>
      </c>
      <c r="U17" s="47">
        <f t="shared" si="1"/>
        <v>0.20596911747483773</v>
      </c>
      <c r="V17" s="48">
        <f t="shared" si="2"/>
        <v>0</v>
      </c>
      <c r="W17" s="49">
        <f t="shared" si="3"/>
        <v>4.5770914994408387E-3</v>
      </c>
      <c r="X17" s="44">
        <f t="shared" si="4"/>
        <v>1077.6621418724424</v>
      </c>
      <c r="Y17" s="44">
        <f t="shared" si="5"/>
        <v>0</v>
      </c>
      <c r="Z17" s="44">
        <f t="shared" si="6"/>
        <v>5385.3945528260874</v>
      </c>
      <c r="AA17" s="50">
        <f t="shared" si="7"/>
        <v>1077.6621418724424</v>
      </c>
      <c r="AB17" s="51">
        <f t="shared" si="8"/>
        <v>5042.5042629457748</v>
      </c>
      <c r="AC17" s="44">
        <f t="shared" si="8"/>
        <v>1009.0469493187662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3.2695302314196475</v>
      </c>
      <c r="AG17" s="44">
        <f t="shared" si="10"/>
        <v>20296.099341072175</v>
      </c>
      <c r="AH17" s="52">
        <f>HLOOKUP(I17,ElecAvoidedCostsWOCC!$A$5:$Q$50,T17+1,FALSE)</f>
        <v>3.2695302314196475</v>
      </c>
      <c r="AI17" s="44">
        <f t="shared" si="11"/>
        <v>0</v>
      </c>
      <c r="AJ17" s="44">
        <f t="shared" si="12"/>
        <v>20296.099341072175</v>
      </c>
      <c r="AK17" s="44">
        <f>HLOOKUP(I17,ElecAvoidedCostsWOCC!$A$5:$Q$50,G17+1,FALSE)*J17*L17</f>
        <v>0</v>
      </c>
      <c r="AL17" s="44">
        <f t="shared" si="13"/>
        <v>20296.099341072175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20296.099341072171</v>
      </c>
      <c r="AN17" s="48">
        <f t="shared" si="14"/>
        <v>22325.70927517939</v>
      </c>
      <c r="AO17" s="47">
        <f t="shared" si="15"/>
        <v>4.0250039033611875</v>
      </c>
      <c r="AP17" s="47">
        <f t="shared" si="16"/>
        <v>22.125540630445446</v>
      </c>
    </row>
    <row r="18" spans="1:42" ht="13.5" customHeight="1" x14ac:dyDescent="0.35">
      <c r="A18" s="59">
        <f>A6+A8</f>
        <v>1176597.53</v>
      </c>
      <c r="B18" s="97" t="s">
        <v>15</v>
      </c>
      <c r="C18" s="61">
        <v>18230627</v>
      </c>
      <c r="D18" s="61" t="s">
        <v>76</v>
      </c>
      <c r="E18" s="38" t="s">
        <v>735</v>
      </c>
      <c r="F18" s="39" t="s">
        <v>734</v>
      </c>
      <c r="G18" s="39">
        <v>45</v>
      </c>
      <c r="H18" s="39"/>
      <c r="I18" s="40" t="s">
        <v>274</v>
      </c>
      <c r="J18" s="41">
        <v>264717</v>
      </c>
      <c r="K18" s="496">
        <v>7.9500220990718393E-2</v>
      </c>
      <c r="L18" s="41"/>
      <c r="M18" s="42">
        <v>0</v>
      </c>
      <c r="N18" s="42">
        <v>0</v>
      </c>
      <c r="O18" s="43">
        <v>21045.06</v>
      </c>
      <c r="P18" s="44">
        <v>0</v>
      </c>
      <c r="Q18" s="44">
        <v>0</v>
      </c>
      <c r="R18" s="45">
        <v>4.3299999999999998E-2</v>
      </c>
      <c r="S18" s="46">
        <v>0</v>
      </c>
      <c r="T18" s="39">
        <f t="shared" si="0"/>
        <v>45</v>
      </c>
      <c r="U18" s="47">
        <f t="shared" si="1"/>
        <v>0.69827268538094267</v>
      </c>
      <c r="V18" s="48">
        <f t="shared" si="2"/>
        <v>0</v>
      </c>
      <c r="W18" s="49">
        <f t="shared" si="3"/>
        <v>1.5517170786243172E-2</v>
      </c>
      <c r="X18" s="44">
        <f t="shared" si="4"/>
        <v>3653.4702239066419</v>
      </c>
      <c r="Y18" s="44">
        <f t="shared" si="5"/>
        <v>0</v>
      </c>
      <c r="Z18" s="44">
        <f t="shared" si="6"/>
        <v>18257.464819681874</v>
      </c>
      <c r="AA18" s="50">
        <f t="shared" si="7"/>
        <v>3653.4702239066419</v>
      </c>
      <c r="AB18" s="51">
        <f t="shared" si="8"/>
        <v>17095.004512810741</v>
      </c>
      <c r="AC18" s="44">
        <f t="shared" si="8"/>
        <v>3420.8522695755073</v>
      </c>
      <c r="AD18" s="44">
        <f t="shared" si="9"/>
        <v>159831.63450331721</v>
      </c>
      <c r="AE18" s="44">
        <f t="shared" si="17"/>
        <v>0</v>
      </c>
      <c r="AF18" s="52">
        <f>HLOOKUP(I18,ElecAvoidedCostsWOCC!$A$5:$Q$50,G18+1,FALSE)</f>
        <v>3.2695302314196475</v>
      </c>
      <c r="AG18" s="44">
        <f t="shared" si="10"/>
        <v>68807.459892040366</v>
      </c>
      <c r="AH18" s="52">
        <f>HLOOKUP(I18,ElecAvoidedCostsWOCC!$A$5:$Q$50,T18+1,FALSE)</f>
        <v>3.2695302314196475</v>
      </c>
      <c r="AI18" s="44">
        <f t="shared" si="11"/>
        <v>0</v>
      </c>
      <c r="AJ18" s="44">
        <f t="shared" si="12"/>
        <v>68807.459892040366</v>
      </c>
      <c r="AK18" s="44">
        <f>HLOOKUP(I18,ElecAvoidedCostsWOCC!$A$5:$Q$50,G18+1,FALSE)*J18*L18</f>
        <v>0</v>
      </c>
      <c r="AL18" s="44">
        <f t="shared" si="13"/>
        <v>68807.459892040366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68807.459892040366</v>
      </c>
      <c r="AN18" s="48">
        <f t="shared" si="14"/>
        <v>235519.84038456163</v>
      </c>
      <c r="AO18" s="47">
        <f t="shared" si="15"/>
        <v>4.0250039033611884</v>
      </c>
      <c r="AP18" s="47">
        <f t="shared" si="16"/>
        <v>68.848293297911752</v>
      </c>
    </row>
    <row r="19" spans="1:42" ht="13.5" customHeight="1" x14ac:dyDescent="0.35">
      <c r="A19" s="58" t="s">
        <v>222</v>
      </c>
      <c r="B19" s="97" t="s">
        <v>15</v>
      </c>
      <c r="C19" s="61">
        <v>18230627</v>
      </c>
      <c r="D19" s="61" t="s">
        <v>76</v>
      </c>
      <c r="E19" s="38" t="s">
        <v>736</v>
      </c>
      <c r="F19" s="39" t="s">
        <v>737</v>
      </c>
      <c r="G19" s="39">
        <v>45</v>
      </c>
      <c r="H19" s="39"/>
      <c r="I19" s="40" t="s">
        <v>274</v>
      </c>
      <c r="J19" s="41">
        <v>6816</v>
      </c>
      <c r="K19" s="496">
        <v>1.3011003521126761</v>
      </c>
      <c r="L19" s="41"/>
      <c r="M19" s="42">
        <v>0.5</v>
      </c>
      <c r="N19" s="42">
        <v>1.49</v>
      </c>
      <c r="O19" s="43">
        <v>8868.2999999999993</v>
      </c>
      <c r="P19" s="44">
        <v>2963.04</v>
      </c>
      <c r="Q19" s="44">
        <v>10155.84</v>
      </c>
      <c r="R19" s="45">
        <v>0</v>
      </c>
      <c r="S19" s="46">
        <v>0</v>
      </c>
      <c r="T19" s="39">
        <f t="shared" si="0"/>
        <v>45</v>
      </c>
      <c r="U19" s="47">
        <f t="shared" si="1"/>
        <v>0.29424918036649994</v>
      </c>
      <c r="V19" s="48">
        <f t="shared" si="2"/>
        <v>0.99</v>
      </c>
      <c r="W19" s="49">
        <f t="shared" si="3"/>
        <v>6.5388706748111102E-3</v>
      </c>
      <c r="X19" s="44">
        <f t="shared" si="4"/>
        <v>1539.5570260513045</v>
      </c>
      <c r="Y19" s="44">
        <f t="shared" si="5"/>
        <v>7192.8</v>
      </c>
      <c r="Z19" s="44">
        <f t="shared" si="6"/>
        <v>7693.6190849721861</v>
      </c>
      <c r="AA19" s="50">
        <f t="shared" si="7"/>
        <v>11695.397026051305</v>
      </c>
      <c r="AB19" s="51">
        <f t="shared" si="8"/>
        <v>7203.7631881762036</v>
      </c>
      <c r="AC19" s="44">
        <f t="shared" si="8"/>
        <v>10950.746279074256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3.2695302314196475</v>
      </c>
      <c r="AG19" s="44">
        <f t="shared" si="10"/>
        <v>28995.174951298861</v>
      </c>
      <c r="AH19" s="52">
        <f>HLOOKUP(I19,ElecAvoidedCostsWOCC!$A$5:$Q$50,T19+1,FALSE)</f>
        <v>3.2695302314196475</v>
      </c>
      <c r="AI19" s="44">
        <f t="shared" si="11"/>
        <v>0</v>
      </c>
      <c r="AJ19" s="44">
        <f t="shared" si="12"/>
        <v>28995.174951298861</v>
      </c>
      <c r="AK19" s="44">
        <f>HLOOKUP(I19,ElecAvoidedCostsWOCC!$A$5:$Q$50,G19+1,FALSE)*J19*L19</f>
        <v>0</v>
      </c>
      <c r="AL19" s="44">
        <f t="shared" si="13"/>
        <v>28995.174951298861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28995.174951298861</v>
      </c>
      <c r="AN19" s="48">
        <f t="shared" si="14"/>
        <v>31894.692446428751</v>
      </c>
      <c r="AO19" s="47">
        <f t="shared" si="15"/>
        <v>4.0250039033611884</v>
      </c>
      <c r="AP19" s="47">
        <f t="shared" si="16"/>
        <v>2.9125588004331915</v>
      </c>
    </row>
    <row r="20" spans="1:42" ht="13.5" customHeight="1" x14ac:dyDescent="0.35">
      <c r="A20" s="59">
        <f>A8+SUM(Q5:Q906)</f>
        <v>3225132.7499999981</v>
      </c>
      <c r="B20" s="97" t="s">
        <v>15</v>
      </c>
      <c r="C20" s="61">
        <v>18230627</v>
      </c>
      <c r="D20" s="61" t="s">
        <v>76</v>
      </c>
      <c r="E20" s="38" t="s">
        <v>738</v>
      </c>
      <c r="F20" s="39" t="s">
        <v>737</v>
      </c>
      <c r="G20" s="39">
        <v>45</v>
      </c>
      <c r="H20" s="39"/>
      <c r="I20" s="40" t="s">
        <v>274</v>
      </c>
      <c r="J20" s="41">
        <v>21186</v>
      </c>
      <c r="K20" s="496">
        <v>1.3010997828754838</v>
      </c>
      <c r="L20" s="41"/>
      <c r="M20" s="42">
        <v>0.5</v>
      </c>
      <c r="N20" s="42">
        <v>1.49</v>
      </c>
      <c r="O20" s="43">
        <v>27565.1</v>
      </c>
      <c r="P20" s="44">
        <v>10593</v>
      </c>
      <c r="Q20" s="44">
        <v>31567.14</v>
      </c>
      <c r="R20" s="45">
        <v>1.24E-2</v>
      </c>
      <c r="S20" s="46">
        <v>0</v>
      </c>
      <c r="T20" s="39">
        <f t="shared" si="0"/>
        <v>45</v>
      </c>
      <c r="U20" s="47">
        <f t="shared" si="1"/>
        <v>0.91460686735006791</v>
      </c>
      <c r="V20" s="48">
        <f t="shared" si="2"/>
        <v>0.99</v>
      </c>
      <c r="W20" s="49">
        <f t="shared" si="3"/>
        <v>2.0324597052223732E-2</v>
      </c>
      <c r="X20" s="44">
        <f t="shared" si="4"/>
        <v>4785.3639794331284</v>
      </c>
      <c r="Y20" s="44">
        <f t="shared" si="5"/>
        <v>20974.14</v>
      </c>
      <c r="Z20" s="44">
        <f t="shared" si="6"/>
        <v>23913.870689891726</v>
      </c>
      <c r="AA20" s="50">
        <f t="shared" si="7"/>
        <v>36352.503979433124</v>
      </c>
      <c r="AB20" s="51">
        <f t="shared" si="8"/>
        <v>22391.264690909855</v>
      </c>
      <c r="AC20" s="44">
        <f t="shared" si="8"/>
        <v>34037.925074375584</v>
      </c>
      <c r="AD20" s="44">
        <f t="shared" si="9"/>
        <v>3663.2255964633546</v>
      </c>
      <c r="AE20" s="44">
        <f t="shared" si="17"/>
        <v>0</v>
      </c>
      <c r="AF20" s="52">
        <f>HLOOKUP(I20,ElecAvoidedCostsWOCC!$A$5:$Q$50,G20+1,FALSE)</f>
        <v>3.2695302314196475</v>
      </c>
      <c r="AG20" s="44">
        <f t="shared" si="10"/>
        <v>90124.927782105719</v>
      </c>
      <c r="AH20" s="52">
        <f>HLOOKUP(I20,ElecAvoidedCostsWOCC!$A$5:$Q$50,T20+1,FALSE)</f>
        <v>3.2695302314196475</v>
      </c>
      <c r="AI20" s="44">
        <f t="shared" si="11"/>
        <v>0</v>
      </c>
      <c r="AJ20" s="44">
        <f t="shared" si="12"/>
        <v>90124.927782105719</v>
      </c>
      <c r="AK20" s="44">
        <f>HLOOKUP(I20,ElecAvoidedCostsWOCC!$A$5:$Q$50,G20+1,FALSE)*J20*L20</f>
        <v>0</v>
      </c>
      <c r="AL20" s="44">
        <f t="shared" si="13"/>
        <v>90124.927782105719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90124.927782105733</v>
      </c>
      <c r="AN20" s="48">
        <f t="shared" si="14"/>
        <v>102800.64615677967</v>
      </c>
      <c r="AO20" s="47">
        <f t="shared" si="15"/>
        <v>4.0250039033611893</v>
      </c>
      <c r="AP20" s="47">
        <f t="shared" si="16"/>
        <v>3.0201795771085354</v>
      </c>
    </row>
    <row r="21" spans="1:42" ht="13.5" customHeight="1" x14ac:dyDescent="0.35">
      <c r="A21" s="58" t="s">
        <v>236</v>
      </c>
      <c r="B21" s="97" t="s">
        <v>15</v>
      </c>
      <c r="C21" s="61">
        <v>18230627</v>
      </c>
      <c r="D21" s="61" t="s">
        <v>76</v>
      </c>
      <c r="E21" s="38" t="s">
        <v>739</v>
      </c>
      <c r="F21" s="39" t="s">
        <v>740</v>
      </c>
      <c r="G21" s="39">
        <v>45</v>
      </c>
      <c r="H21" s="39"/>
      <c r="I21" s="40" t="s">
        <v>274</v>
      </c>
      <c r="J21" s="41">
        <v>15652</v>
      </c>
      <c r="K21" s="496">
        <v>1.2032998977766418</v>
      </c>
      <c r="L21" s="41"/>
      <c r="M21" s="42">
        <v>0.5</v>
      </c>
      <c r="N21" s="42">
        <v>1.49</v>
      </c>
      <c r="O21" s="43">
        <v>18834.05</v>
      </c>
      <c r="P21" s="44">
        <v>4984.75</v>
      </c>
      <c r="Q21" s="44">
        <v>23321.48</v>
      </c>
      <c r="R21" s="45">
        <v>0</v>
      </c>
      <c r="S21" s="46">
        <v>0</v>
      </c>
      <c r="T21" s="39">
        <f t="shared" si="0"/>
        <v>45</v>
      </c>
      <c r="U21" s="47">
        <f t="shared" si="1"/>
        <v>0.6249116262960972</v>
      </c>
      <c r="V21" s="48">
        <f t="shared" si="2"/>
        <v>0.99</v>
      </c>
      <c r="W21" s="49">
        <f t="shared" si="3"/>
        <v>1.388692502880216E-2</v>
      </c>
      <c r="X21" s="44">
        <f t="shared" si="4"/>
        <v>3269.633865171631</v>
      </c>
      <c r="Y21" s="44">
        <f t="shared" si="5"/>
        <v>18336.73</v>
      </c>
      <c r="Z21" s="44">
        <f t="shared" si="6"/>
        <v>16339.3216881838</v>
      </c>
      <c r="AA21" s="50">
        <f t="shared" si="7"/>
        <v>26591.113865171632</v>
      </c>
      <c r="AB21" s="51">
        <f t="shared" ref="AB21:AC24" si="18">Z21/(1+ElecDiscountRate)^1</f>
        <v>15298.990344741385</v>
      </c>
      <c r="AC21" s="44">
        <f t="shared" si="18"/>
        <v>24898.046690235609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3.2695302314196475</v>
      </c>
      <c r="AG21" s="44">
        <f t="shared" si="10"/>
        <v>61578.495855069203</v>
      </c>
      <c r="AH21" s="52">
        <f>HLOOKUP(I21,ElecAvoidedCostsWOCC!$A$5:$Q$50,T21+1,FALSE)</f>
        <v>3.2695302314196475</v>
      </c>
      <c r="AI21" s="44">
        <f t="shared" si="11"/>
        <v>0</v>
      </c>
      <c r="AJ21" s="44">
        <f t="shared" si="12"/>
        <v>61578.495855069203</v>
      </c>
      <c r="AK21" s="44">
        <f>HLOOKUP(I21,ElecAvoidedCostsWOCC!$A$5:$Q$50,G21+1,FALSE)*J21*L21</f>
        <v>0</v>
      </c>
      <c r="AL21" s="44">
        <f t="shared" si="13"/>
        <v>61578.495855069203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61578.49585506921</v>
      </c>
      <c r="AN21" s="48">
        <f t="shared" si="14"/>
        <v>67736.345440576129</v>
      </c>
      <c r="AO21" s="47">
        <f t="shared" si="15"/>
        <v>4.0250039033611884</v>
      </c>
      <c r="AP21" s="47">
        <f t="shared" si="16"/>
        <v>2.7205485748864238</v>
      </c>
    </row>
    <row r="22" spans="1:42" ht="13.5" customHeight="1" x14ac:dyDescent="0.35">
      <c r="A22" s="60">
        <f>(SUM(AM5:AM1000)/(SUM(AB5:AB1000)))</f>
        <v>3.3153977125457996</v>
      </c>
      <c r="B22" s="97" t="s">
        <v>15</v>
      </c>
      <c r="C22" s="61">
        <v>18230627</v>
      </c>
      <c r="D22" s="61" t="s">
        <v>76</v>
      </c>
      <c r="E22" s="38" t="s">
        <v>741</v>
      </c>
      <c r="F22" s="39" t="s">
        <v>740</v>
      </c>
      <c r="G22" s="39">
        <v>45</v>
      </c>
      <c r="H22" s="39"/>
      <c r="I22" s="40" t="s">
        <v>274</v>
      </c>
      <c r="J22" s="41">
        <v>18030</v>
      </c>
      <c r="K22" s="496">
        <v>1.2032995008319469</v>
      </c>
      <c r="L22" s="41"/>
      <c r="M22" s="42">
        <v>0.5</v>
      </c>
      <c r="N22" s="42">
        <v>1.49</v>
      </c>
      <c r="O22" s="43">
        <v>21695.49</v>
      </c>
      <c r="P22" s="44">
        <v>9015</v>
      </c>
      <c r="Q22" s="44">
        <v>26864.7</v>
      </c>
      <c r="R22" s="45">
        <v>1.15E-2</v>
      </c>
      <c r="S22" s="46">
        <v>0</v>
      </c>
      <c r="T22" s="39">
        <f t="shared" si="0"/>
        <v>45</v>
      </c>
      <c r="U22" s="47">
        <f t="shared" si="1"/>
        <v>0.71985387843776105</v>
      </c>
      <c r="V22" s="48">
        <f t="shared" si="2"/>
        <v>0.99</v>
      </c>
      <c r="W22" s="49">
        <f t="shared" si="3"/>
        <v>1.5996752854172468E-2</v>
      </c>
      <c r="X22" s="44">
        <f t="shared" si="4"/>
        <v>3766.386349483646</v>
      </c>
      <c r="Y22" s="44">
        <f t="shared" si="5"/>
        <v>17849.7</v>
      </c>
      <c r="Z22" s="44">
        <f t="shared" si="6"/>
        <v>18821.739896239778</v>
      </c>
      <c r="AA22" s="50">
        <f t="shared" si="7"/>
        <v>30631.086349483645</v>
      </c>
      <c r="AB22" s="51">
        <f t="shared" si="18"/>
        <v>17623.351962771329</v>
      </c>
      <c r="AC22" s="44">
        <f t="shared" si="18"/>
        <v>28680.792462063335</v>
      </c>
      <c r="AD22" s="44">
        <f t="shared" si="9"/>
        <v>2891.2562133952356</v>
      </c>
      <c r="AE22" s="44">
        <f t="shared" si="17"/>
        <v>0</v>
      </c>
      <c r="AF22" s="52">
        <f>HLOOKUP(I22,ElecAvoidedCostsWOCC!$A$5:$Q$50,G22+1,FALSE)</f>
        <v>3.2695302314196475</v>
      </c>
      <c r="AG22" s="44">
        <f t="shared" si="10"/>
        <v>70934.06044046265</v>
      </c>
      <c r="AH22" s="52">
        <f>HLOOKUP(I22,ElecAvoidedCostsWOCC!$A$5:$Q$50,T22+1,FALSE)</f>
        <v>3.2695302314196475</v>
      </c>
      <c r="AI22" s="44">
        <f t="shared" si="11"/>
        <v>0</v>
      </c>
      <c r="AJ22" s="44">
        <f t="shared" si="12"/>
        <v>70934.06044046265</v>
      </c>
      <c r="AK22" s="44">
        <f>HLOOKUP(I22,ElecAvoidedCostsWOCC!$A$5:$Q$50,G22+1,FALSE)*J22*L22</f>
        <v>0</v>
      </c>
      <c r="AL22" s="44">
        <f t="shared" si="13"/>
        <v>70934.06044046265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70934.06044046265</v>
      </c>
      <c r="AN22" s="48">
        <f t="shared" si="14"/>
        <v>80918.722697904159</v>
      </c>
      <c r="AO22" s="47">
        <f t="shared" si="15"/>
        <v>4.0250039033611875</v>
      </c>
      <c r="AP22" s="47">
        <f t="shared" si="16"/>
        <v>2.8213558884377758</v>
      </c>
    </row>
    <row r="23" spans="1:42" ht="13.5" customHeight="1" x14ac:dyDescent="0.35">
      <c r="A23" s="58" t="s">
        <v>237</v>
      </c>
      <c r="B23" s="97" t="s">
        <v>15</v>
      </c>
      <c r="C23" s="61">
        <v>18230627</v>
      </c>
      <c r="D23" s="61" t="s">
        <v>76</v>
      </c>
      <c r="E23" s="38" t="s">
        <v>742</v>
      </c>
      <c r="F23" s="39" t="s">
        <v>743</v>
      </c>
      <c r="G23" s="39">
        <v>45</v>
      </c>
      <c r="H23" s="39"/>
      <c r="I23" s="40" t="s">
        <v>274</v>
      </c>
      <c r="J23" s="41">
        <v>23168</v>
      </c>
      <c r="K23" s="496">
        <v>0.44230015538674028</v>
      </c>
      <c r="L23" s="41"/>
      <c r="M23" s="42">
        <v>0.5</v>
      </c>
      <c r="N23" s="42">
        <v>1.24</v>
      </c>
      <c r="O23" s="43">
        <v>10247.209999999999</v>
      </c>
      <c r="P23" s="44">
        <v>9000</v>
      </c>
      <c r="Q23" s="44">
        <v>28728.32</v>
      </c>
      <c r="R23" s="45">
        <v>0</v>
      </c>
      <c r="S23" s="46">
        <v>0</v>
      </c>
      <c r="T23" s="39">
        <f t="shared" si="0"/>
        <v>45</v>
      </c>
      <c r="U23" s="47">
        <f t="shared" si="1"/>
        <v>0.34000125655913782</v>
      </c>
      <c r="V23" s="48">
        <f t="shared" si="2"/>
        <v>0.74</v>
      </c>
      <c r="W23" s="49">
        <f t="shared" si="3"/>
        <v>7.5555834790919513E-3</v>
      </c>
      <c r="X23" s="44">
        <f t="shared" si="4"/>
        <v>1778.9389345109196</v>
      </c>
      <c r="Y23" s="44">
        <f t="shared" si="5"/>
        <v>19728.32</v>
      </c>
      <c r="Z23" s="44">
        <f t="shared" si="6"/>
        <v>8889.8808592083969</v>
      </c>
      <c r="AA23" s="50">
        <f t="shared" si="7"/>
        <v>30507.258934510919</v>
      </c>
      <c r="AB23" s="51">
        <f t="shared" si="18"/>
        <v>8323.8584824048648</v>
      </c>
      <c r="AC23" s="44">
        <f t="shared" si="18"/>
        <v>28564.849189616965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3.2695302314196475</v>
      </c>
      <c r="AG23" s="44">
        <f t="shared" si="10"/>
        <v>33503.562882705723</v>
      </c>
      <c r="AH23" s="52">
        <f>HLOOKUP(I23,ElecAvoidedCostsWOCC!$A$5:$Q$50,T23+1,FALSE)</f>
        <v>3.2695302314196475</v>
      </c>
      <c r="AI23" s="44">
        <f t="shared" si="11"/>
        <v>0</v>
      </c>
      <c r="AJ23" s="44">
        <f t="shared" si="12"/>
        <v>33503.562882705723</v>
      </c>
      <c r="AK23" s="44">
        <f>HLOOKUP(I23,ElecAvoidedCostsWOCC!$A$5:$Q$50,G23+1,FALSE)*J23*L23</f>
        <v>0</v>
      </c>
      <c r="AL23" s="44">
        <f t="shared" si="13"/>
        <v>33503.562882705723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33503.562882705723</v>
      </c>
      <c r="AN23" s="48">
        <f t="shared" si="14"/>
        <v>36853.919170976296</v>
      </c>
      <c r="AO23" s="47">
        <f t="shared" si="15"/>
        <v>4.0250039033611884</v>
      </c>
      <c r="AP23" s="47">
        <f t="shared" si="16"/>
        <v>1.2901842725069357</v>
      </c>
    </row>
    <row r="24" spans="1:42" ht="13.5" customHeight="1" x14ac:dyDescent="0.35">
      <c r="A24" s="60">
        <f>(SUM(AN5:AN1000)/SUM(AC5:AC1000))</f>
        <v>1.8236409910729612</v>
      </c>
      <c r="B24" s="97" t="s">
        <v>15</v>
      </c>
      <c r="C24" s="61">
        <v>18230627</v>
      </c>
      <c r="D24" s="61" t="s">
        <v>76</v>
      </c>
      <c r="E24" s="38" t="s">
        <v>744</v>
      </c>
      <c r="F24" s="39" t="s">
        <v>743</v>
      </c>
      <c r="G24" s="39">
        <v>45</v>
      </c>
      <c r="H24" s="39"/>
      <c r="I24" s="40" t="s">
        <v>274</v>
      </c>
      <c r="J24" s="41">
        <v>39580</v>
      </c>
      <c r="K24" s="496">
        <v>0.44230040424456796</v>
      </c>
      <c r="L24" s="41"/>
      <c r="M24" s="42">
        <v>0.5</v>
      </c>
      <c r="N24" s="42">
        <v>1.24</v>
      </c>
      <c r="O24" s="43">
        <v>17506.25</v>
      </c>
      <c r="P24" s="44">
        <v>19790</v>
      </c>
      <c r="Q24" s="44">
        <v>49079.199999999997</v>
      </c>
      <c r="R24" s="45">
        <v>4.1999999999999997E-3</v>
      </c>
      <c r="S24" s="46">
        <v>0</v>
      </c>
      <c r="T24" s="39">
        <f t="shared" si="0"/>
        <v>45</v>
      </c>
      <c r="U24" s="47">
        <f t="shared" si="1"/>
        <v>0.58085537406166232</v>
      </c>
      <c r="V24" s="48">
        <f t="shared" si="2"/>
        <v>0.74</v>
      </c>
      <c r="W24" s="49">
        <f t="shared" si="3"/>
        <v>1.2907897201370274E-2</v>
      </c>
      <c r="X24" s="44">
        <f t="shared" si="4"/>
        <v>3039.1247688182234</v>
      </c>
      <c r="Y24" s="44">
        <f t="shared" si="5"/>
        <v>29289.199999999997</v>
      </c>
      <c r="Z24" s="44">
        <f t="shared" si="6"/>
        <v>15187.399964626176</v>
      </c>
      <c r="AA24" s="50">
        <f t="shared" si="7"/>
        <v>52118.324768818224</v>
      </c>
      <c r="AB24" s="51">
        <f t="shared" si="18"/>
        <v>14220.411951897167</v>
      </c>
      <c r="AC24" s="44">
        <f t="shared" si="18"/>
        <v>48799.929558818556</v>
      </c>
      <c r="AD24" s="44">
        <f t="shared" si="9"/>
        <v>2318.0248758830471</v>
      </c>
      <c r="AE24" s="44">
        <f t="shared" si="17"/>
        <v>0</v>
      </c>
      <c r="AF24" s="52">
        <f>HLOOKUP(I24,ElecAvoidedCostsWOCC!$A$5:$Q$50,G24+1,FALSE)</f>
        <v>3.2695302314196475</v>
      </c>
      <c r="AG24" s="44">
        <f t="shared" si="10"/>
        <v>57237.213613790205</v>
      </c>
      <c r="AH24" s="52">
        <f>HLOOKUP(I24,ElecAvoidedCostsWOCC!$A$5:$Q$50,T24+1,FALSE)</f>
        <v>3.2695302314196475</v>
      </c>
      <c r="AI24" s="44">
        <f t="shared" si="11"/>
        <v>0</v>
      </c>
      <c r="AJ24" s="44">
        <f t="shared" si="12"/>
        <v>57237.213613790205</v>
      </c>
      <c r="AK24" s="44">
        <f>HLOOKUP(I24,ElecAvoidedCostsWOCC!$A$5:$Q$50,G24+1,FALSE)*J24*L24</f>
        <v>0</v>
      </c>
      <c r="AL24" s="44">
        <f t="shared" si="13"/>
        <v>57237.213613790205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57237.213613790205</v>
      </c>
      <c r="AN24" s="48">
        <f t="shared" si="14"/>
        <v>65278.959851052277</v>
      </c>
      <c r="AO24" s="47">
        <f t="shared" si="15"/>
        <v>4.0250039033611893</v>
      </c>
      <c r="AP24" s="47">
        <f t="shared" si="16"/>
        <v>1.3376855344098713</v>
      </c>
    </row>
    <row r="25" spans="1:42" ht="13.5" customHeight="1" x14ac:dyDescent="0.35">
      <c r="B25" s="97" t="s">
        <v>15</v>
      </c>
      <c r="C25" s="61">
        <v>18230627</v>
      </c>
      <c r="D25" s="61" t="s">
        <v>76</v>
      </c>
      <c r="E25" s="38" t="s">
        <v>745</v>
      </c>
      <c r="F25" s="39" t="s">
        <v>746</v>
      </c>
      <c r="G25" s="39">
        <v>45</v>
      </c>
      <c r="H25" s="39"/>
      <c r="I25" s="40" t="s">
        <v>274</v>
      </c>
      <c r="J25" s="41">
        <v>152890.04999999999</v>
      </c>
      <c r="K25" s="496">
        <v>2.8700298024626196E-2</v>
      </c>
      <c r="L25" s="41"/>
      <c r="M25" s="42">
        <v>0</v>
      </c>
      <c r="N25" s="42">
        <v>0</v>
      </c>
      <c r="O25" s="43">
        <v>4387.99</v>
      </c>
      <c r="P25" s="44">
        <v>0</v>
      </c>
      <c r="Q25" s="44">
        <v>0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0.14559300665926933</v>
      </c>
      <c r="V25" s="48">
        <f t="shared" ref="V25:V67" si="21">N25-M25</f>
        <v>0</v>
      </c>
      <c r="W25" s="49">
        <f t="shared" ref="W25:W67" si="22">(O25/A$10)</f>
        <v>3.2354001479837627E-3</v>
      </c>
      <c r="X25" s="44">
        <f t="shared" ref="X25:X67" si="23">W25*A$8</f>
        <v>761.76503216432275</v>
      </c>
      <c r="Y25" s="44">
        <f t="shared" ref="Y25:Y67" si="24">Q25-P25</f>
        <v>0</v>
      </c>
      <c r="Z25" s="44">
        <f t="shared" ref="Z25:Z67" si="25">X25+(A$6*W25)</f>
        <v>3806.7638226793297</v>
      </c>
      <c r="AA25" s="50">
        <f t="shared" ref="AA25:AA67" si="26">Q25+X25</f>
        <v>761.76503216432275</v>
      </c>
      <c r="AB25" s="51">
        <f t="shared" ref="AB25:AB67" si="27">Z25/(1+ElecDiscountRate)^1</f>
        <v>3564.3856017596718</v>
      </c>
      <c r="AC25" s="44">
        <f t="shared" ref="AC25:AC67" si="28">AA25/(1+ElecDiscountRate)^1</f>
        <v>713.26313873063918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3.2695302314196475</v>
      </c>
      <c r="AG25" s="44">
        <f t="shared" ref="AG25:AG67" si="31">AF25*J25*K25</f>
        <v>14346.665960167098</v>
      </c>
      <c r="AH25" s="52">
        <f>HLOOKUP(I25,ElecAvoidedCostsWOCC!$A$5:$Q$50,T25+1,FALSE)</f>
        <v>3.2695302314196475</v>
      </c>
      <c r="AI25" s="44">
        <f t="shared" ref="AI25:AI67" si="32">AH25*J25*L25</f>
        <v>0</v>
      </c>
      <c r="AJ25" s="44">
        <f t="shared" ref="AJ25:AJ67" si="33">AG25+AI25</f>
        <v>14346.665960167098</v>
      </c>
      <c r="AK25" s="44">
        <f>HLOOKUP(I25,ElecAvoidedCostsWOCC!$A$5:$Q$50,G25+1,FALSE)*J25*L25</f>
        <v>0</v>
      </c>
      <c r="AL25" s="44">
        <f t="shared" ref="AL25:AL67" si="34">AG25+AI25-AK25</f>
        <v>14346.665960167098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14346.665960167098</v>
      </c>
      <c r="AN25" s="48">
        <f t="shared" ref="AN25:AN67" si="35">AM25*1.1+AD25+AE25</f>
        <v>15781.33255618381</v>
      </c>
      <c r="AO25" s="47">
        <f t="shared" ref="AO25:AO67" si="36">IFERROR(AM25/AB25,0)</f>
        <v>4.0250039033611884</v>
      </c>
      <c r="AP25" s="47">
        <f t="shared" ref="AP25:AP67" si="37">AN25/AC25</f>
        <v>22.125540630445453</v>
      </c>
    </row>
    <row r="26" spans="1:42" ht="13.5" customHeight="1" x14ac:dyDescent="0.35">
      <c r="B26" s="97" t="s">
        <v>15</v>
      </c>
      <c r="C26" s="61">
        <v>18230627</v>
      </c>
      <c r="D26" s="61" t="s">
        <v>76</v>
      </c>
      <c r="E26" s="38" t="s">
        <v>747</v>
      </c>
      <c r="F26" s="39" t="s">
        <v>746</v>
      </c>
      <c r="G26" s="39">
        <v>45</v>
      </c>
      <c r="H26" s="39"/>
      <c r="I26" s="40" t="s">
        <v>274</v>
      </c>
      <c r="J26" s="41">
        <v>294537</v>
      </c>
      <c r="K26" s="496">
        <v>2.8699891694422094E-2</v>
      </c>
      <c r="L26" s="41"/>
      <c r="M26" s="42">
        <v>0</v>
      </c>
      <c r="N26" s="42">
        <v>0</v>
      </c>
      <c r="O26" s="43">
        <v>8453.18</v>
      </c>
      <c r="P26" s="44">
        <v>0</v>
      </c>
      <c r="Q26" s="44">
        <v>0</v>
      </c>
      <c r="R26" s="45">
        <v>4.8099999999999997E-2</v>
      </c>
      <c r="S26" s="46">
        <v>0</v>
      </c>
      <c r="T26" s="39">
        <f t="shared" si="19"/>
        <v>45</v>
      </c>
      <c r="U26" s="47">
        <f t="shared" si="20"/>
        <v>0.28047554621409859</v>
      </c>
      <c r="V26" s="48">
        <f t="shared" si="21"/>
        <v>0</v>
      </c>
      <c r="W26" s="49">
        <f t="shared" si="22"/>
        <v>6.2327899158688572E-3</v>
      </c>
      <c r="X26" s="44">
        <f t="shared" si="23"/>
        <v>1467.4912510262811</v>
      </c>
      <c r="Y26" s="44">
        <f t="shared" si="24"/>
        <v>0</v>
      </c>
      <c r="Z26" s="44">
        <f t="shared" si="25"/>
        <v>7333.4852200202058</v>
      </c>
      <c r="AA26" s="50">
        <f t="shared" si="26"/>
        <v>1467.4912510262811</v>
      </c>
      <c r="AB26" s="51">
        <f t="shared" si="27"/>
        <v>6866.5591947754729</v>
      </c>
      <c r="AC26" s="44">
        <f t="shared" si="28"/>
        <v>1374.0554784890271</v>
      </c>
      <c r="AD26" s="44">
        <f t="shared" si="29"/>
        <v>197550.41547528285</v>
      </c>
      <c r="AE26" s="44">
        <f t="shared" si="30"/>
        <v>0</v>
      </c>
      <c r="AF26" s="52">
        <f>HLOOKUP(I26,ElecAvoidedCostsWOCC!$A$5:$Q$50,G26+1,FALSE)</f>
        <v>3.2695302314196475</v>
      </c>
      <c r="AG26" s="44">
        <f t="shared" si="31"/>
        <v>27637.927561631936</v>
      </c>
      <c r="AH26" s="52">
        <f>HLOOKUP(I26,ElecAvoidedCostsWOCC!$A$5:$Q$50,T26+1,FALSE)</f>
        <v>3.2695302314196475</v>
      </c>
      <c r="AI26" s="44">
        <f t="shared" si="32"/>
        <v>0</v>
      </c>
      <c r="AJ26" s="44">
        <f t="shared" si="33"/>
        <v>27637.927561631936</v>
      </c>
      <c r="AK26" s="44">
        <f>HLOOKUP(I26,ElecAvoidedCostsWOCC!$A$5:$Q$50,G26+1,FALSE)*J26*L26</f>
        <v>0</v>
      </c>
      <c r="AL26" s="44">
        <f t="shared" si="34"/>
        <v>27637.927561631936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27637.927561631936</v>
      </c>
      <c r="AN26" s="48">
        <f t="shared" si="35"/>
        <v>227952.13579307799</v>
      </c>
      <c r="AO26" s="47">
        <f t="shared" si="36"/>
        <v>4.0250039033611884</v>
      </c>
      <c r="AP26" s="47">
        <f t="shared" si="37"/>
        <v>165.89733046568423</v>
      </c>
    </row>
    <row r="27" spans="1:42" ht="13.5" customHeight="1" x14ac:dyDescent="0.35">
      <c r="B27" s="97" t="s">
        <v>15</v>
      </c>
      <c r="C27" s="61">
        <v>18230627</v>
      </c>
      <c r="D27" s="61" t="s">
        <v>76</v>
      </c>
      <c r="E27" s="38" t="s">
        <v>748</v>
      </c>
      <c r="F27" s="39" t="s">
        <v>749</v>
      </c>
      <c r="G27" s="39">
        <v>45</v>
      </c>
      <c r="H27" s="39"/>
      <c r="I27" s="40" t="s">
        <v>274</v>
      </c>
      <c r="J27" s="41">
        <v>6110</v>
      </c>
      <c r="K27" s="496">
        <v>0.33109983633387891</v>
      </c>
      <c r="L27" s="41"/>
      <c r="M27" s="42">
        <v>0.5</v>
      </c>
      <c r="N27" s="42">
        <v>1.24</v>
      </c>
      <c r="O27" s="43">
        <v>2023.02</v>
      </c>
      <c r="P27" s="44">
        <v>3000</v>
      </c>
      <c r="Q27" s="44">
        <v>7576.4</v>
      </c>
      <c r="R27" s="45">
        <v>0</v>
      </c>
      <c r="S27" s="46">
        <v>0</v>
      </c>
      <c r="T27" s="39">
        <f t="shared" si="19"/>
        <v>45</v>
      </c>
      <c r="U27" s="47">
        <f t="shared" si="20"/>
        <v>6.7123572371822871E-2</v>
      </c>
      <c r="V27" s="48">
        <f t="shared" si="21"/>
        <v>0.74</v>
      </c>
      <c r="W27" s="49">
        <f t="shared" si="22"/>
        <v>1.4916349415960639E-3</v>
      </c>
      <c r="X27" s="44">
        <f t="shared" si="23"/>
        <v>351.20086767952262</v>
      </c>
      <c r="Y27" s="44">
        <f t="shared" si="24"/>
        <v>4576.3999999999996</v>
      </c>
      <c r="Z27" s="44">
        <f t="shared" si="25"/>
        <v>1755.053987943623</v>
      </c>
      <c r="AA27" s="50">
        <f t="shared" si="26"/>
        <v>7927.6008676795227</v>
      </c>
      <c r="AB27" s="51">
        <f t="shared" si="27"/>
        <v>1643.3089774753023</v>
      </c>
      <c r="AC27" s="44">
        <f t="shared" si="28"/>
        <v>7422.8472543815751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3.2695302314196475</v>
      </c>
      <c r="AG27" s="44">
        <f t="shared" si="31"/>
        <v>6614.3250487665755</v>
      </c>
      <c r="AH27" s="52">
        <f>HLOOKUP(I27,ElecAvoidedCostsWOCC!$A$5:$Q$50,T27+1,FALSE)</f>
        <v>3.2695302314196475</v>
      </c>
      <c r="AI27" s="44">
        <f t="shared" si="32"/>
        <v>0</v>
      </c>
      <c r="AJ27" s="44">
        <f t="shared" si="33"/>
        <v>6614.3250487665755</v>
      </c>
      <c r="AK27" s="44">
        <f>HLOOKUP(I27,ElecAvoidedCostsWOCC!$A$5:$Q$50,G27+1,FALSE)*J27*L27</f>
        <v>0</v>
      </c>
      <c r="AL27" s="44">
        <f t="shared" si="34"/>
        <v>6614.3250487665755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6614.3250487665764</v>
      </c>
      <c r="AN27" s="48">
        <f t="shared" si="35"/>
        <v>7275.757553643235</v>
      </c>
      <c r="AO27" s="47">
        <f t="shared" si="36"/>
        <v>4.0250039033611893</v>
      </c>
      <c r="AP27" s="47">
        <f t="shared" si="37"/>
        <v>0.98018419405686741</v>
      </c>
    </row>
    <row r="28" spans="1:42" ht="13.5" customHeight="1" x14ac:dyDescent="0.35">
      <c r="B28" s="97" t="s">
        <v>15</v>
      </c>
      <c r="C28" s="61">
        <v>18230627</v>
      </c>
      <c r="D28" s="61" t="s">
        <v>76</v>
      </c>
      <c r="E28" s="38" t="s">
        <v>750</v>
      </c>
      <c r="F28" s="39" t="s">
        <v>749</v>
      </c>
      <c r="G28" s="39">
        <v>45</v>
      </c>
      <c r="H28" s="39"/>
      <c r="I28" s="40" t="s">
        <v>274</v>
      </c>
      <c r="J28" s="41">
        <v>31757</v>
      </c>
      <c r="K28" s="496">
        <v>0.3311005447617848</v>
      </c>
      <c r="L28" s="41"/>
      <c r="M28" s="42">
        <v>0.5</v>
      </c>
      <c r="N28" s="42">
        <v>1.24</v>
      </c>
      <c r="O28" s="43">
        <v>10514.76</v>
      </c>
      <c r="P28" s="44">
        <v>15878.5</v>
      </c>
      <c r="Q28" s="44">
        <v>39378.68</v>
      </c>
      <c r="R28" s="45">
        <v>3.2000000000000002E-3</v>
      </c>
      <c r="S28" s="46">
        <v>0</v>
      </c>
      <c r="T28" s="39">
        <f t="shared" si="19"/>
        <v>45</v>
      </c>
      <c r="U28" s="47">
        <f t="shared" si="20"/>
        <v>0.3488785349785708</v>
      </c>
      <c r="V28" s="48">
        <f t="shared" si="21"/>
        <v>0.74</v>
      </c>
      <c r="W28" s="49">
        <f t="shared" si="22"/>
        <v>7.7528563328571288E-3</v>
      </c>
      <c r="X28" s="44">
        <f t="shared" si="23"/>
        <v>1825.3862223022695</v>
      </c>
      <c r="Y28" s="44">
        <f t="shared" si="24"/>
        <v>23500.18</v>
      </c>
      <c r="Z28" s="44">
        <f t="shared" si="25"/>
        <v>9121.9916116845561</v>
      </c>
      <c r="AA28" s="50">
        <f t="shared" si="26"/>
        <v>41204.066222302266</v>
      </c>
      <c r="AB28" s="51">
        <f t="shared" si="27"/>
        <v>8541.1906476447148</v>
      </c>
      <c r="AC28" s="44">
        <f t="shared" si="28"/>
        <v>38580.586350470287</v>
      </c>
      <c r="AD28" s="44">
        <f t="shared" si="29"/>
        <v>1417.0411411904606</v>
      </c>
      <c r="AE28" s="44">
        <f t="shared" si="30"/>
        <v>0</v>
      </c>
      <c r="AF28" s="52">
        <f>HLOOKUP(I28,ElecAvoidedCostsWOCC!$A$5:$Q$50,G28+1,FALSE)</f>
        <v>3.2695302314196475</v>
      </c>
      <c r="AG28" s="44">
        <f t="shared" si="31"/>
        <v>34378.325696122054</v>
      </c>
      <c r="AH28" s="52">
        <f>HLOOKUP(I28,ElecAvoidedCostsWOCC!$A$5:$Q$50,T28+1,FALSE)</f>
        <v>3.2695302314196475</v>
      </c>
      <c r="AI28" s="44">
        <f t="shared" si="32"/>
        <v>0</v>
      </c>
      <c r="AJ28" s="44">
        <f t="shared" si="33"/>
        <v>34378.325696122054</v>
      </c>
      <c r="AK28" s="44">
        <f>HLOOKUP(I28,ElecAvoidedCostsWOCC!$A$5:$Q$50,G28+1,FALSE)*J28*L28</f>
        <v>0</v>
      </c>
      <c r="AL28" s="44">
        <f t="shared" si="34"/>
        <v>34378.325696122054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34378.325696122054</v>
      </c>
      <c r="AN28" s="48">
        <f t="shared" si="35"/>
        <v>39233.19940692473</v>
      </c>
      <c r="AO28" s="47">
        <f t="shared" si="36"/>
        <v>4.0250039033611884</v>
      </c>
      <c r="AP28" s="47">
        <f t="shared" si="37"/>
        <v>1.0169155815965583</v>
      </c>
    </row>
    <row r="29" spans="1:42" x14ac:dyDescent="0.35">
      <c r="B29" s="97" t="s">
        <v>15</v>
      </c>
      <c r="C29" s="61">
        <v>18230627</v>
      </c>
      <c r="D29" s="61" t="s">
        <v>76</v>
      </c>
      <c r="E29" s="38" t="s">
        <v>751</v>
      </c>
      <c r="F29" s="39" t="s">
        <v>752</v>
      </c>
      <c r="G29" s="39">
        <v>45</v>
      </c>
      <c r="H29" s="39"/>
      <c r="I29" s="40" t="s">
        <v>274</v>
      </c>
      <c r="J29" s="41">
        <v>9506</v>
      </c>
      <c r="K29" s="496">
        <v>0.43389964233115924</v>
      </c>
      <c r="L29" s="41"/>
      <c r="M29" s="42">
        <v>0.5</v>
      </c>
      <c r="N29" s="42">
        <v>1.24</v>
      </c>
      <c r="O29" s="43">
        <v>4124.6499999999996</v>
      </c>
      <c r="P29" s="44">
        <v>4800</v>
      </c>
      <c r="Q29" s="44">
        <v>11787.44</v>
      </c>
      <c r="R29" s="45">
        <v>0</v>
      </c>
      <c r="S29" s="46">
        <v>0</v>
      </c>
      <c r="T29" s="39">
        <f t="shared" si="19"/>
        <v>45</v>
      </c>
      <c r="U29" s="47">
        <f t="shared" si="20"/>
        <v>0.13685541555863967</v>
      </c>
      <c r="V29" s="48">
        <f t="shared" si="21"/>
        <v>0.74</v>
      </c>
      <c r="W29" s="49">
        <f t="shared" si="22"/>
        <v>3.0412314568586591E-3</v>
      </c>
      <c r="X29" s="44">
        <f t="shared" si="23"/>
        <v>716.04860993679893</v>
      </c>
      <c r="Y29" s="44">
        <f t="shared" si="24"/>
        <v>6987.4400000000005</v>
      </c>
      <c r="Z29" s="44">
        <f t="shared" si="25"/>
        <v>3578.3054202982003</v>
      </c>
      <c r="AA29" s="50">
        <f t="shared" si="26"/>
        <v>12503.4886099368</v>
      </c>
      <c r="AB29" s="51">
        <f t="shared" si="27"/>
        <v>3350.473239979588</v>
      </c>
      <c r="AC29" s="44">
        <f t="shared" si="28"/>
        <v>11707.386338892135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3.2695302314196475</v>
      </c>
      <c r="AG29" s="44">
        <f t="shared" si="31"/>
        <v>13485.667869025048</v>
      </c>
      <c r="AH29" s="52">
        <f>HLOOKUP(I29,ElecAvoidedCostsWOCC!$A$5:$Q$50,T29+1,FALSE)</f>
        <v>3.2695302314196475</v>
      </c>
      <c r="AI29" s="44">
        <f t="shared" si="32"/>
        <v>0</v>
      </c>
      <c r="AJ29" s="44">
        <f t="shared" si="33"/>
        <v>13485.667869025048</v>
      </c>
      <c r="AK29" s="44">
        <f>HLOOKUP(I29,ElecAvoidedCostsWOCC!$A$5:$Q$50,G29+1,FALSE)*J29*L29</f>
        <v>0</v>
      </c>
      <c r="AL29" s="44">
        <f t="shared" si="34"/>
        <v>13485.667869025048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13485.667869025048</v>
      </c>
      <c r="AN29" s="48">
        <f t="shared" si="35"/>
        <v>14834.234655927554</v>
      </c>
      <c r="AO29" s="47">
        <f t="shared" si="36"/>
        <v>4.0250039033611884</v>
      </c>
      <c r="AP29" s="47">
        <f t="shared" si="37"/>
        <v>1.2670833802287687</v>
      </c>
    </row>
    <row r="30" spans="1:42" x14ac:dyDescent="0.35">
      <c r="B30" s="97" t="s">
        <v>15</v>
      </c>
      <c r="C30" s="61">
        <v>18230627</v>
      </c>
      <c r="D30" s="61" t="s">
        <v>76</v>
      </c>
      <c r="E30" s="38" t="s">
        <v>753</v>
      </c>
      <c r="F30" s="39" t="s">
        <v>752</v>
      </c>
      <c r="G30" s="39">
        <v>45</v>
      </c>
      <c r="H30" s="39"/>
      <c r="I30" s="40" t="s">
        <v>274</v>
      </c>
      <c r="J30" s="41">
        <v>25098</v>
      </c>
      <c r="K30" s="496">
        <v>0.43390110765798068</v>
      </c>
      <c r="L30" s="41"/>
      <c r="M30" s="42">
        <v>0.5</v>
      </c>
      <c r="N30" s="42">
        <v>1.24</v>
      </c>
      <c r="O30" s="43">
        <v>10890.05</v>
      </c>
      <c r="P30" s="44">
        <v>12549</v>
      </c>
      <c r="Q30" s="44">
        <v>31121.52</v>
      </c>
      <c r="R30" s="45">
        <v>4.1000000000000003E-3</v>
      </c>
      <c r="S30" s="46">
        <v>0</v>
      </c>
      <c r="T30" s="39">
        <f t="shared" si="19"/>
        <v>45</v>
      </c>
      <c r="U30" s="47">
        <f t="shared" si="20"/>
        <v>0.36133061428348195</v>
      </c>
      <c r="V30" s="48">
        <f t="shared" si="21"/>
        <v>0.74</v>
      </c>
      <c r="W30" s="49">
        <f t="shared" si="22"/>
        <v>8.0295692062995992E-3</v>
      </c>
      <c r="X30" s="44">
        <f t="shared" si="23"/>
        <v>1890.5374188457777</v>
      </c>
      <c r="Y30" s="44">
        <f t="shared" si="24"/>
        <v>18572.52</v>
      </c>
      <c r="Z30" s="44">
        <f t="shared" si="25"/>
        <v>9447.5712950961697</v>
      </c>
      <c r="AA30" s="50">
        <f t="shared" si="26"/>
        <v>33012.057418845776</v>
      </c>
      <c r="AB30" s="51">
        <f t="shared" si="27"/>
        <v>8846.0405384795595</v>
      </c>
      <c r="AC30" s="44">
        <f t="shared" si="28"/>
        <v>30910.166122514769</v>
      </c>
      <c r="AD30" s="44">
        <f t="shared" si="29"/>
        <v>1434.8813263862351</v>
      </c>
      <c r="AE30" s="44">
        <f t="shared" si="30"/>
        <v>0</v>
      </c>
      <c r="AF30" s="52">
        <f>HLOOKUP(I30,ElecAvoidedCostsWOCC!$A$5:$Q$50,G30+1,FALSE)</f>
        <v>3.2695302314196475</v>
      </c>
      <c r="AG30" s="44">
        <f t="shared" si="31"/>
        <v>35605.347696671532</v>
      </c>
      <c r="AH30" s="52">
        <f>HLOOKUP(I30,ElecAvoidedCostsWOCC!$A$5:$Q$50,T30+1,FALSE)</f>
        <v>3.2695302314196475</v>
      </c>
      <c r="AI30" s="44">
        <f t="shared" si="32"/>
        <v>0</v>
      </c>
      <c r="AJ30" s="44">
        <f t="shared" si="33"/>
        <v>35605.347696671532</v>
      </c>
      <c r="AK30" s="44">
        <f>HLOOKUP(I30,ElecAvoidedCostsWOCC!$A$5:$Q$50,G30+1,FALSE)*J30*L30</f>
        <v>0</v>
      </c>
      <c r="AL30" s="44">
        <f t="shared" si="34"/>
        <v>35605.347696671532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35605.347696671524</v>
      </c>
      <c r="AN30" s="48">
        <f t="shared" si="35"/>
        <v>40600.763792724909</v>
      </c>
      <c r="AO30" s="47">
        <f t="shared" si="36"/>
        <v>4.0250039033611875</v>
      </c>
      <c r="AP30" s="47">
        <f t="shared" si="37"/>
        <v>1.3135084305856115</v>
      </c>
    </row>
    <row r="31" spans="1:42" x14ac:dyDescent="0.35">
      <c r="B31" s="97" t="s">
        <v>15</v>
      </c>
      <c r="C31" s="61">
        <v>18230627</v>
      </c>
      <c r="D31" s="61" t="s">
        <v>76</v>
      </c>
      <c r="E31" s="38" t="s">
        <v>754</v>
      </c>
      <c r="F31" s="39" t="s">
        <v>755</v>
      </c>
      <c r="G31" s="39">
        <v>5</v>
      </c>
      <c r="H31" s="39"/>
      <c r="I31" s="40" t="s">
        <v>274</v>
      </c>
      <c r="J31" s="41">
        <v>62</v>
      </c>
      <c r="K31" s="496">
        <v>0</v>
      </c>
      <c r="L31" s="41"/>
      <c r="M31" s="42"/>
      <c r="N31" s="42"/>
      <c r="O31" s="43">
        <v>0</v>
      </c>
      <c r="P31" s="44">
        <v>0</v>
      </c>
      <c r="Q31" s="44"/>
      <c r="R31" s="45">
        <v>0</v>
      </c>
      <c r="S31" s="46">
        <v>0</v>
      </c>
      <c r="T31" s="39">
        <f t="shared" si="19"/>
        <v>5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0.49675605577940507</v>
      </c>
      <c r="AG31" s="44">
        <f t="shared" si="31"/>
        <v>0</v>
      </c>
      <c r="AH31" s="52">
        <f>HLOOKUP(I31,ElecAvoidedCostsWOCC!$A$5:$Q$50,T31+1,FALSE)</f>
        <v>0.49675605577940507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15</v>
      </c>
      <c r="C32" s="61">
        <v>18230627</v>
      </c>
      <c r="D32" s="61" t="s">
        <v>76</v>
      </c>
      <c r="E32" s="38" t="s">
        <v>756</v>
      </c>
      <c r="F32" s="39" t="s">
        <v>755</v>
      </c>
      <c r="G32" s="39">
        <v>5</v>
      </c>
      <c r="H32" s="39"/>
      <c r="I32" s="40" t="s">
        <v>274</v>
      </c>
      <c r="J32" s="41">
        <v>483</v>
      </c>
      <c r="K32" s="496">
        <v>0</v>
      </c>
      <c r="L32" s="41"/>
      <c r="M32" s="42"/>
      <c r="N32" s="42"/>
      <c r="O32" s="43">
        <v>0</v>
      </c>
      <c r="P32" s="44">
        <v>0</v>
      </c>
      <c r="Q32" s="44"/>
      <c r="R32" s="45">
        <v>38.85</v>
      </c>
      <c r="S32" s="46">
        <v>0</v>
      </c>
      <c r="T32" s="39">
        <f t="shared" si="19"/>
        <v>5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77352.130286786298</v>
      </c>
      <c r="AE32" s="44">
        <f t="shared" si="30"/>
        <v>0</v>
      </c>
      <c r="AF32" s="52">
        <f>HLOOKUP(I32,ElecAvoidedCostsWOCC!$A$5:$Q$50,G32+1,FALSE)</f>
        <v>0.49675605577940507</v>
      </c>
      <c r="AG32" s="44">
        <f t="shared" si="31"/>
        <v>0</v>
      </c>
      <c r="AH32" s="52">
        <f>HLOOKUP(I32,ElecAvoidedCostsWOCC!$A$5:$Q$50,T32+1,FALSE)</f>
        <v>0.49675605577940507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77352.130286786298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15</v>
      </c>
      <c r="C33" s="61">
        <v>18230627</v>
      </c>
      <c r="D33" s="61" t="s">
        <v>76</v>
      </c>
      <c r="E33" s="38" t="s">
        <v>757</v>
      </c>
      <c r="F33" s="39" t="s">
        <v>758</v>
      </c>
      <c r="G33" s="39">
        <v>25</v>
      </c>
      <c r="H33" s="39"/>
      <c r="I33" s="40" t="s">
        <v>274</v>
      </c>
      <c r="J33" s="41">
        <v>2128</v>
      </c>
      <c r="K33" s="496">
        <v>0.31380169172932332</v>
      </c>
      <c r="L33" s="41"/>
      <c r="M33" s="42">
        <v>1.39</v>
      </c>
      <c r="N33" s="42">
        <v>2.3199999999999998</v>
      </c>
      <c r="O33" s="43">
        <v>667.77</v>
      </c>
      <c r="P33" s="44">
        <v>2400</v>
      </c>
      <c r="Q33" s="44">
        <v>4936.96</v>
      </c>
      <c r="R33" s="45">
        <v>0</v>
      </c>
      <c r="S33" s="46">
        <v>0</v>
      </c>
      <c r="T33" s="39">
        <f t="shared" si="19"/>
        <v>25</v>
      </c>
      <c r="U33" s="47">
        <f t="shared" si="20"/>
        <v>1.2309184597156771E-2</v>
      </c>
      <c r="V33" s="48">
        <f t="shared" si="21"/>
        <v>0.92999999999999994</v>
      </c>
      <c r="W33" s="49">
        <f t="shared" si="22"/>
        <v>4.9236738388627082E-4</v>
      </c>
      <c r="X33" s="44">
        <f t="shared" si="23"/>
        <v>115.92638896815396</v>
      </c>
      <c r="Y33" s="44">
        <f t="shared" si="24"/>
        <v>2536.96</v>
      </c>
      <c r="Z33" s="44">
        <f t="shared" si="25"/>
        <v>579.31824773314804</v>
      </c>
      <c r="AA33" s="50">
        <f t="shared" si="26"/>
        <v>5052.8863889681543</v>
      </c>
      <c r="AB33" s="51">
        <f t="shared" si="27"/>
        <v>542.4328162295393</v>
      </c>
      <c r="AC33" s="44">
        <f t="shared" si="28"/>
        <v>4731.1670308690582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1.9455570023927977</v>
      </c>
      <c r="AG33" s="44">
        <f t="shared" si="31"/>
        <v>1299.1845994878388</v>
      </c>
      <c r="AH33" s="52">
        <f>HLOOKUP(I33,ElecAvoidedCostsWOCC!$A$5:$Q$50,T33+1,FALSE)</f>
        <v>1.9455570023927977</v>
      </c>
      <c r="AI33" s="44">
        <f t="shared" si="32"/>
        <v>0</v>
      </c>
      <c r="AJ33" s="44">
        <f t="shared" si="33"/>
        <v>1299.1845994878388</v>
      </c>
      <c r="AK33" s="44">
        <f>HLOOKUP(I33,ElecAvoidedCostsWOCC!$A$5:$Q$50,G33+1,FALSE)*J33*L33</f>
        <v>0</v>
      </c>
      <c r="AL33" s="44">
        <f t="shared" si="34"/>
        <v>1299.1845994878388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1299.1845994878386</v>
      </c>
      <c r="AN33" s="48">
        <f t="shared" si="35"/>
        <v>1429.1030594366225</v>
      </c>
      <c r="AO33" s="47">
        <f t="shared" si="36"/>
        <v>2.3951069341978517</v>
      </c>
      <c r="AP33" s="47">
        <f t="shared" si="37"/>
        <v>0.30206142588335411</v>
      </c>
    </row>
    <row r="34" spans="2:42" x14ac:dyDescent="0.35">
      <c r="B34" s="97" t="s">
        <v>15</v>
      </c>
      <c r="C34" s="61">
        <v>18230627</v>
      </c>
      <c r="D34" s="61" t="s">
        <v>76</v>
      </c>
      <c r="E34" s="38" t="s">
        <v>759</v>
      </c>
      <c r="F34" s="39" t="s">
        <v>758</v>
      </c>
      <c r="G34" s="39">
        <v>25</v>
      </c>
      <c r="H34" s="39"/>
      <c r="I34" s="40" t="s">
        <v>274</v>
      </c>
      <c r="J34" s="41">
        <v>8030</v>
      </c>
      <c r="K34" s="496">
        <v>0.31379950186799499</v>
      </c>
      <c r="L34" s="41"/>
      <c r="M34" s="42">
        <v>1</v>
      </c>
      <c r="N34" s="42">
        <v>2.3199999999999998</v>
      </c>
      <c r="O34" s="43">
        <v>2519.81</v>
      </c>
      <c r="P34" s="44">
        <v>8030</v>
      </c>
      <c r="Q34" s="44">
        <v>18629.599999999999</v>
      </c>
      <c r="R34" s="45">
        <v>3.0000000000000001E-3</v>
      </c>
      <c r="S34" s="46">
        <v>0</v>
      </c>
      <c r="T34" s="39">
        <f t="shared" si="19"/>
        <v>25</v>
      </c>
      <c r="U34" s="47">
        <f t="shared" si="20"/>
        <v>4.6448337660813757E-2</v>
      </c>
      <c r="V34" s="48">
        <f t="shared" si="21"/>
        <v>1.3199999999999998</v>
      </c>
      <c r="W34" s="49">
        <f t="shared" si="22"/>
        <v>1.8579335064325502E-3</v>
      </c>
      <c r="X34" s="44">
        <f t="shared" si="23"/>
        <v>437.44474023367928</v>
      </c>
      <c r="Y34" s="44">
        <f t="shared" si="24"/>
        <v>10599.599999999999</v>
      </c>
      <c r="Z34" s="44">
        <f t="shared" si="25"/>
        <v>2186.0399745727777</v>
      </c>
      <c r="AA34" s="50">
        <f t="shared" si="26"/>
        <v>19067.044740233679</v>
      </c>
      <c r="AB34" s="51">
        <f t="shared" si="27"/>
        <v>2046.8539087760089</v>
      </c>
      <c r="AC34" s="44">
        <f t="shared" si="28"/>
        <v>17853.038146286217</v>
      </c>
      <c r="AD34" s="44">
        <f t="shared" si="29"/>
        <v>285.8662070848498</v>
      </c>
      <c r="AE34" s="44">
        <f t="shared" si="30"/>
        <v>0</v>
      </c>
      <c r="AF34" s="52">
        <f>HLOOKUP(I34,ElecAvoidedCostsWOCC!$A$5:$Q$50,G34+1,FALSE)</f>
        <v>1.9455570023927977</v>
      </c>
      <c r="AG34" s="44">
        <f t="shared" si="31"/>
        <v>4902.4339901993953</v>
      </c>
      <c r="AH34" s="52">
        <f>HLOOKUP(I34,ElecAvoidedCostsWOCC!$A$5:$Q$50,T34+1,FALSE)</f>
        <v>1.9455570023927977</v>
      </c>
      <c r="AI34" s="44">
        <f t="shared" si="32"/>
        <v>0</v>
      </c>
      <c r="AJ34" s="44">
        <f t="shared" si="33"/>
        <v>4902.4339901993953</v>
      </c>
      <c r="AK34" s="44">
        <f>HLOOKUP(I34,ElecAvoidedCostsWOCC!$A$5:$Q$50,G34+1,FALSE)*J34*L34</f>
        <v>0</v>
      </c>
      <c r="AL34" s="44">
        <f t="shared" si="34"/>
        <v>4902.4339901993953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4902.4339901993953</v>
      </c>
      <c r="AN34" s="48">
        <f t="shared" si="35"/>
        <v>5678.5435963041846</v>
      </c>
      <c r="AO34" s="47">
        <f t="shared" si="36"/>
        <v>2.3951069341978513</v>
      </c>
      <c r="AP34" s="47">
        <f t="shared" si="37"/>
        <v>0.31807155453176655</v>
      </c>
    </row>
    <row r="35" spans="2:42" x14ac:dyDescent="0.35">
      <c r="B35" s="97" t="s">
        <v>15</v>
      </c>
      <c r="C35" s="61">
        <v>18230627</v>
      </c>
      <c r="D35" s="61" t="s">
        <v>76</v>
      </c>
      <c r="E35" s="38" t="s">
        <v>760</v>
      </c>
      <c r="F35" s="39" t="s">
        <v>761</v>
      </c>
      <c r="G35" s="39">
        <v>25</v>
      </c>
      <c r="H35" s="39"/>
      <c r="I35" s="40" t="s">
        <v>274</v>
      </c>
      <c r="J35" s="41">
        <v>13880</v>
      </c>
      <c r="K35" s="496">
        <v>0.80350072046109511</v>
      </c>
      <c r="L35" s="41"/>
      <c r="M35" s="42">
        <v>1.39</v>
      </c>
      <c r="N35" s="42">
        <v>2.3199999999999998</v>
      </c>
      <c r="O35" s="43">
        <v>11152.59</v>
      </c>
      <c r="P35" s="44">
        <v>12000</v>
      </c>
      <c r="Q35" s="44">
        <v>32201.599999999999</v>
      </c>
      <c r="R35" s="45">
        <v>0</v>
      </c>
      <c r="S35" s="46">
        <v>0</v>
      </c>
      <c r="T35" s="39">
        <f t="shared" si="19"/>
        <v>25</v>
      </c>
      <c r="U35" s="47">
        <f t="shared" si="20"/>
        <v>0.20557870081975024</v>
      </c>
      <c r="V35" s="48">
        <f t="shared" si="21"/>
        <v>0.92999999999999994</v>
      </c>
      <c r="W35" s="49">
        <f t="shared" si="22"/>
        <v>8.2231480327900099E-3</v>
      </c>
      <c r="X35" s="44">
        <f t="shared" si="23"/>
        <v>1936.1149592559475</v>
      </c>
      <c r="Y35" s="44">
        <f t="shared" si="24"/>
        <v>20201.599999999999</v>
      </c>
      <c r="Z35" s="44">
        <f t="shared" si="25"/>
        <v>9675.335664205084</v>
      </c>
      <c r="AA35" s="50">
        <f t="shared" si="26"/>
        <v>34137.714959255944</v>
      </c>
      <c r="AB35" s="51">
        <f t="shared" si="27"/>
        <v>9059.3030563718003</v>
      </c>
      <c r="AC35" s="44">
        <f t="shared" si="28"/>
        <v>31964.152583572981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1.9455570023927977</v>
      </c>
      <c r="AG35" s="44">
        <f t="shared" si="31"/>
        <v>21697.999569315893</v>
      </c>
      <c r="AH35" s="52">
        <f>HLOOKUP(I35,ElecAvoidedCostsWOCC!$A$5:$Q$50,T35+1,FALSE)</f>
        <v>1.9455570023927977</v>
      </c>
      <c r="AI35" s="44">
        <f t="shared" si="32"/>
        <v>0</v>
      </c>
      <c r="AJ35" s="44">
        <f t="shared" si="33"/>
        <v>21697.999569315893</v>
      </c>
      <c r="AK35" s="44">
        <f>HLOOKUP(I35,ElecAvoidedCostsWOCC!$A$5:$Q$50,G35+1,FALSE)*J35*L35</f>
        <v>0</v>
      </c>
      <c r="AL35" s="44">
        <f t="shared" si="34"/>
        <v>21697.999569315893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21697.999569315893</v>
      </c>
      <c r="AN35" s="48">
        <f t="shared" si="35"/>
        <v>23867.799526247483</v>
      </c>
      <c r="AO35" s="47">
        <f t="shared" si="36"/>
        <v>2.3951069341978521</v>
      </c>
      <c r="AP35" s="47">
        <f t="shared" si="37"/>
        <v>0.74670521809840262</v>
      </c>
    </row>
    <row r="36" spans="2:42" x14ac:dyDescent="0.35">
      <c r="B36" s="97" t="s">
        <v>15</v>
      </c>
      <c r="C36" s="61">
        <v>18230627</v>
      </c>
      <c r="D36" s="61" t="s">
        <v>76</v>
      </c>
      <c r="E36" s="38" t="s">
        <v>762</v>
      </c>
      <c r="F36" s="39" t="s">
        <v>761</v>
      </c>
      <c r="G36" s="39">
        <v>25</v>
      </c>
      <c r="H36" s="39"/>
      <c r="I36" s="40" t="s">
        <v>274</v>
      </c>
      <c r="J36" s="41">
        <v>29924</v>
      </c>
      <c r="K36" s="496">
        <v>0.80349986632803105</v>
      </c>
      <c r="L36" s="41"/>
      <c r="M36" s="42">
        <v>1</v>
      </c>
      <c r="N36" s="42">
        <v>2.3199999999999998</v>
      </c>
      <c r="O36" s="43">
        <v>24043.93</v>
      </c>
      <c r="P36" s="44">
        <v>29924</v>
      </c>
      <c r="Q36" s="44">
        <v>69423.679999999993</v>
      </c>
      <c r="R36" s="45">
        <v>7.7000000000000002E-3</v>
      </c>
      <c r="S36" s="46">
        <v>0</v>
      </c>
      <c r="T36" s="39">
        <f t="shared" si="19"/>
        <v>25</v>
      </c>
      <c r="U36" s="47">
        <f t="shared" si="20"/>
        <v>0.44320824956364552</v>
      </c>
      <c r="V36" s="48">
        <f t="shared" si="21"/>
        <v>1.3199999999999998</v>
      </c>
      <c r="W36" s="49">
        <f t="shared" si="22"/>
        <v>1.772832998254582E-2</v>
      </c>
      <c r="X36" s="44">
        <f t="shared" si="23"/>
        <v>4174.080868417368</v>
      </c>
      <c r="Y36" s="44">
        <f t="shared" si="24"/>
        <v>39499.679999999993</v>
      </c>
      <c r="Z36" s="44">
        <f t="shared" si="25"/>
        <v>20859.109268488355</v>
      </c>
      <c r="AA36" s="50">
        <f t="shared" si="26"/>
        <v>73597.760868417361</v>
      </c>
      <c r="AB36" s="51">
        <f t="shared" si="27"/>
        <v>19531.001187723177</v>
      </c>
      <c r="AC36" s="44">
        <f t="shared" si="28"/>
        <v>68911.761112750333</v>
      </c>
      <c r="AD36" s="44">
        <f t="shared" si="29"/>
        <v>2734.2384778835308</v>
      </c>
      <c r="AE36" s="44">
        <f t="shared" si="30"/>
        <v>0</v>
      </c>
      <c r="AF36" s="52">
        <f>HLOOKUP(I36,ElecAvoidedCostsWOCC!$A$5:$Q$50,G36+1,FALSE)</f>
        <v>1.9455570023927977</v>
      </c>
      <c r="AG36" s="44">
        <f t="shared" si="31"/>
        <v>46778.836376542262</v>
      </c>
      <c r="AH36" s="52">
        <f>HLOOKUP(I36,ElecAvoidedCostsWOCC!$A$5:$Q$50,T36+1,FALSE)</f>
        <v>1.9455570023927977</v>
      </c>
      <c r="AI36" s="44">
        <f t="shared" si="32"/>
        <v>0</v>
      </c>
      <c r="AJ36" s="44">
        <f t="shared" si="33"/>
        <v>46778.836376542262</v>
      </c>
      <c r="AK36" s="44">
        <f>HLOOKUP(I36,ElecAvoidedCostsWOCC!$A$5:$Q$50,G36+1,FALSE)*J36*L36</f>
        <v>0</v>
      </c>
      <c r="AL36" s="44">
        <f t="shared" si="34"/>
        <v>46778.836376542262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46778.836376542269</v>
      </c>
      <c r="AN36" s="48">
        <f t="shared" si="35"/>
        <v>54190.958492080033</v>
      </c>
      <c r="AO36" s="47">
        <f t="shared" si="36"/>
        <v>2.3951069341978521</v>
      </c>
      <c r="AP36" s="47">
        <f t="shared" si="37"/>
        <v>0.78638185437483188</v>
      </c>
    </row>
    <row r="37" spans="2:42" x14ac:dyDescent="0.35">
      <c r="B37" s="97" t="s">
        <v>15</v>
      </c>
      <c r="C37" s="61">
        <v>18230627</v>
      </c>
      <c r="D37" s="61" t="s">
        <v>76</v>
      </c>
      <c r="E37" s="38" t="s">
        <v>763</v>
      </c>
      <c r="F37" s="39" t="s">
        <v>764</v>
      </c>
      <c r="G37" s="39">
        <v>25</v>
      </c>
      <c r="H37" s="39"/>
      <c r="I37" s="40" t="s">
        <v>274</v>
      </c>
      <c r="J37" s="41">
        <v>1188</v>
      </c>
      <c r="K37" s="496">
        <v>2.7297979797979797E-2</v>
      </c>
      <c r="L37" s="41"/>
      <c r="M37" s="42">
        <v>0</v>
      </c>
      <c r="N37" s="42">
        <v>0</v>
      </c>
      <c r="O37" s="43">
        <v>32.43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25</v>
      </c>
      <c r="U37" s="47">
        <f t="shared" si="20"/>
        <v>5.9779094072179653E-4</v>
      </c>
      <c r="V37" s="48">
        <f t="shared" si="21"/>
        <v>0</v>
      </c>
      <c r="W37" s="49">
        <f t="shared" si="22"/>
        <v>2.3911637628871861E-5</v>
      </c>
      <c r="X37" s="44">
        <f t="shared" si="23"/>
        <v>5.6299216709903606</v>
      </c>
      <c r="Y37" s="44">
        <f t="shared" si="24"/>
        <v>0</v>
      </c>
      <c r="Z37" s="44">
        <f t="shared" si="25"/>
        <v>28.13437377238569</v>
      </c>
      <c r="AA37" s="50">
        <f t="shared" si="26"/>
        <v>5.6299216709903606</v>
      </c>
      <c r="AB37" s="51">
        <f t="shared" si="27"/>
        <v>26.343046603357386</v>
      </c>
      <c r="AC37" s="44">
        <f t="shared" si="28"/>
        <v>5.271462238755019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1.9455570023927977</v>
      </c>
      <c r="AG37" s="44">
        <f t="shared" si="31"/>
        <v>63.094413587598432</v>
      </c>
      <c r="AH37" s="52">
        <f>HLOOKUP(I37,ElecAvoidedCostsWOCC!$A$5:$Q$50,T37+1,FALSE)</f>
        <v>1.9455570023927977</v>
      </c>
      <c r="AI37" s="44">
        <f t="shared" si="32"/>
        <v>0</v>
      </c>
      <c r="AJ37" s="44">
        <f t="shared" si="33"/>
        <v>63.094413587598432</v>
      </c>
      <c r="AK37" s="44">
        <f>HLOOKUP(I37,ElecAvoidedCostsWOCC!$A$5:$Q$50,G37+1,FALSE)*J37*L37</f>
        <v>0</v>
      </c>
      <c r="AL37" s="44">
        <f t="shared" si="34"/>
        <v>63.094413587598432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63.094413587598432</v>
      </c>
      <c r="AN37" s="48">
        <f t="shared" si="35"/>
        <v>69.40385494635828</v>
      </c>
      <c r="AO37" s="47">
        <f t="shared" si="36"/>
        <v>2.3951069341978513</v>
      </c>
      <c r="AP37" s="47">
        <f t="shared" si="37"/>
        <v>13.165958855990905</v>
      </c>
    </row>
    <row r="38" spans="2:42" x14ac:dyDescent="0.35">
      <c r="B38" s="97" t="s">
        <v>15</v>
      </c>
      <c r="C38" s="61">
        <v>18230627</v>
      </c>
      <c r="D38" s="61" t="s">
        <v>76</v>
      </c>
      <c r="E38" s="38" t="s">
        <v>765</v>
      </c>
      <c r="F38" s="39" t="s">
        <v>764</v>
      </c>
      <c r="G38" s="39">
        <v>25</v>
      </c>
      <c r="H38" s="39"/>
      <c r="I38" s="40" t="s">
        <v>274</v>
      </c>
      <c r="J38" s="41">
        <v>1932</v>
      </c>
      <c r="K38" s="496">
        <v>2.7298136645962735E-2</v>
      </c>
      <c r="L38" s="41"/>
      <c r="M38" s="42">
        <v>0</v>
      </c>
      <c r="N38" s="42">
        <v>0</v>
      </c>
      <c r="O38" s="43">
        <v>52.74</v>
      </c>
      <c r="P38" s="44">
        <v>0</v>
      </c>
      <c r="Q38" s="44">
        <v>0</v>
      </c>
      <c r="R38" s="45">
        <v>9.1700000000000004E-2</v>
      </c>
      <c r="S38" s="46">
        <v>0</v>
      </c>
      <c r="T38" s="39">
        <f t="shared" si="19"/>
        <v>25</v>
      </c>
      <c r="U38" s="47">
        <f t="shared" si="20"/>
        <v>9.7217065105357841E-4</v>
      </c>
      <c r="V38" s="48">
        <f t="shared" si="21"/>
        <v>0</v>
      </c>
      <c r="W38" s="49">
        <f t="shared" si="22"/>
        <v>3.8886826042143135E-5</v>
      </c>
      <c r="X38" s="44">
        <f t="shared" si="23"/>
        <v>9.1557838090666532</v>
      </c>
      <c r="Y38" s="44">
        <f t="shared" si="24"/>
        <v>0</v>
      </c>
      <c r="Z38" s="44">
        <f t="shared" si="25"/>
        <v>45.754143470725289</v>
      </c>
      <c r="AA38" s="50">
        <f t="shared" si="26"/>
        <v>9.1557838090666532</v>
      </c>
      <c r="AB38" s="51">
        <f t="shared" si="27"/>
        <v>42.840958305922555</v>
      </c>
      <c r="AC38" s="44">
        <f t="shared" si="28"/>
        <v>8.5728312818976153</v>
      </c>
      <c r="AD38" s="44">
        <f t="shared" si="29"/>
        <v>2102.3376944152419</v>
      </c>
      <c r="AE38" s="44">
        <f t="shared" si="30"/>
        <v>0</v>
      </c>
      <c r="AF38" s="52">
        <f>HLOOKUP(I38,ElecAvoidedCostsWOCC!$A$5:$Q$50,G38+1,FALSE)</f>
        <v>1.9455570023927977</v>
      </c>
      <c r="AG38" s="44">
        <f t="shared" si="31"/>
        <v>102.60867630619616</v>
      </c>
      <c r="AH38" s="52">
        <f>HLOOKUP(I38,ElecAvoidedCostsWOCC!$A$5:$Q$50,T38+1,FALSE)</f>
        <v>1.9455570023927977</v>
      </c>
      <c r="AI38" s="44">
        <f t="shared" si="32"/>
        <v>0</v>
      </c>
      <c r="AJ38" s="44">
        <f t="shared" si="33"/>
        <v>102.60867630619616</v>
      </c>
      <c r="AK38" s="44">
        <f>HLOOKUP(I38,ElecAvoidedCostsWOCC!$A$5:$Q$50,G38+1,FALSE)*J38*L38</f>
        <v>0</v>
      </c>
      <c r="AL38" s="44">
        <f t="shared" si="34"/>
        <v>102.60867630619616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102.60867630619616</v>
      </c>
      <c r="AN38" s="48">
        <f t="shared" si="35"/>
        <v>2215.2072383520576</v>
      </c>
      <c r="AO38" s="47">
        <f t="shared" si="36"/>
        <v>2.3951069341978517</v>
      </c>
      <c r="AP38" s="47">
        <f t="shared" si="37"/>
        <v>258.39855766550403</v>
      </c>
    </row>
    <row r="39" spans="2:42" x14ac:dyDescent="0.35">
      <c r="B39" s="97" t="s">
        <v>15</v>
      </c>
      <c r="C39" s="61">
        <v>18230627</v>
      </c>
      <c r="D39" s="61" t="s">
        <v>76</v>
      </c>
      <c r="E39" s="38" t="s">
        <v>766</v>
      </c>
      <c r="F39" s="39" t="s">
        <v>767</v>
      </c>
      <c r="G39" s="39">
        <v>45</v>
      </c>
      <c r="H39" s="39"/>
      <c r="I39" s="40" t="s">
        <v>274</v>
      </c>
      <c r="J39" s="41">
        <v>34456</v>
      </c>
      <c r="K39" s="496">
        <v>0.34010099837473878</v>
      </c>
      <c r="L39" s="41"/>
      <c r="M39" s="42">
        <v>0.25</v>
      </c>
      <c r="N39" s="42">
        <v>1.41</v>
      </c>
      <c r="O39" s="43">
        <v>11718.52</v>
      </c>
      <c r="P39" s="44">
        <v>5179</v>
      </c>
      <c r="Q39" s="44">
        <v>48582.96</v>
      </c>
      <c r="R39" s="45">
        <v>0</v>
      </c>
      <c r="S39" s="46">
        <v>0</v>
      </c>
      <c r="T39" s="39">
        <f t="shared" si="19"/>
        <v>45</v>
      </c>
      <c r="U39" s="47">
        <f t="shared" si="20"/>
        <v>0.38881915419059315</v>
      </c>
      <c r="V39" s="48">
        <f t="shared" si="21"/>
        <v>1.1599999999999999</v>
      </c>
      <c r="W39" s="49">
        <f t="shared" si="22"/>
        <v>8.6404256486798479E-3</v>
      </c>
      <c r="X39" s="44">
        <f t="shared" si="23"/>
        <v>2034.3616928749291</v>
      </c>
      <c r="Y39" s="44">
        <f t="shared" si="24"/>
        <v>43403.96</v>
      </c>
      <c r="Z39" s="44">
        <f t="shared" si="25"/>
        <v>10166.303476385357</v>
      </c>
      <c r="AA39" s="50">
        <f t="shared" si="26"/>
        <v>50617.321692874932</v>
      </c>
      <c r="AB39" s="51">
        <f t="shared" si="27"/>
        <v>9519.0107456791739</v>
      </c>
      <c r="AC39" s="44">
        <f t="shared" si="28"/>
        <v>47394.495967111354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3.2695302314196475</v>
      </c>
      <c r="AG39" s="44">
        <f t="shared" si="31"/>
        <v>38314.055407495769</v>
      </c>
      <c r="AH39" s="52">
        <f>HLOOKUP(I39,ElecAvoidedCostsWOCC!$A$5:$Q$50,T39+1,FALSE)</f>
        <v>3.2695302314196475</v>
      </c>
      <c r="AI39" s="44">
        <f t="shared" si="32"/>
        <v>0</v>
      </c>
      <c r="AJ39" s="44">
        <f t="shared" si="33"/>
        <v>38314.055407495769</v>
      </c>
      <c r="AK39" s="44">
        <f>HLOOKUP(I39,ElecAvoidedCostsWOCC!$A$5:$Q$50,G39+1,FALSE)*J39*L39</f>
        <v>0</v>
      </c>
      <c r="AL39" s="44">
        <f t="shared" si="34"/>
        <v>38314.055407495769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38314.055407495762</v>
      </c>
      <c r="AN39" s="48">
        <f t="shared" si="35"/>
        <v>42145.460948245338</v>
      </c>
      <c r="AO39" s="47">
        <f t="shared" si="36"/>
        <v>4.0250039033611875</v>
      </c>
      <c r="AP39" s="47">
        <f t="shared" si="37"/>
        <v>0.88924800418790195</v>
      </c>
    </row>
    <row r="40" spans="2:42" x14ac:dyDescent="0.35">
      <c r="B40" s="97" t="s">
        <v>15</v>
      </c>
      <c r="C40" s="61">
        <v>18230627</v>
      </c>
      <c r="D40" s="61" t="s">
        <v>76</v>
      </c>
      <c r="E40" s="38" t="s">
        <v>768</v>
      </c>
      <c r="F40" s="39" t="s">
        <v>767</v>
      </c>
      <c r="G40" s="39">
        <v>45</v>
      </c>
      <c r="H40" s="39"/>
      <c r="I40" s="40" t="s">
        <v>274</v>
      </c>
      <c r="J40" s="41">
        <v>78588</v>
      </c>
      <c r="K40" s="496">
        <v>0.34010026976128671</v>
      </c>
      <c r="L40" s="41"/>
      <c r="M40" s="42">
        <v>0.25</v>
      </c>
      <c r="N40" s="42">
        <v>1.41</v>
      </c>
      <c r="O40" s="43">
        <v>26727.8</v>
      </c>
      <c r="P40" s="44">
        <v>19647</v>
      </c>
      <c r="Q40" s="44">
        <v>110809.08</v>
      </c>
      <c r="R40" s="45">
        <v>3.2000000000000002E-3</v>
      </c>
      <c r="S40" s="46">
        <v>0</v>
      </c>
      <c r="T40" s="39">
        <f t="shared" si="19"/>
        <v>45</v>
      </c>
      <c r="U40" s="47">
        <f t="shared" si="20"/>
        <v>0.88682534905221266</v>
      </c>
      <c r="V40" s="48">
        <f t="shared" si="21"/>
        <v>1.1599999999999999</v>
      </c>
      <c r="W40" s="49">
        <f t="shared" si="22"/>
        <v>1.9707229978938059E-2</v>
      </c>
      <c r="X40" s="44">
        <f t="shared" si="23"/>
        <v>4640.0067973449313</v>
      </c>
      <c r="Y40" s="44">
        <f t="shared" si="24"/>
        <v>91162.08</v>
      </c>
      <c r="Z40" s="44">
        <f t="shared" si="25"/>
        <v>23187.478116360471</v>
      </c>
      <c r="AA40" s="50">
        <f t="shared" si="26"/>
        <v>115449.08679734493</v>
      </c>
      <c r="AB40" s="51">
        <f t="shared" si="27"/>
        <v>21711.121831798191</v>
      </c>
      <c r="AC40" s="44">
        <f t="shared" si="28"/>
        <v>108098.39587766379</v>
      </c>
      <c r="AD40" s="44">
        <f t="shared" si="29"/>
        <v>3506.7049533607051</v>
      </c>
      <c r="AE40" s="44">
        <f t="shared" si="30"/>
        <v>0</v>
      </c>
      <c r="AF40" s="52">
        <f>HLOOKUP(I40,ElecAvoidedCostsWOCC!$A$5:$Q$50,G40+1,FALSE)</f>
        <v>3.2695302314196475</v>
      </c>
      <c r="AG40" s="44">
        <f t="shared" si="31"/>
        <v>87387.350119338065</v>
      </c>
      <c r="AH40" s="52">
        <f>HLOOKUP(I40,ElecAvoidedCostsWOCC!$A$5:$Q$50,T40+1,FALSE)</f>
        <v>3.2695302314196475</v>
      </c>
      <c r="AI40" s="44">
        <f t="shared" si="32"/>
        <v>0</v>
      </c>
      <c r="AJ40" s="44">
        <f t="shared" si="33"/>
        <v>87387.350119338065</v>
      </c>
      <c r="AK40" s="44">
        <f>HLOOKUP(I40,ElecAvoidedCostsWOCC!$A$5:$Q$50,G40+1,FALSE)*J40*L40</f>
        <v>0</v>
      </c>
      <c r="AL40" s="44">
        <f t="shared" si="34"/>
        <v>87387.350119338065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87387.350119338051</v>
      </c>
      <c r="AN40" s="48">
        <f t="shared" si="35"/>
        <v>99632.790084632565</v>
      </c>
      <c r="AO40" s="47">
        <f t="shared" si="36"/>
        <v>4.0250039033611893</v>
      </c>
      <c r="AP40" s="47">
        <f t="shared" si="37"/>
        <v>0.92168611084098007</v>
      </c>
    </row>
    <row r="41" spans="2:42" x14ac:dyDescent="0.35">
      <c r="B41" s="97" t="s">
        <v>15</v>
      </c>
      <c r="C41" s="61">
        <v>18230627</v>
      </c>
      <c r="D41" s="61" t="s">
        <v>76</v>
      </c>
      <c r="E41" s="38" t="s">
        <v>769</v>
      </c>
      <c r="F41" s="39" t="s">
        <v>770</v>
      </c>
      <c r="G41" s="39">
        <v>45</v>
      </c>
      <c r="H41" s="39"/>
      <c r="I41" s="40" t="s">
        <v>274</v>
      </c>
      <c r="J41" s="41">
        <v>269145</v>
      </c>
      <c r="K41" s="496">
        <v>3.3600029723754858E-2</v>
      </c>
      <c r="L41" s="41"/>
      <c r="M41" s="42">
        <v>0</v>
      </c>
      <c r="N41" s="42">
        <v>0</v>
      </c>
      <c r="O41" s="43">
        <v>9043.2800000000007</v>
      </c>
      <c r="P41" s="44">
        <v>0</v>
      </c>
      <c r="Q41" s="44">
        <v>0</v>
      </c>
      <c r="R41" s="45">
        <v>0</v>
      </c>
      <c r="S41" s="46">
        <v>0</v>
      </c>
      <c r="T41" s="39">
        <f t="shared" si="19"/>
        <v>45</v>
      </c>
      <c r="U41" s="47">
        <f t="shared" si="20"/>
        <v>0.30005499676654629</v>
      </c>
      <c r="V41" s="48">
        <f t="shared" si="21"/>
        <v>0</v>
      </c>
      <c r="W41" s="49">
        <f t="shared" si="22"/>
        <v>6.6678888170343615E-3</v>
      </c>
      <c r="X41" s="44">
        <f t="shared" si="23"/>
        <v>1569.9339515520724</v>
      </c>
      <c r="Y41" s="44">
        <f t="shared" si="24"/>
        <v>0</v>
      </c>
      <c r="Z41" s="44">
        <f t="shared" si="25"/>
        <v>7845.4215124372513</v>
      </c>
      <c r="AA41" s="50">
        <f t="shared" si="26"/>
        <v>1569.9339515520724</v>
      </c>
      <c r="AB41" s="51">
        <f t="shared" si="27"/>
        <v>7345.9002925442428</v>
      </c>
      <c r="AC41" s="44">
        <f t="shared" si="28"/>
        <v>1469.9756100674833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3.2695302314196475</v>
      </c>
      <c r="AG41" s="44">
        <f t="shared" si="31"/>
        <v>29567.277351192672</v>
      </c>
      <c r="AH41" s="52">
        <f>HLOOKUP(I41,ElecAvoidedCostsWOCC!$A$5:$Q$50,T41+1,FALSE)</f>
        <v>3.2695302314196475</v>
      </c>
      <c r="AI41" s="44">
        <f t="shared" si="32"/>
        <v>0</v>
      </c>
      <c r="AJ41" s="44">
        <f t="shared" si="33"/>
        <v>29567.277351192672</v>
      </c>
      <c r="AK41" s="44">
        <f>HLOOKUP(I41,ElecAvoidedCostsWOCC!$A$5:$Q$50,G41+1,FALSE)*J41*L41</f>
        <v>0</v>
      </c>
      <c r="AL41" s="44">
        <f t="shared" si="34"/>
        <v>29567.277351192672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29567.277351192675</v>
      </c>
      <c r="AN41" s="48">
        <f t="shared" si="35"/>
        <v>32524.005086311947</v>
      </c>
      <c r="AO41" s="47">
        <f t="shared" si="36"/>
        <v>4.0250039033611884</v>
      </c>
      <c r="AP41" s="47">
        <f t="shared" si="37"/>
        <v>22.125540630445453</v>
      </c>
    </row>
    <row r="42" spans="2:42" x14ac:dyDescent="0.35">
      <c r="B42" s="97" t="s">
        <v>15</v>
      </c>
      <c r="C42" s="61">
        <v>18230627</v>
      </c>
      <c r="D42" s="61" t="s">
        <v>76</v>
      </c>
      <c r="E42" s="38" t="s">
        <v>771</v>
      </c>
      <c r="F42" s="39" t="s">
        <v>770</v>
      </c>
      <c r="G42" s="39">
        <v>45</v>
      </c>
      <c r="H42" s="39"/>
      <c r="I42" s="40" t="s">
        <v>274</v>
      </c>
      <c r="J42" s="41">
        <v>630025</v>
      </c>
      <c r="K42" s="496">
        <v>3.3600079361930081E-2</v>
      </c>
      <c r="L42" s="41"/>
      <c r="M42" s="42">
        <v>0</v>
      </c>
      <c r="N42" s="42">
        <v>0</v>
      </c>
      <c r="O42" s="43">
        <v>21168.89</v>
      </c>
      <c r="P42" s="44">
        <v>0</v>
      </c>
      <c r="Q42" s="44">
        <v>0</v>
      </c>
      <c r="R42" s="45">
        <v>4.0300000000000002E-2</v>
      </c>
      <c r="S42" s="46">
        <v>0</v>
      </c>
      <c r="T42" s="39">
        <f t="shared" si="19"/>
        <v>45</v>
      </c>
      <c r="U42" s="47">
        <f t="shared" si="20"/>
        <v>0.70238135062735785</v>
      </c>
      <c r="V42" s="48">
        <f t="shared" si="21"/>
        <v>0</v>
      </c>
      <c r="W42" s="49">
        <f t="shared" si="22"/>
        <v>1.5608474458385729E-2</v>
      </c>
      <c r="X42" s="44">
        <f t="shared" si="23"/>
        <v>3674.9673932103337</v>
      </c>
      <c r="Y42" s="44">
        <f t="shared" si="24"/>
        <v>0</v>
      </c>
      <c r="Z42" s="44">
        <f t="shared" si="25"/>
        <v>18364.892494804739</v>
      </c>
      <c r="AA42" s="50">
        <f t="shared" si="26"/>
        <v>3674.9673932103337</v>
      </c>
      <c r="AB42" s="51">
        <f t="shared" si="27"/>
        <v>17195.592223599942</v>
      </c>
      <c r="AC42" s="44">
        <f t="shared" si="28"/>
        <v>3440.9807052531214</v>
      </c>
      <c r="AD42" s="44">
        <f t="shared" si="29"/>
        <v>354042.86065507552</v>
      </c>
      <c r="AE42" s="44">
        <f t="shared" si="30"/>
        <v>0</v>
      </c>
      <c r="AF42" s="52">
        <f>HLOOKUP(I42,ElecAvoidedCostsWOCC!$A$5:$Q$50,G42+1,FALSE)</f>
        <v>3.2695302314196475</v>
      </c>
      <c r="AG42" s="44">
        <f t="shared" si="31"/>
        <v>69212.325820597063</v>
      </c>
      <c r="AH42" s="52">
        <f>HLOOKUP(I42,ElecAvoidedCostsWOCC!$A$5:$Q$50,T42+1,FALSE)</f>
        <v>3.2695302314196475</v>
      </c>
      <c r="AI42" s="44">
        <f t="shared" si="32"/>
        <v>0</v>
      </c>
      <c r="AJ42" s="44">
        <f t="shared" si="33"/>
        <v>69212.325820597063</v>
      </c>
      <c r="AK42" s="44">
        <f>HLOOKUP(I42,ElecAvoidedCostsWOCC!$A$5:$Q$50,G42+1,FALSE)*J42*L42</f>
        <v>0</v>
      </c>
      <c r="AL42" s="44">
        <f t="shared" si="34"/>
        <v>69212.325820597063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69212.325820597063</v>
      </c>
      <c r="AN42" s="48">
        <f t="shared" si="35"/>
        <v>430176.41905773233</v>
      </c>
      <c r="AO42" s="47">
        <f t="shared" si="36"/>
        <v>4.0250039033611884</v>
      </c>
      <c r="AP42" s="47">
        <f t="shared" si="37"/>
        <v>125.01564405781467</v>
      </c>
    </row>
    <row r="43" spans="2:42" x14ac:dyDescent="0.35">
      <c r="B43" s="97" t="s">
        <v>15</v>
      </c>
      <c r="C43" s="61">
        <v>18230627</v>
      </c>
      <c r="D43" s="61" t="s">
        <v>76</v>
      </c>
      <c r="E43" s="38" t="s">
        <v>772</v>
      </c>
      <c r="F43" s="39" t="s">
        <v>773</v>
      </c>
      <c r="G43" s="39">
        <v>45</v>
      </c>
      <c r="H43" s="39"/>
      <c r="I43" s="40" t="s">
        <v>274</v>
      </c>
      <c r="J43" s="41">
        <v>18763</v>
      </c>
      <c r="K43" s="496">
        <v>0.18360070351223151</v>
      </c>
      <c r="L43" s="41"/>
      <c r="M43" s="42">
        <v>0.25</v>
      </c>
      <c r="N43" s="42">
        <v>1.41</v>
      </c>
      <c r="O43" s="43">
        <v>3444.9</v>
      </c>
      <c r="P43" s="44">
        <v>3000</v>
      </c>
      <c r="Q43" s="44">
        <v>26455.83</v>
      </c>
      <c r="R43" s="45">
        <v>0</v>
      </c>
      <c r="S43" s="46">
        <v>0</v>
      </c>
      <c r="T43" s="39">
        <f t="shared" si="19"/>
        <v>45</v>
      </c>
      <c r="U43" s="47">
        <f t="shared" si="20"/>
        <v>0.11430138825305365</v>
      </c>
      <c r="V43" s="48">
        <f t="shared" si="21"/>
        <v>1.1599999999999999</v>
      </c>
      <c r="W43" s="49">
        <f t="shared" si="22"/>
        <v>2.540030850067859E-3</v>
      </c>
      <c r="X43" s="44">
        <f t="shared" si="23"/>
        <v>598.04246575376783</v>
      </c>
      <c r="Y43" s="44">
        <f t="shared" si="24"/>
        <v>23455.83</v>
      </c>
      <c r="Z43" s="44">
        <f t="shared" si="25"/>
        <v>2988.5940243136433</v>
      </c>
      <c r="AA43" s="50">
        <f t="shared" si="26"/>
        <v>27053.872465753768</v>
      </c>
      <c r="AB43" s="51">
        <f t="shared" si="27"/>
        <v>2798.3090115296286</v>
      </c>
      <c r="AC43" s="44">
        <f t="shared" si="28"/>
        <v>25331.341260069068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3.2695302314196475</v>
      </c>
      <c r="AG43" s="44">
        <f t="shared" si="31"/>
        <v>11263.204694217544</v>
      </c>
      <c r="AH43" s="52">
        <f>HLOOKUP(I43,ElecAvoidedCostsWOCC!$A$5:$Q$50,T43+1,FALSE)</f>
        <v>3.2695302314196475</v>
      </c>
      <c r="AI43" s="44">
        <f t="shared" si="32"/>
        <v>0</v>
      </c>
      <c r="AJ43" s="44">
        <f t="shared" si="33"/>
        <v>11263.204694217544</v>
      </c>
      <c r="AK43" s="44">
        <f>HLOOKUP(I43,ElecAvoidedCostsWOCC!$A$5:$Q$50,G43+1,FALSE)*J43*L43</f>
        <v>0</v>
      </c>
      <c r="AL43" s="44">
        <f t="shared" si="34"/>
        <v>11263.204694217544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11263.204694217544</v>
      </c>
      <c r="AN43" s="48">
        <f t="shared" si="35"/>
        <v>12389.525163639299</v>
      </c>
      <c r="AO43" s="47">
        <f t="shared" si="36"/>
        <v>4.0250039033611884</v>
      </c>
      <c r="AP43" s="47">
        <f t="shared" si="37"/>
        <v>0.48909866384254447</v>
      </c>
    </row>
    <row r="44" spans="2:42" x14ac:dyDescent="0.35">
      <c r="B44" s="97" t="s">
        <v>15</v>
      </c>
      <c r="C44" s="61">
        <v>18230627</v>
      </c>
      <c r="D44" s="61" t="s">
        <v>76</v>
      </c>
      <c r="E44" s="38" t="s">
        <v>774</v>
      </c>
      <c r="F44" s="39" t="s">
        <v>773</v>
      </c>
      <c r="G44" s="39">
        <v>45</v>
      </c>
      <c r="H44" s="39"/>
      <c r="I44" s="40" t="s">
        <v>274</v>
      </c>
      <c r="J44" s="41">
        <v>85617</v>
      </c>
      <c r="K44" s="496">
        <v>0.18360033638179332</v>
      </c>
      <c r="L44" s="41"/>
      <c r="M44" s="42">
        <v>0.25</v>
      </c>
      <c r="N44" s="42">
        <v>1.41</v>
      </c>
      <c r="O44" s="43">
        <v>15719.31</v>
      </c>
      <c r="P44" s="44">
        <v>21404.25</v>
      </c>
      <c r="Q44" s="44">
        <v>120719.97</v>
      </c>
      <c r="R44" s="45">
        <v>1.8E-3</v>
      </c>
      <c r="S44" s="46">
        <v>0</v>
      </c>
      <c r="T44" s="39">
        <f t="shared" si="19"/>
        <v>45</v>
      </c>
      <c r="U44" s="47">
        <f t="shared" si="20"/>
        <v>0.52156490910624664</v>
      </c>
      <c r="V44" s="48">
        <f t="shared" si="21"/>
        <v>1.1599999999999999</v>
      </c>
      <c r="W44" s="49">
        <f t="shared" si="22"/>
        <v>1.1590331313472146E-2</v>
      </c>
      <c r="X44" s="44">
        <f t="shared" si="23"/>
        <v>2728.9079254398853</v>
      </c>
      <c r="Y44" s="44">
        <f t="shared" si="24"/>
        <v>99315.72</v>
      </c>
      <c r="Z44" s="44">
        <f t="shared" si="25"/>
        <v>13637.155195312984</v>
      </c>
      <c r="AA44" s="50">
        <f t="shared" si="26"/>
        <v>123448.87792543988</v>
      </c>
      <c r="AB44" s="51">
        <f t="shared" si="27"/>
        <v>12768.871905723767</v>
      </c>
      <c r="AC44" s="44">
        <f t="shared" si="28"/>
        <v>115588.83700883883</v>
      </c>
      <c r="AD44" s="44">
        <f t="shared" si="29"/>
        <v>2148.9461033546399</v>
      </c>
      <c r="AE44" s="44">
        <f t="shared" si="30"/>
        <v>0</v>
      </c>
      <c r="AF44" s="52">
        <f>HLOOKUP(I44,ElecAvoidedCostsWOCC!$A$5:$Q$50,G44+1,FALSE)</f>
        <v>3.2695302314196475</v>
      </c>
      <c r="AG44" s="44">
        <f t="shared" si="31"/>
        <v>51394.759262057181</v>
      </c>
      <c r="AH44" s="52">
        <f>HLOOKUP(I44,ElecAvoidedCostsWOCC!$A$5:$Q$50,T44+1,FALSE)</f>
        <v>3.2695302314196475</v>
      </c>
      <c r="AI44" s="44">
        <f t="shared" si="32"/>
        <v>0</v>
      </c>
      <c r="AJ44" s="44">
        <f t="shared" si="33"/>
        <v>51394.759262057181</v>
      </c>
      <c r="AK44" s="44">
        <f>HLOOKUP(I44,ElecAvoidedCostsWOCC!$A$5:$Q$50,G44+1,FALSE)*J44*L44</f>
        <v>0</v>
      </c>
      <c r="AL44" s="44">
        <f t="shared" si="34"/>
        <v>51394.759262057181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51394.759262057174</v>
      </c>
      <c r="AN44" s="48">
        <f t="shared" si="35"/>
        <v>58683.181291617533</v>
      </c>
      <c r="AO44" s="47">
        <f t="shared" si="36"/>
        <v>4.0250039033611884</v>
      </c>
      <c r="AP44" s="47">
        <f t="shared" si="37"/>
        <v>0.50768900189842858</v>
      </c>
    </row>
    <row r="45" spans="2:42" x14ac:dyDescent="0.35">
      <c r="B45" s="97" t="s">
        <v>15</v>
      </c>
      <c r="C45" s="61">
        <v>18230627</v>
      </c>
      <c r="D45" s="61" t="s">
        <v>76</v>
      </c>
      <c r="E45" s="38" t="s">
        <v>775</v>
      </c>
      <c r="F45" s="39" t="s">
        <v>776</v>
      </c>
      <c r="G45" s="39">
        <v>45</v>
      </c>
      <c r="H45" s="39"/>
      <c r="I45" s="40" t="s">
        <v>274</v>
      </c>
      <c r="J45" s="41">
        <v>13487</v>
      </c>
      <c r="K45" s="496">
        <v>0.62310002224364203</v>
      </c>
      <c r="L45" s="41"/>
      <c r="M45" s="42">
        <v>0.25</v>
      </c>
      <c r="N45" s="42">
        <v>1.41</v>
      </c>
      <c r="O45" s="43">
        <v>8403.75</v>
      </c>
      <c r="P45" s="44">
        <v>3196.95</v>
      </c>
      <c r="Q45" s="44">
        <v>19016.669999999998</v>
      </c>
      <c r="R45" s="45">
        <v>0</v>
      </c>
      <c r="S45" s="46">
        <v>0</v>
      </c>
      <c r="T45" s="39">
        <f t="shared" si="19"/>
        <v>45</v>
      </c>
      <c r="U45" s="47">
        <f t="shared" si="20"/>
        <v>0.27883546446387403</v>
      </c>
      <c r="V45" s="48">
        <f t="shared" si="21"/>
        <v>1.1599999999999999</v>
      </c>
      <c r="W45" s="49">
        <f t="shared" si="22"/>
        <v>6.1963436547527563E-3</v>
      </c>
      <c r="X45" s="44">
        <f t="shared" si="23"/>
        <v>1458.9100907365166</v>
      </c>
      <c r="Y45" s="44">
        <f t="shared" si="24"/>
        <v>15819.719999999998</v>
      </c>
      <c r="Z45" s="44">
        <f t="shared" si="25"/>
        <v>7290.6026392132653</v>
      </c>
      <c r="AA45" s="50">
        <f t="shared" si="26"/>
        <v>20475.580090736516</v>
      </c>
      <c r="AB45" s="51">
        <f t="shared" si="27"/>
        <v>6826.4069655554913</v>
      </c>
      <c r="AC45" s="44">
        <f t="shared" si="28"/>
        <v>19171.891470727074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3.2695302314196475</v>
      </c>
      <c r="AG45" s="44">
        <f t="shared" si="31"/>
        <v>27476.314682292861</v>
      </c>
      <c r="AH45" s="52">
        <f>HLOOKUP(I45,ElecAvoidedCostsWOCC!$A$5:$Q$50,T45+1,FALSE)</f>
        <v>3.2695302314196475</v>
      </c>
      <c r="AI45" s="44">
        <f t="shared" si="32"/>
        <v>0</v>
      </c>
      <c r="AJ45" s="44">
        <f t="shared" si="33"/>
        <v>27476.314682292861</v>
      </c>
      <c r="AK45" s="44">
        <f>HLOOKUP(I45,ElecAvoidedCostsWOCC!$A$5:$Q$50,G45+1,FALSE)*J45*L45</f>
        <v>0</v>
      </c>
      <c r="AL45" s="44">
        <f t="shared" si="34"/>
        <v>27476.314682292861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27476.314682292865</v>
      </c>
      <c r="AN45" s="48">
        <f t="shared" si="35"/>
        <v>30223.946150522155</v>
      </c>
      <c r="AO45" s="47">
        <f t="shared" si="36"/>
        <v>4.0250039033611893</v>
      </c>
      <c r="AP45" s="47">
        <f t="shared" si="37"/>
        <v>1.5764717944846547</v>
      </c>
    </row>
    <row r="46" spans="2:42" x14ac:dyDescent="0.35">
      <c r="B46" s="97" t="s">
        <v>15</v>
      </c>
      <c r="C46" s="61">
        <v>18230627</v>
      </c>
      <c r="D46" s="61" t="s">
        <v>76</v>
      </c>
      <c r="E46" s="38" t="s">
        <v>777</v>
      </c>
      <c r="F46" s="39" t="s">
        <v>776</v>
      </c>
      <c r="G46" s="39">
        <v>45</v>
      </c>
      <c r="H46" s="39"/>
      <c r="I46" s="40" t="s">
        <v>274</v>
      </c>
      <c r="J46" s="41">
        <v>77372</v>
      </c>
      <c r="K46" s="496">
        <v>0.62309982939564701</v>
      </c>
      <c r="L46" s="41"/>
      <c r="M46" s="42">
        <v>0.25</v>
      </c>
      <c r="N46" s="42">
        <v>1.41</v>
      </c>
      <c r="O46" s="43">
        <v>48210.48</v>
      </c>
      <c r="P46" s="44">
        <v>19343</v>
      </c>
      <c r="Q46" s="44">
        <v>109094.52</v>
      </c>
      <c r="R46" s="45">
        <v>5.8999999999999999E-3</v>
      </c>
      <c r="S46" s="46">
        <v>0</v>
      </c>
      <c r="T46" s="39">
        <f t="shared" si="19"/>
        <v>45</v>
      </c>
      <c r="U46" s="47">
        <f t="shared" si="20"/>
        <v>1.5996182160138404</v>
      </c>
      <c r="V46" s="48">
        <f t="shared" si="21"/>
        <v>1.1599999999999999</v>
      </c>
      <c r="W46" s="49">
        <f t="shared" si="22"/>
        <v>3.554707146697423E-2</v>
      </c>
      <c r="X46" s="44">
        <f t="shared" si="23"/>
        <v>8369.4488473896799</v>
      </c>
      <c r="Y46" s="44">
        <f t="shared" si="24"/>
        <v>89751.52</v>
      </c>
      <c r="Z46" s="44">
        <f t="shared" si="25"/>
        <v>41824.596486775357</v>
      </c>
      <c r="AA46" s="50">
        <f t="shared" si="26"/>
        <v>117463.96884738968</v>
      </c>
      <c r="AB46" s="51">
        <f t="shared" si="27"/>
        <v>39161.607197355203</v>
      </c>
      <c r="AC46" s="44">
        <f t="shared" si="28"/>
        <v>109984.98955748096</v>
      </c>
      <c r="AD46" s="44">
        <f t="shared" si="29"/>
        <v>6365.4461254557154</v>
      </c>
      <c r="AE46" s="44">
        <f t="shared" si="30"/>
        <v>0</v>
      </c>
      <c r="AF46" s="52">
        <f>HLOOKUP(I46,ElecAvoidedCostsWOCC!$A$5:$Q$50,G46+1,FALSE)</f>
        <v>3.2695302314196475</v>
      </c>
      <c r="AG46" s="44">
        <f t="shared" si="31"/>
        <v>157625.62183125227</v>
      </c>
      <c r="AH46" s="52">
        <f>HLOOKUP(I46,ElecAvoidedCostsWOCC!$A$5:$Q$50,T46+1,FALSE)</f>
        <v>3.2695302314196475</v>
      </c>
      <c r="AI46" s="44">
        <f t="shared" si="32"/>
        <v>0</v>
      </c>
      <c r="AJ46" s="44">
        <f t="shared" si="33"/>
        <v>157625.62183125227</v>
      </c>
      <c r="AK46" s="44">
        <f>HLOOKUP(I46,ElecAvoidedCostsWOCC!$A$5:$Q$50,G46+1,FALSE)*J46*L46</f>
        <v>0</v>
      </c>
      <c r="AL46" s="44">
        <f t="shared" si="34"/>
        <v>157625.62183125227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157625.6218312523</v>
      </c>
      <c r="AN46" s="48">
        <f t="shared" si="35"/>
        <v>179753.63013983326</v>
      </c>
      <c r="AO46" s="47">
        <f t="shared" si="36"/>
        <v>4.0250039033611884</v>
      </c>
      <c r="AP46" s="47">
        <f t="shared" si="37"/>
        <v>1.6343469310045207</v>
      </c>
    </row>
    <row r="47" spans="2:42" x14ac:dyDescent="0.35">
      <c r="B47" s="97" t="s">
        <v>15</v>
      </c>
      <c r="C47" s="61">
        <v>18230627</v>
      </c>
      <c r="D47" s="61" t="s">
        <v>76</v>
      </c>
      <c r="E47" s="38" t="s">
        <v>778</v>
      </c>
      <c r="F47" s="39" t="s">
        <v>779</v>
      </c>
      <c r="G47" s="39">
        <v>20</v>
      </c>
      <c r="H47" s="39"/>
      <c r="I47" s="40" t="s">
        <v>274</v>
      </c>
      <c r="J47" s="41">
        <v>41</v>
      </c>
      <c r="K47" s="496">
        <v>1252</v>
      </c>
      <c r="L47" s="41"/>
      <c r="M47" s="42">
        <v>400</v>
      </c>
      <c r="N47" s="42">
        <v>1000</v>
      </c>
      <c r="O47" s="43">
        <v>51332</v>
      </c>
      <c r="P47" s="44">
        <v>15487.07</v>
      </c>
      <c r="Q47" s="44">
        <v>41000</v>
      </c>
      <c r="R47" s="45">
        <v>0</v>
      </c>
      <c r="S47" s="46">
        <v>0</v>
      </c>
      <c r="T47" s="39">
        <f t="shared" si="19"/>
        <v>20</v>
      </c>
      <c r="U47" s="47">
        <f t="shared" si="20"/>
        <v>0.75697328570166533</v>
      </c>
      <c r="V47" s="48">
        <f t="shared" si="21"/>
        <v>600</v>
      </c>
      <c r="W47" s="49">
        <f t="shared" si="22"/>
        <v>3.7848664285083267E-2</v>
      </c>
      <c r="X47" s="44">
        <f t="shared" si="23"/>
        <v>8911.3518105235016</v>
      </c>
      <c r="Y47" s="44">
        <f t="shared" si="24"/>
        <v>25512.93</v>
      </c>
      <c r="Z47" s="44">
        <f t="shared" si="25"/>
        <v>44532.644911628187</v>
      </c>
      <c r="AA47" s="50">
        <f t="shared" si="26"/>
        <v>49911.351810523498</v>
      </c>
      <c r="AB47" s="51">
        <f t="shared" si="27"/>
        <v>41697.233063322274</v>
      </c>
      <c r="AC47" s="44">
        <f t="shared" si="28"/>
        <v>46733.475478018256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1.6314674491379657</v>
      </c>
      <c r="AG47" s="44">
        <f t="shared" si="31"/>
        <v>83746.48709915005</v>
      </c>
      <c r="AH47" s="52">
        <f>HLOOKUP(I47,ElecAvoidedCostsWOCC!$A$5:$Q$50,T47+1,FALSE)</f>
        <v>1.6314674491379657</v>
      </c>
      <c r="AI47" s="44">
        <f t="shared" si="32"/>
        <v>0</v>
      </c>
      <c r="AJ47" s="44">
        <f t="shared" si="33"/>
        <v>83746.48709915005</v>
      </c>
      <c r="AK47" s="44">
        <f>HLOOKUP(I47,ElecAvoidedCostsWOCC!$A$5:$Q$50,G47+1,FALSE)*J47*L47</f>
        <v>0</v>
      </c>
      <c r="AL47" s="44">
        <f t="shared" si="34"/>
        <v>83746.48709915005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83746.487099150065</v>
      </c>
      <c r="AN47" s="48">
        <f t="shared" si="35"/>
        <v>92121.135809065076</v>
      </c>
      <c r="AO47" s="47">
        <f t="shared" si="36"/>
        <v>2.0084423101161395</v>
      </c>
      <c r="AP47" s="47">
        <f t="shared" si="37"/>
        <v>1.9712023312367499</v>
      </c>
    </row>
    <row r="48" spans="2:42" x14ac:dyDescent="0.35">
      <c r="B48" s="97" t="s">
        <v>15</v>
      </c>
      <c r="C48" s="61">
        <v>18230627</v>
      </c>
      <c r="D48" s="61" t="s">
        <v>76</v>
      </c>
      <c r="E48" s="38" t="s">
        <v>780</v>
      </c>
      <c r="F48" s="39" t="s">
        <v>779</v>
      </c>
      <c r="G48" s="39">
        <v>20</v>
      </c>
      <c r="H48" s="39"/>
      <c r="I48" s="40" t="s">
        <v>274</v>
      </c>
      <c r="J48" s="41">
        <v>108</v>
      </c>
      <c r="K48" s="496">
        <v>1252</v>
      </c>
      <c r="L48" s="41"/>
      <c r="M48" s="42">
        <v>400</v>
      </c>
      <c r="N48" s="42">
        <v>1000</v>
      </c>
      <c r="O48" s="43">
        <v>135216</v>
      </c>
      <c r="P48" s="44">
        <v>42800</v>
      </c>
      <c r="Q48" s="44">
        <v>108000</v>
      </c>
      <c r="R48" s="45">
        <v>45.579099999999997</v>
      </c>
      <c r="S48" s="46">
        <v>0</v>
      </c>
      <c r="T48" s="39">
        <f t="shared" si="19"/>
        <v>20</v>
      </c>
      <c r="U48" s="47">
        <f t="shared" si="20"/>
        <v>1.9939784111165817</v>
      </c>
      <c r="V48" s="48">
        <f t="shared" si="21"/>
        <v>600</v>
      </c>
      <c r="W48" s="49">
        <f t="shared" si="22"/>
        <v>9.9698920555829088E-2</v>
      </c>
      <c r="X48" s="44">
        <f t="shared" si="23"/>
        <v>23473.804769183858</v>
      </c>
      <c r="Y48" s="44">
        <f t="shared" si="24"/>
        <v>65200</v>
      </c>
      <c r="Z48" s="44">
        <f t="shared" si="25"/>
        <v>117305.50366965473</v>
      </c>
      <c r="AA48" s="50">
        <f t="shared" si="26"/>
        <v>131473.80476918386</v>
      </c>
      <c r="AB48" s="51">
        <f t="shared" si="27"/>
        <v>109836.61392289768</v>
      </c>
      <c r="AC48" s="44">
        <f t="shared" si="28"/>
        <v>123102.813454292</v>
      </c>
      <c r="AD48" s="44">
        <f t="shared" si="29"/>
        <v>52970.053188505764</v>
      </c>
      <c r="AE48" s="44">
        <f t="shared" si="30"/>
        <v>0</v>
      </c>
      <c r="AF48" s="52">
        <f>HLOOKUP(I48,ElecAvoidedCostsWOCC!$A$5:$Q$50,G48+1,FALSE)</f>
        <v>1.6314674491379657</v>
      </c>
      <c r="AG48" s="44">
        <f t="shared" si="31"/>
        <v>220600.50260263917</v>
      </c>
      <c r="AH48" s="52">
        <f>HLOOKUP(I48,ElecAvoidedCostsWOCC!$A$5:$Q$50,T48+1,FALSE)</f>
        <v>1.6314674491379657</v>
      </c>
      <c r="AI48" s="44">
        <f t="shared" si="32"/>
        <v>0</v>
      </c>
      <c r="AJ48" s="44">
        <f t="shared" si="33"/>
        <v>220600.50260263917</v>
      </c>
      <c r="AK48" s="44">
        <f>HLOOKUP(I48,ElecAvoidedCostsWOCC!$A$5:$Q$50,G48+1,FALSE)*J48*L48</f>
        <v>0</v>
      </c>
      <c r="AL48" s="44">
        <f t="shared" si="34"/>
        <v>220600.50260263917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220600.50260263917</v>
      </c>
      <c r="AN48" s="48">
        <f t="shared" si="35"/>
        <v>295630.60605140886</v>
      </c>
      <c r="AO48" s="47">
        <f t="shared" si="36"/>
        <v>2.0084423101161395</v>
      </c>
      <c r="AP48" s="47">
        <f t="shared" si="37"/>
        <v>2.401493497637861</v>
      </c>
    </row>
    <row r="49" spans="2:42" x14ac:dyDescent="0.35">
      <c r="B49" s="97" t="s">
        <v>15</v>
      </c>
      <c r="C49" s="61">
        <v>18230627</v>
      </c>
      <c r="D49" s="61" t="s">
        <v>76</v>
      </c>
      <c r="E49" s="38" t="s">
        <v>781</v>
      </c>
      <c r="F49" s="39" t="s">
        <v>782</v>
      </c>
      <c r="G49" s="39">
        <v>20</v>
      </c>
      <c r="H49" s="39"/>
      <c r="I49" s="40" t="s">
        <v>274</v>
      </c>
      <c r="J49" s="41">
        <v>239</v>
      </c>
      <c r="K49" s="496">
        <v>0</v>
      </c>
      <c r="L49" s="41"/>
      <c r="M49" s="42"/>
      <c r="N49" s="42"/>
      <c r="O49" s="43">
        <v>0</v>
      </c>
      <c r="P49" s="44">
        <v>0</v>
      </c>
      <c r="Q49" s="44">
        <v>0</v>
      </c>
      <c r="R49" s="45">
        <v>0</v>
      </c>
      <c r="S49" s="46">
        <v>0</v>
      </c>
      <c r="T49" s="39">
        <f t="shared" si="19"/>
        <v>20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1.6314674491379657</v>
      </c>
      <c r="AG49" s="44">
        <f t="shared" si="31"/>
        <v>0</v>
      </c>
      <c r="AH49" s="52">
        <f>HLOOKUP(I49,ElecAvoidedCostsWOCC!$A$5:$Q$50,T49+1,FALSE)</f>
        <v>1.6314674491379657</v>
      </c>
      <c r="AI49" s="44">
        <f t="shared" si="32"/>
        <v>0</v>
      </c>
      <c r="AJ49" s="44">
        <f t="shared" si="33"/>
        <v>0</v>
      </c>
      <c r="AK49" s="44">
        <f>HLOOKUP(I49,ElecAvoidedCostsWOCC!$A$5:$Q$50,G49+1,FALSE)*J49*L49</f>
        <v>0</v>
      </c>
      <c r="AL49" s="44">
        <f t="shared" si="34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97" t="s">
        <v>15</v>
      </c>
      <c r="C50" s="61">
        <v>18230627</v>
      </c>
      <c r="D50" s="61" t="s">
        <v>76</v>
      </c>
      <c r="E50" s="38" t="s">
        <v>783</v>
      </c>
      <c r="F50" s="39" t="s">
        <v>782</v>
      </c>
      <c r="G50" s="39">
        <v>20</v>
      </c>
      <c r="H50" s="39"/>
      <c r="I50" s="40" t="s">
        <v>274</v>
      </c>
      <c r="J50" s="41">
        <v>648</v>
      </c>
      <c r="K50" s="496">
        <v>0</v>
      </c>
      <c r="L50" s="41"/>
      <c r="M50" s="42"/>
      <c r="N50" s="42"/>
      <c r="O50" s="43">
        <v>0</v>
      </c>
      <c r="P50" s="44">
        <v>0</v>
      </c>
      <c r="Q50" s="44">
        <v>0</v>
      </c>
      <c r="R50" s="45">
        <v>36.090899999999998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251659.67199278303</v>
      </c>
      <c r="AE50" s="44">
        <f t="shared" si="30"/>
        <v>0</v>
      </c>
      <c r="AF50" s="52">
        <f>HLOOKUP(I50,ElecAvoidedCostsWOCC!$A$5:$Q$50,G50+1,FALSE)</f>
        <v>1.6314674491379657</v>
      </c>
      <c r="AG50" s="44">
        <f t="shared" si="31"/>
        <v>0</v>
      </c>
      <c r="AH50" s="52">
        <f>HLOOKUP(I50,ElecAvoidedCostsWOCC!$A$5:$Q$50,T50+1,FALSE)</f>
        <v>1.6314674491379657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251659.67199278303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97" t="s">
        <v>15</v>
      </c>
      <c r="C51" s="61">
        <v>18230627</v>
      </c>
      <c r="D51" s="61" t="s">
        <v>76</v>
      </c>
      <c r="E51" s="38" t="s">
        <v>784</v>
      </c>
      <c r="F51" s="39" t="s">
        <v>785</v>
      </c>
      <c r="G51" s="39">
        <v>20</v>
      </c>
      <c r="H51" s="39"/>
      <c r="I51" s="40" t="s">
        <v>274</v>
      </c>
      <c r="J51" s="41">
        <v>2</v>
      </c>
      <c r="K51" s="496">
        <v>1254</v>
      </c>
      <c r="L51" s="41"/>
      <c r="M51" s="42">
        <v>300</v>
      </c>
      <c r="N51" s="42">
        <v>631.58000000000004</v>
      </c>
      <c r="O51" s="43">
        <v>2508</v>
      </c>
      <c r="P51" s="44">
        <v>600</v>
      </c>
      <c r="Q51" s="44">
        <v>1263.1600000000001</v>
      </c>
      <c r="R51" s="45">
        <v>0</v>
      </c>
      <c r="S51" s="46">
        <v>0</v>
      </c>
      <c r="T51" s="39">
        <f t="shared" si="19"/>
        <v>20</v>
      </c>
      <c r="U51" s="47">
        <f t="shared" si="20"/>
        <v>3.6984512595257868E-2</v>
      </c>
      <c r="V51" s="48">
        <f t="shared" si="21"/>
        <v>331.58000000000004</v>
      </c>
      <c r="W51" s="49">
        <f t="shared" si="22"/>
        <v>1.8492256297628932E-3</v>
      </c>
      <c r="X51" s="44">
        <f t="shared" si="23"/>
        <v>435.39449740498992</v>
      </c>
      <c r="Y51" s="44">
        <f t="shared" si="24"/>
        <v>663.16000000000008</v>
      </c>
      <c r="Z51" s="44">
        <f t="shared" si="25"/>
        <v>2175.7943083917148</v>
      </c>
      <c r="AA51" s="50">
        <f t="shared" si="26"/>
        <v>1698.5544974049899</v>
      </c>
      <c r="AB51" s="51">
        <f t="shared" si="27"/>
        <v>2037.2605883817553</v>
      </c>
      <c r="AC51" s="44">
        <f t="shared" si="28"/>
        <v>1590.4068327762077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1.6314674491379657</v>
      </c>
      <c r="AG51" s="44">
        <f t="shared" si="31"/>
        <v>4091.7203624380181</v>
      </c>
      <c r="AH51" s="52">
        <f>HLOOKUP(I51,ElecAvoidedCostsWOCC!$A$5:$Q$50,T51+1,FALSE)</f>
        <v>1.6314674491379657</v>
      </c>
      <c r="AI51" s="44">
        <f t="shared" si="32"/>
        <v>0</v>
      </c>
      <c r="AJ51" s="44">
        <f t="shared" si="33"/>
        <v>4091.7203624380181</v>
      </c>
      <c r="AK51" s="44">
        <f>HLOOKUP(I51,ElecAvoidedCostsWOCC!$A$5:$Q$50,G51+1,FALSE)*J51*L51</f>
        <v>0</v>
      </c>
      <c r="AL51" s="44">
        <f t="shared" si="34"/>
        <v>4091.7203624380181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4091.7203624380181</v>
      </c>
      <c r="AN51" s="48">
        <f t="shared" si="35"/>
        <v>4500.8923986818199</v>
      </c>
      <c r="AO51" s="47">
        <f t="shared" si="36"/>
        <v>2.0084423101161395</v>
      </c>
      <c r="AP51" s="47">
        <f t="shared" si="37"/>
        <v>2.8300258185039864</v>
      </c>
    </row>
    <row r="52" spans="2:42" x14ac:dyDescent="0.35">
      <c r="B52" s="97" t="s">
        <v>15</v>
      </c>
      <c r="C52" s="61">
        <v>18230627</v>
      </c>
      <c r="D52" s="61" t="s">
        <v>76</v>
      </c>
      <c r="E52" s="38" t="s">
        <v>786</v>
      </c>
      <c r="F52" s="39" t="s">
        <v>785</v>
      </c>
      <c r="G52" s="39">
        <v>20</v>
      </c>
      <c r="H52" s="39"/>
      <c r="I52" s="40" t="s">
        <v>274</v>
      </c>
      <c r="J52" s="41">
        <v>5</v>
      </c>
      <c r="K52" s="496">
        <v>1254</v>
      </c>
      <c r="L52" s="41"/>
      <c r="M52" s="42">
        <v>300</v>
      </c>
      <c r="N52" s="42">
        <v>631.58000000000004</v>
      </c>
      <c r="O52" s="43">
        <v>6270</v>
      </c>
      <c r="P52" s="44">
        <v>1500</v>
      </c>
      <c r="Q52" s="44">
        <v>3157.9</v>
      </c>
      <c r="R52" s="45">
        <v>46.674900000000001</v>
      </c>
      <c r="S52" s="46">
        <v>0</v>
      </c>
      <c r="T52" s="39">
        <f t="shared" si="19"/>
        <v>20</v>
      </c>
      <c r="U52" s="47">
        <f t="shared" si="20"/>
        <v>9.2461281488144656E-2</v>
      </c>
      <c r="V52" s="48">
        <f t="shared" si="21"/>
        <v>331.58000000000004</v>
      </c>
      <c r="W52" s="49">
        <f t="shared" si="22"/>
        <v>4.6230640744072326E-3</v>
      </c>
      <c r="X52" s="44">
        <f t="shared" si="23"/>
        <v>1088.4862435124746</v>
      </c>
      <c r="Y52" s="44">
        <f t="shared" si="24"/>
        <v>1657.9</v>
      </c>
      <c r="Z52" s="44">
        <f t="shared" si="25"/>
        <v>5439.4857709792868</v>
      </c>
      <c r="AA52" s="50">
        <f t="shared" si="26"/>
        <v>4246.3862435124747</v>
      </c>
      <c r="AB52" s="51">
        <f t="shared" si="27"/>
        <v>5093.1514709543881</v>
      </c>
      <c r="AC52" s="44">
        <f t="shared" si="28"/>
        <v>3976.0170819405193</v>
      </c>
      <c r="AD52" s="44">
        <f t="shared" si="29"/>
        <v>2511.2752047256836</v>
      </c>
      <c r="AE52" s="44">
        <f t="shared" si="30"/>
        <v>0</v>
      </c>
      <c r="AF52" s="52">
        <f>HLOOKUP(I52,ElecAvoidedCostsWOCC!$A$5:$Q$50,G52+1,FALSE)</f>
        <v>1.6314674491379657</v>
      </c>
      <c r="AG52" s="44">
        <f t="shared" si="31"/>
        <v>10229.300906095044</v>
      </c>
      <c r="AH52" s="52">
        <f>HLOOKUP(I52,ElecAvoidedCostsWOCC!$A$5:$Q$50,T52+1,FALSE)</f>
        <v>1.6314674491379657</v>
      </c>
      <c r="AI52" s="44">
        <f t="shared" si="32"/>
        <v>0</v>
      </c>
      <c r="AJ52" s="44">
        <f t="shared" si="33"/>
        <v>10229.300906095044</v>
      </c>
      <c r="AK52" s="44">
        <f>HLOOKUP(I52,ElecAvoidedCostsWOCC!$A$5:$Q$50,G52+1,FALSE)*J52*L52</f>
        <v>0</v>
      </c>
      <c r="AL52" s="44">
        <f t="shared" si="34"/>
        <v>10229.300906095044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10229.300906095046</v>
      </c>
      <c r="AN52" s="48">
        <f t="shared" si="35"/>
        <v>13763.506201430235</v>
      </c>
      <c r="AO52" s="47">
        <f t="shared" si="36"/>
        <v>2.0084423101161395</v>
      </c>
      <c r="AP52" s="47">
        <f t="shared" si="37"/>
        <v>3.4616315568525855</v>
      </c>
    </row>
    <row r="53" spans="2:42" x14ac:dyDescent="0.35">
      <c r="B53" s="97" t="s">
        <v>15</v>
      </c>
      <c r="C53" s="61">
        <v>18230627</v>
      </c>
      <c r="D53" s="61" t="s">
        <v>76</v>
      </c>
      <c r="E53" s="38" t="s">
        <v>787</v>
      </c>
      <c r="F53" s="39" t="s">
        <v>788</v>
      </c>
      <c r="G53" s="39">
        <v>20</v>
      </c>
      <c r="H53" s="39"/>
      <c r="I53" s="40" t="s">
        <v>274</v>
      </c>
      <c r="J53" s="41">
        <v>35</v>
      </c>
      <c r="K53" s="496">
        <v>0</v>
      </c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1.6314674491379657</v>
      </c>
      <c r="AG53" s="44">
        <f t="shared" si="31"/>
        <v>0</v>
      </c>
      <c r="AH53" s="52">
        <f>HLOOKUP(I53,ElecAvoidedCostsWOCC!$A$5:$Q$50,T53+1,FALSE)</f>
        <v>1.6314674491379657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97" t="s">
        <v>15</v>
      </c>
      <c r="C54" s="61">
        <v>18230627</v>
      </c>
      <c r="D54" s="61" t="s">
        <v>76</v>
      </c>
      <c r="E54" s="38" t="s">
        <v>789</v>
      </c>
      <c r="F54" s="39" t="s">
        <v>788</v>
      </c>
      <c r="G54" s="39">
        <v>20</v>
      </c>
      <c r="H54" s="39"/>
      <c r="I54" s="40" t="s">
        <v>274</v>
      </c>
      <c r="J54" s="41">
        <v>144</v>
      </c>
      <c r="K54" s="496">
        <v>0</v>
      </c>
      <c r="L54" s="41"/>
      <c r="M54" s="42"/>
      <c r="N54" s="42"/>
      <c r="O54" s="43">
        <v>0</v>
      </c>
      <c r="P54" s="44">
        <v>0</v>
      </c>
      <c r="Q54" s="44">
        <v>0</v>
      </c>
      <c r="R54" s="45">
        <v>40.396900000000002</v>
      </c>
      <c r="S54" s="46">
        <v>0</v>
      </c>
      <c r="T54" s="39">
        <f t="shared" si="19"/>
        <v>20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62596.700144020644</v>
      </c>
      <c r="AE54" s="44">
        <f t="shared" si="30"/>
        <v>0</v>
      </c>
      <c r="AF54" s="52">
        <f>HLOOKUP(I54,ElecAvoidedCostsWOCC!$A$5:$Q$50,G54+1,FALSE)</f>
        <v>1.6314674491379657</v>
      </c>
      <c r="AG54" s="44">
        <f t="shared" si="31"/>
        <v>0</v>
      </c>
      <c r="AH54" s="52">
        <f>HLOOKUP(I54,ElecAvoidedCostsWOCC!$A$5:$Q$50,T54+1,FALSE)</f>
        <v>1.6314674491379657</v>
      </c>
      <c r="AI54" s="44">
        <f t="shared" si="32"/>
        <v>0</v>
      </c>
      <c r="AJ54" s="44">
        <f t="shared" si="33"/>
        <v>0</v>
      </c>
      <c r="AK54" s="44">
        <f>HLOOKUP(I54,ElecAvoidedCostsWOCC!$A$5:$Q$50,G54+1,FALSE)*J54*L54</f>
        <v>0</v>
      </c>
      <c r="AL54" s="44">
        <f t="shared" si="34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62596.700144020644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97" t="s">
        <v>15</v>
      </c>
      <c r="C55" s="61">
        <v>18230627</v>
      </c>
      <c r="D55" s="61" t="s">
        <v>76</v>
      </c>
      <c r="E55" s="38" t="s">
        <v>790</v>
      </c>
      <c r="F55" s="39" t="s">
        <v>791</v>
      </c>
      <c r="G55" s="39">
        <v>20</v>
      </c>
      <c r="H55" s="39"/>
      <c r="I55" s="40" t="s">
        <v>274</v>
      </c>
      <c r="J55" s="41">
        <v>3</v>
      </c>
      <c r="K55" s="496">
        <v>848</v>
      </c>
      <c r="L55" s="41"/>
      <c r="M55" s="42">
        <v>300</v>
      </c>
      <c r="N55" s="42">
        <v>631.58000000000004</v>
      </c>
      <c r="O55" s="43">
        <v>2544</v>
      </c>
      <c r="P55" s="44">
        <v>874.51</v>
      </c>
      <c r="Q55" s="44">
        <v>1894.74</v>
      </c>
      <c r="R55" s="45">
        <v>0</v>
      </c>
      <c r="S55" s="46">
        <v>0</v>
      </c>
      <c r="T55" s="39">
        <f t="shared" si="19"/>
        <v>20</v>
      </c>
      <c r="U55" s="47">
        <f t="shared" si="20"/>
        <v>3.7515390766481659E-2</v>
      </c>
      <c r="V55" s="48">
        <f t="shared" si="21"/>
        <v>331.58000000000004</v>
      </c>
      <c r="W55" s="49">
        <f t="shared" si="22"/>
        <v>1.875769538324083E-3</v>
      </c>
      <c r="X55" s="44">
        <f t="shared" si="23"/>
        <v>441.64417918592278</v>
      </c>
      <c r="Y55" s="44">
        <f t="shared" si="24"/>
        <v>1020.23</v>
      </c>
      <c r="Z55" s="44">
        <f t="shared" si="25"/>
        <v>2207.0258056413563</v>
      </c>
      <c r="AA55" s="50">
        <f t="shared" si="26"/>
        <v>2336.3841791859227</v>
      </c>
      <c r="AB55" s="51">
        <f t="shared" si="27"/>
        <v>2066.5035633346033</v>
      </c>
      <c r="AC55" s="44">
        <f t="shared" si="28"/>
        <v>2187.6256359418749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1.6314674491379657</v>
      </c>
      <c r="AG55" s="44">
        <f t="shared" si="31"/>
        <v>4150.4531906069851</v>
      </c>
      <c r="AH55" s="52">
        <f>HLOOKUP(I55,ElecAvoidedCostsWOCC!$A$5:$Q$50,T55+1,FALSE)</f>
        <v>1.6314674491379657</v>
      </c>
      <c r="AI55" s="44">
        <f t="shared" si="32"/>
        <v>0</v>
      </c>
      <c r="AJ55" s="44">
        <f t="shared" si="33"/>
        <v>4150.4531906069851</v>
      </c>
      <c r="AK55" s="44">
        <f>HLOOKUP(I55,ElecAvoidedCostsWOCC!$A$5:$Q$50,G55+1,FALSE)*J55*L55</f>
        <v>0</v>
      </c>
      <c r="AL55" s="44">
        <f t="shared" si="34"/>
        <v>4150.4531906069851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4150.4531906069851</v>
      </c>
      <c r="AN55" s="48">
        <f t="shared" si="35"/>
        <v>4565.4985096676837</v>
      </c>
      <c r="AO55" s="47">
        <f t="shared" si="36"/>
        <v>2.0084423101161395</v>
      </c>
      <c r="AP55" s="47">
        <f t="shared" si="37"/>
        <v>2.0869651711235426</v>
      </c>
    </row>
    <row r="56" spans="2:42" x14ac:dyDescent="0.35">
      <c r="B56" s="97" t="s">
        <v>15</v>
      </c>
      <c r="C56" s="61">
        <v>18230627</v>
      </c>
      <c r="D56" s="61" t="s">
        <v>76</v>
      </c>
      <c r="E56" s="38" t="s">
        <v>792</v>
      </c>
      <c r="F56" s="39" t="s">
        <v>791</v>
      </c>
      <c r="G56" s="39">
        <v>20</v>
      </c>
      <c r="H56" s="39"/>
      <c r="I56" s="40" t="s">
        <v>274</v>
      </c>
      <c r="J56" s="41">
        <v>19</v>
      </c>
      <c r="K56" s="496">
        <v>848</v>
      </c>
      <c r="L56" s="41"/>
      <c r="M56" s="42">
        <v>300</v>
      </c>
      <c r="N56" s="42">
        <v>631.58000000000004</v>
      </c>
      <c r="O56" s="43">
        <v>16112</v>
      </c>
      <c r="P56" s="44">
        <v>5700</v>
      </c>
      <c r="Q56" s="44">
        <v>12000.02</v>
      </c>
      <c r="R56" s="45">
        <v>33.346699999999998</v>
      </c>
      <c r="S56" s="46">
        <v>0</v>
      </c>
      <c r="T56" s="39">
        <f t="shared" si="19"/>
        <v>20</v>
      </c>
      <c r="U56" s="47">
        <f t="shared" si="20"/>
        <v>0.23759747485438384</v>
      </c>
      <c r="V56" s="48">
        <f t="shared" si="21"/>
        <v>331.58000000000004</v>
      </c>
      <c r="W56" s="49">
        <f t="shared" si="22"/>
        <v>1.1879873742719193E-2</v>
      </c>
      <c r="X56" s="44">
        <f t="shared" si="23"/>
        <v>2797.0798015108444</v>
      </c>
      <c r="Y56" s="44">
        <f t="shared" si="24"/>
        <v>6300.02</v>
      </c>
      <c r="Z56" s="44">
        <f t="shared" si="25"/>
        <v>13977.830102395259</v>
      </c>
      <c r="AA56" s="50">
        <f t="shared" si="26"/>
        <v>14797.099801510845</v>
      </c>
      <c r="AB56" s="51">
        <f t="shared" si="27"/>
        <v>13087.855901119156</v>
      </c>
      <c r="AC56" s="44">
        <f t="shared" si="28"/>
        <v>13854.96236096521</v>
      </c>
      <c r="AD56" s="44">
        <f t="shared" si="29"/>
        <v>6817.8488931699603</v>
      </c>
      <c r="AE56" s="44">
        <f t="shared" si="30"/>
        <v>0</v>
      </c>
      <c r="AF56" s="52">
        <f>HLOOKUP(I56,ElecAvoidedCostsWOCC!$A$5:$Q$50,G56+1,FALSE)</f>
        <v>1.6314674491379657</v>
      </c>
      <c r="AG56" s="44">
        <f t="shared" si="31"/>
        <v>26286.203540510905</v>
      </c>
      <c r="AH56" s="52">
        <f>HLOOKUP(I56,ElecAvoidedCostsWOCC!$A$5:$Q$50,T56+1,FALSE)</f>
        <v>1.6314674491379657</v>
      </c>
      <c r="AI56" s="44">
        <f t="shared" si="32"/>
        <v>0</v>
      </c>
      <c r="AJ56" s="44">
        <f t="shared" si="33"/>
        <v>26286.203540510905</v>
      </c>
      <c r="AK56" s="44">
        <f>HLOOKUP(I56,ElecAvoidedCostsWOCC!$A$5:$Q$50,G56+1,FALSE)*J56*L56</f>
        <v>0</v>
      </c>
      <c r="AL56" s="44">
        <f t="shared" si="34"/>
        <v>26286.203540510905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26286.203540510905</v>
      </c>
      <c r="AN56" s="48">
        <f t="shared" si="35"/>
        <v>35732.672787731957</v>
      </c>
      <c r="AO56" s="47">
        <f t="shared" si="36"/>
        <v>2.0084423101161395</v>
      </c>
      <c r="AP56" s="47">
        <f t="shared" si="37"/>
        <v>2.5790523176305928</v>
      </c>
    </row>
    <row r="57" spans="2:42" x14ac:dyDescent="0.35">
      <c r="B57" s="97" t="s">
        <v>15</v>
      </c>
      <c r="C57" s="61">
        <v>18230627</v>
      </c>
      <c r="D57" s="61" t="s">
        <v>76</v>
      </c>
      <c r="E57" s="38" t="s">
        <v>793</v>
      </c>
      <c r="F57" s="39" t="s">
        <v>794</v>
      </c>
      <c r="G57" s="39">
        <v>45</v>
      </c>
      <c r="H57" s="39"/>
      <c r="I57" s="40" t="s">
        <v>274</v>
      </c>
      <c r="J57" s="41">
        <v>6480</v>
      </c>
      <c r="K57" s="496">
        <v>1.0428996913580246</v>
      </c>
      <c r="L57" s="41"/>
      <c r="M57" s="42">
        <v>0.75</v>
      </c>
      <c r="N57" s="42">
        <v>1.56</v>
      </c>
      <c r="O57" s="43">
        <v>6757.99</v>
      </c>
      <c r="P57" s="44">
        <v>2393.73</v>
      </c>
      <c r="Q57" s="44">
        <v>10108.799999999999</v>
      </c>
      <c r="R57" s="45">
        <v>0</v>
      </c>
      <c r="S57" s="46">
        <v>0</v>
      </c>
      <c r="T57" s="39">
        <f t="shared" si="19"/>
        <v>45</v>
      </c>
      <c r="U57" s="47">
        <f t="shared" si="20"/>
        <v>0.22422933577179424</v>
      </c>
      <c r="V57" s="48">
        <f t="shared" si="21"/>
        <v>0.81</v>
      </c>
      <c r="W57" s="49">
        <f t="shared" si="22"/>
        <v>4.9828741282620945E-3</v>
      </c>
      <c r="X57" s="44">
        <f t="shared" si="23"/>
        <v>1173.2024160757367</v>
      </c>
      <c r="Y57" s="44">
        <f t="shared" si="24"/>
        <v>7715.07</v>
      </c>
      <c r="Z57" s="44">
        <f t="shared" si="25"/>
        <v>5862.8373916140836</v>
      </c>
      <c r="AA57" s="50">
        <f t="shared" si="26"/>
        <v>11282.002416075737</v>
      </c>
      <c r="AB57" s="51">
        <f t="shared" si="27"/>
        <v>5489.5481194888416</v>
      </c>
      <c r="AC57" s="44">
        <f t="shared" si="28"/>
        <v>10563.672674228217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3.2695302314196475</v>
      </c>
      <c r="AG57" s="44">
        <f t="shared" si="31"/>
        <v>22095.452608631662</v>
      </c>
      <c r="AH57" s="52">
        <f>HLOOKUP(I57,ElecAvoidedCostsWOCC!$A$5:$Q$50,T57+1,FALSE)</f>
        <v>3.2695302314196475</v>
      </c>
      <c r="AI57" s="44">
        <f t="shared" si="32"/>
        <v>0</v>
      </c>
      <c r="AJ57" s="44">
        <f t="shared" si="33"/>
        <v>22095.452608631662</v>
      </c>
      <c r="AK57" s="44">
        <f>HLOOKUP(I57,ElecAvoidedCostsWOCC!$A$5:$Q$50,G57+1,FALSE)*J57*L57</f>
        <v>0</v>
      </c>
      <c r="AL57" s="44">
        <f t="shared" si="34"/>
        <v>22095.452608631662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22095.452608631662</v>
      </c>
      <c r="AN57" s="48">
        <f t="shared" si="35"/>
        <v>24304.99786949483</v>
      </c>
      <c r="AO57" s="47">
        <f t="shared" si="36"/>
        <v>4.0250039033611893</v>
      </c>
      <c r="AP57" s="47">
        <f t="shared" si="37"/>
        <v>2.3008094456382384</v>
      </c>
    </row>
    <row r="58" spans="2:42" x14ac:dyDescent="0.35">
      <c r="B58" s="97" t="s">
        <v>15</v>
      </c>
      <c r="C58" s="61">
        <v>18230627</v>
      </c>
      <c r="D58" s="61" t="s">
        <v>76</v>
      </c>
      <c r="E58" s="38" t="s">
        <v>795</v>
      </c>
      <c r="F58" s="39" t="s">
        <v>794</v>
      </c>
      <c r="G58" s="39">
        <v>45</v>
      </c>
      <c r="H58" s="39"/>
      <c r="I58" s="40" t="s">
        <v>274</v>
      </c>
      <c r="J58" s="41">
        <v>3955</v>
      </c>
      <c r="K58" s="496">
        <v>1.0428975979772439</v>
      </c>
      <c r="L58" s="41"/>
      <c r="M58" s="42">
        <v>0.75</v>
      </c>
      <c r="N58" s="42">
        <v>1.56</v>
      </c>
      <c r="O58" s="43">
        <v>4124.66</v>
      </c>
      <c r="P58" s="44">
        <v>2966.25</v>
      </c>
      <c r="Q58" s="44">
        <v>6169.8</v>
      </c>
      <c r="R58" s="45">
        <v>0.01</v>
      </c>
      <c r="S58" s="46">
        <v>0</v>
      </c>
      <c r="T58" s="39">
        <f t="shared" si="19"/>
        <v>45</v>
      </c>
      <c r="U58" s="47">
        <f t="shared" si="20"/>
        <v>0.13685574735749667</v>
      </c>
      <c r="V58" s="48">
        <f t="shared" si="21"/>
        <v>0.81</v>
      </c>
      <c r="W58" s="49">
        <f t="shared" si="22"/>
        <v>3.0412388301665929E-3</v>
      </c>
      <c r="X58" s="44">
        <f t="shared" si="23"/>
        <v>716.05034595951588</v>
      </c>
      <c r="Y58" s="44">
        <f t="shared" si="24"/>
        <v>3203.55</v>
      </c>
      <c r="Z58" s="44">
        <f t="shared" si="25"/>
        <v>3578.3140957141031</v>
      </c>
      <c r="AA58" s="50">
        <f t="shared" si="26"/>
        <v>6885.8503459595158</v>
      </c>
      <c r="AB58" s="51">
        <f t="shared" si="27"/>
        <v>3350.4813630281865</v>
      </c>
      <c r="AC58" s="44">
        <f t="shared" si="28"/>
        <v>6447.4254175650894</v>
      </c>
      <c r="AD58" s="44">
        <f t="shared" si="29"/>
        <v>551.49235930348732</v>
      </c>
      <c r="AE58" s="44">
        <f t="shared" si="30"/>
        <v>0</v>
      </c>
      <c r="AF58" s="52">
        <f>HLOOKUP(I58,ElecAvoidedCostsWOCC!$A$5:$Q$50,G58+1,FALSE)</f>
        <v>3.2695302314196475</v>
      </c>
      <c r="AG58" s="44">
        <f t="shared" si="31"/>
        <v>13485.700564327361</v>
      </c>
      <c r="AH58" s="52">
        <f>HLOOKUP(I58,ElecAvoidedCostsWOCC!$A$5:$Q$50,T58+1,FALSE)</f>
        <v>3.2695302314196475</v>
      </c>
      <c r="AI58" s="44">
        <f t="shared" si="32"/>
        <v>0</v>
      </c>
      <c r="AJ58" s="44">
        <f t="shared" si="33"/>
        <v>13485.700564327361</v>
      </c>
      <c r="AK58" s="44">
        <f>HLOOKUP(I58,ElecAvoidedCostsWOCC!$A$5:$Q$50,G58+1,FALSE)*J58*L58</f>
        <v>0</v>
      </c>
      <c r="AL58" s="44">
        <f t="shared" si="34"/>
        <v>13485.700564327361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13485.700564327362</v>
      </c>
      <c r="AN58" s="48">
        <f t="shared" si="35"/>
        <v>15385.762980063588</v>
      </c>
      <c r="AO58" s="47">
        <f t="shared" si="36"/>
        <v>4.0250039033611875</v>
      </c>
      <c r="AP58" s="47">
        <f t="shared" si="37"/>
        <v>2.3863421418024124</v>
      </c>
    </row>
    <row r="59" spans="2:42" x14ac:dyDescent="0.35">
      <c r="B59" s="97" t="s">
        <v>15</v>
      </c>
      <c r="C59" s="61">
        <v>18230627</v>
      </c>
      <c r="D59" s="61" t="s">
        <v>76</v>
      </c>
      <c r="E59" s="38" t="s">
        <v>796</v>
      </c>
      <c r="F59" s="39" t="s">
        <v>797</v>
      </c>
      <c r="G59" s="39">
        <v>45</v>
      </c>
      <c r="H59" s="39"/>
      <c r="I59" s="40" t="s">
        <v>274</v>
      </c>
      <c r="J59" s="41">
        <v>35478</v>
      </c>
      <c r="K59" s="496">
        <v>6.2700264952928575E-2</v>
      </c>
      <c r="L59" s="41"/>
      <c r="M59" s="42">
        <v>0</v>
      </c>
      <c r="N59" s="42">
        <v>0</v>
      </c>
      <c r="O59" s="43">
        <v>2224.48</v>
      </c>
      <c r="P59" s="44">
        <v>0</v>
      </c>
      <c r="Q59" s="44">
        <v>0</v>
      </c>
      <c r="R59" s="45">
        <v>0</v>
      </c>
      <c r="S59" s="46">
        <v>0</v>
      </c>
      <c r="T59" s="39">
        <f t="shared" si="19"/>
        <v>45</v>
      </c>
      <c r="U59" s="47">
        <f t="shared" si="20"/>
        <v>7.3807992145244514E-2</v>
      </c>
      <c r="V59" s="48">
        <f t="shared" si="21"/>
        <v>0</v>
      </c>
      <c r="W59" s="49">
        <f t="shared" si="22"/>
        <v>1.6401776032276558E-3</v>
      </c>
      <c r="X59" s="44">
        <f t="shared" si="23"/>
        <v>386.17478133470973</v>
      </c>
      <c r="Y59" s="44">
        <f t="shared" si="24"/>
        <v>0</v>
      </c>
      <c r="Z59" s="44">
        <f t="shared" si="25"/>
        <v>1929.8289167189798</v>
      </c>
      <c r="AA59" s="50">
        <f t="shared" si="26"/>
        <v>386.17478133470973</v>
      </c>
      <c r="AB59" s="51">
        <f t="shared" si="27"/>
        <v>1806.9559145308799</v>
      </c>
      <c r="AC59" s="44">
        <f t="shared" si="28"/>
        <v>361.58687390890424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3.2695302314196475</v>
      </c>
      <c r="AG59" s="44">
        <f t="shared" si="31"/>
        <v>7273.0046091883778</v>
      </c>
      <c r="AH59" s="52">
        <f>HLOOKUP(I59,ElecAvoidedCostsWOCC!$A$5:$Q$50,T59+1,FALSE)</f>
        <v>3.2695302314196475</v>
      </c>
      <c r="AI59" s="44">
        <f t="shared" si="32"/>
        <v>0</v>
      </c>
      <c r="AJ59" s="44">
        <f t="shared" si="33"/>
        <v>7273.0046091883778</v>
      </c>
      <c r="AK59" s="44">
        <f>HLOOKUP(I59,ElecAvoidedCostsWOCC!$A$5:$Q$50,G59+1,FALSE)*J59*L59</f>
        <v>0</v>
      </c>
      <c r="AL59" s="44">
        <f t="shared" si="34"/>
        <v>7273.0046091883778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7273.0046091883778</v>
      </c>
      <c r="AN59" s="48">
        <f t="shared" si="35"/>
        <v>8000.3050701072161</v>
      </c>
      <c r="AO59" s="47">
        <f t="shared" si="36"/>
        <v>4.0250039033611884</v>
      </c>
      <c r="AP59" s="47">
        <f t="shared" si="37"/>
        <v>22.12554063044545</v>
      </c>
    </row>
    <row r="60" spans="2:42" x14ac:dyDescent="0.35">
      <c r="B60" s="97" t="s">
        <v>15</v>
      </c>
      <c r="C60" s="61">
        <v>18230627</v>
      </c>
      <c r="D60" s="61" t="s">
        <v>76</v>
      </c>
      <c r="E60" s="38" t="s">
        <v>798</v>
      </c>
      <c r="F60" s="39" t="s">
        <v>797</v>
      </c>
      <c r="G60" s="39">
        <v>45</v>
      </c>
      <c r="H60" s="39"/>
      <c r="I60" s="40" t="s">
        <v>274</v>
      </c>
      <c r="J60" s="41">
        <v>124604</v>
      </c>
      <c r="K60" s="496">
        <v>6.2699833071169456E-2</v>
      </c>
      <c r="L60" s="41"/>
      <c r="M60" s="42">
        <v>0</v>
      </c>
      <c r="N60" s="42">
        <v>0</v>
      </c>
      <c r="O60" s="43">
        <v>7812.65</v>
      </c>
      <c r="P60" s="44">
        <v>0</v>
      </c>
      <c r="Q60" s="44">
        <v>0</v>
      </c>
      <c r="R60" s="45">
        <v>4.1700000000000001E-2</v>
      </c>
      <c r="S60" s="46">
        <v>0</v>
      </c>
      <c r="T60" s="39">
        <f t="shared" si="19"/>
        <v>45</v>
      </c>
      <c r="U60" s="47">
        <f t="shared" si="20"/>
        <v>0.25922283402572488</v>
      </c>
      <c r="V60" s="48">
        <f t="shared" si="21"/>
        <v>0</v>
      </c>
      <c r="W60" s="49">
        <f t="shared" si="22"/>
        <v>5.7605074227938865E-3</v>
      </c>
      <c r="X60" s="44">
        <f t="shared" si="23"/>
        <v>1356.2937879390329</v>
      </c>
      <c r="Y60" s="44">
        <f t="shared" si="24"/>
        <v>0</v>
      </c>
      <c r="Z60" s="44">
        <f t="shared" si="25"/>
        <v>6777.7988052059527</v>
      </c>
      <c r="AA60" s="50">
        <f t="shared" si="26"/>
        <v>1356.2937879390329</v>
      </c>
      <c r="AB60" s="51">
        <f t="shared" si="27"/>
        <v>6346.2535629269214</v>
      </c>
      <c r="AC60" s="44">
        <f t="shared" si="28"/>
        <v>1269.938003688233</v>
      </c>
      <c r="AD60" s="44">
        <f t="shared" si="29"/>
        <v>72453.780511802208</v>
      </c>
      <c r="AE60" s="44">
        <f t="shared" si="30"/>
        <v>0</v>
      </c>
      <c r="AF60" s="52">
        <f>HLOOKUP(I60,ElecAvoidedCostsWOCC!$A$5:$Q$50,G60+1,FALSE)</f>
        <v>3.2695302314196475</v>
      </c>
      <c r="AG60" s="44">
        <f t="shared" si="31"/>
        <v>25543.695362500705</v>
      </c>
      <c r="AH60" s="52">
        <f>HLOOKUP(I60,ElecAvoidedCostsWOCC!$A$5:$Q$50,T60+1,FALSE)</f>
        <v>3.2695302314196475</v>
      </c>
      <c r="AI60" s="44">
        <f t="shared" si="32"/>
        <v>0</v>
      </c>
      <c r="AJ60" s="44">
        <f t="shared" si="33"/>
        <v>25543.695362500705</v>
      </c>
      <c r="AK60" s="44">
        <f>HLOOKUP(I60,ElecAvoidedCostsWOCC!$A$5:$Q$50,G60+1,FALSE)*J60*L60</f>
        <v>0</v>
      </c>
      <c r="AL60" s="44">
        <f t="shared" si="34"/>
        <v>25543.695362500705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25543.695362500705</v>
      </c>
      <c r="AN60" s="48">
        <f t="shared" si="35"/>
        <v>100551.84541055298</v>
      </c>
      <c r="AO60" s="47">
        <f t="shared" si="36"/>
        <v>4.0250039033611875</v>
      </c>
      <c r="AP60" s="47">
        <f t="shared" si="37"/>
        <v>79.178546605050045</v>
      </c>
    </row>
    <row r="61" spans="2:42" x14ac:dyDescent="0.35">
      <c r="B61" s="97" t="s">
        <v>15</v>
      </c>
      <c r="C61" s="61">
        <v>18230627</v>
      </c>
      <c r="D61" s="61" t="s">
        <v>76</v>
      </c>
      <c r="E61" s="38" t="s">
        <v>799</v>
      </c>
      <c r="F61" s="39" t="s">
        <v>800</v>
      </c>
      <c r="G61" s="39">
        <v>45</v>
      </c>
      <c r="H61" s="39"/>
      <c r="I61" s="40" t="s">
        <v>274</v>
      </c>
      <c r="J61" s="41">
        <v>13892</v>
      </c>
      <c r="K61" s="496">
        <v>0.59490066225165572</v>
      </c>
      <c r="L61" s="41"/>
      <c r="M61" s="42">
        <v>0.75</v>
      </c>
      <c r="N61" s="42">
        <v>1.56</v>
      </c>
      <c r="O61" s="43">
        <v>8264.36</v>
      </c>
      <c r="P61" s="44">
        <v>10419</v>
      </c>
      <c r="Q61" s="44">
        <v>21671.52</v>
      </c>
      <c r="R61" s="45">
        <v>5.7000000000000002E-3</v>
      </c>
      <c r="S61" s="46">
        <v>0</v>
      </c>
      <c r="T61" s="39">
        <f t="shared" si="19"/>
        <v>45</v>
      </c>
      <c r="U61" s="47">
        <f t="shared" si="20"/>
        <v>0.27421052019594372</v>
      </c>
      <c r="V61" s="48">
        <f t="shared" si="21"/>
        <v>0.81</v>
      </c>
      <c r="W61" s="49">
        <f t="shared" si="22"/>
        <v>6.0935671154654161E-3</v>
      </c>
      <c r="X61" s="44">
        <f t="shared" si="23"/>
        <v>1434.711670085288</v>
      </c>
      <c r="Y61" s="44">
        <f t="shared" si="24"/>
        <v>11252.52</v>
      </c>
      <c r="Z61" s="44">
        <f t="shared" si="25"/>
        <v>7169.6760169458339</v>
      </c>
      <c r="AA61" s="50">
        <f t="shared" si="26"/>
        <v>23106.23167008529</v>
      </c>
      <c r="AB61" s="51">
        <f t="shared" si="27"/>
        <v>6713.1797911477843</v>
      </c>
      <c r="AC61" s="44">
        <f t="shared" si="28"/>
        <v>21635.048380229669</v>
      </c>
      <c r="AD61" s="44">
        <f t="shared" si="29"/>
        <v>1104.1616074849826</v>
      </c>
      <c r="AE61" s="44">
        <f t="shared" si="30"/>
        <v>0</v>
      </c>
      <c r="AF61" s="52">
        <f>HLOOKUP(I61,ElecAvoidedCostsWOCC!$A$5:$Q$50,G61+1,FALSE)</f>
        <v>3.2695302314196475</v>
      </c>
      <c r="AG61" s="44">
        <f t="shared" si="31"/>
        <v>27020.574863335281</v>
      </c>
      <c r="AH61" s="52">
        <f>HLOOKUP(I61,ElecAvoidedCostsWOCC!$A$5:$Q$50,T61+1,FALSE)</f>
        <v>3.2695302314196475</v>
      </c>
      <c r="AI61" s="44">
        <f t="shared" si="32"/>
        <v>0</v>
      </c>
      <c r="AJ61" s="44">
        <f t="shared" si="33"/>
        <v>27020.574863335281</v>
      </c>
      <c r="AK61" s="44">
        <f>HLOOKUP(I61,ElecAvoidedCostsWOCC!$A$5:$Q$50,G61+1,FALSE)*J61*L61</f>
        <v>0</v>
      </c>
      <c r="AL61" s="44">
        <f t="shared" si="34"/>
        <v>27020.574863335281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27020.574863335281</v>
      </c>
      <c r="AN61" s="48">
        <f t="shared" si="35"/>
        <v>30826.793957153794</v>
      </c>
      <c r="AO61" s="47">
        <f t="shared" si="36"/>
        <v>4.0250039033611884</v>
      </c>
      <c r="AP61" s="47">
        <f t="shared" si="37"/>
        <v>1.4248544036223942</v>
      </c>
    </row>
    <row r="62" spans="2:42" x14ac:dyDescent="0.35">
      <c r="B62" s="97" t="s">
        <v>15</v>
      </c>
      <c r="C62" s="61">
        <v>18230627</v>
      </c>
      <c r="D62" s="61" t="s">
        <v>76</v>
      </c>
      <c r="E62" s="38" t="s">
        <v>801</v>
      </c>
      <c r="F62" s="39" t="s">
        <v>802</v>
      </c>
      <c r="G62" s="39">
        <v>45</v>
      </c>
      <c r="H62" s="39"/>
      <c r="I62" s="40" t="s">
        <v>274</v>
      </c>
      <c r="J62" s="41">
        <v>4164</v>
      </c>
      <c r="K62" s="496">
        <v>0.84259846301633046</v>
      </c>
      <c r="L62" s="41"/>
      <c r="M62" s="42">
        <v>0.75</v>
      </c>
      <c r="N62" s="42">
        <v>1.56</v>
      </c>
      <c r="O62" s="43">
        <v>3508.58</v>
      </c>
      <c r="P62" s="44">
        <v>2196.9499999999998</v>
      </c>
      <c r="Q62" s="44">
        <v>6495.84</v>
      </c>
      <c r="R62" s="45">
        <v>0</v>
      </c>
      <c r="S62" s="46">
        <v>0</v>
      </c>
      <c r="T62" s="39">
        <f t="shared" si="19"/>
        <v>45</v>
      </c>
      <c r="U62" s="47">
        <f t="shared" si="20"/>
        <v>0.11641428337452438</v>
      </c>
      <c r="V62" s="48">
        <f t="shared" si="21"/>
        <v>0.81</v>
      </c>
      <c r="W62" s="49">
        <f t="shared" si="22"/>
        <v>2.5869840749894305E-3</v>
      </c>
      <c r="X62" s="44">
        <f t="shared" si="23"/>
        <v>609.09745841515132</v>
      </c>
      <c r="Y62" s="44">
        <f t="shared" si="24"/>
        <v>4298.8900000000003</v>
      </c>
      <c r="Z62" s="44">
        <f t="shared" si="25"/>
        <v>3043.8390727818987</v>
      </c>
      <c r="AA62" s="50">
        <f t="shared" si="26"/>
        <v>7104.9374584151519</v>
      </c>
      <c r="AB62" s="51">
        <f t="shared" si="27"/>
        <v>2850.0365850017779</v>
      </c>
      <c r="AC62" s="44">
        <f t="shared" si="28"/>
        <v>6652.5631633100666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3.2695302314196475</v>
      </c>
      <c r="AG62" s="44">
        <f t="shared" si="31"/>
        <v>11471.408379354347</v>
      </c>
      <c r="AH62" s="52">
        <f>HLOOKUP(I62,ElecAvoidedCostsWOCC!$A$5:$Q$50,T62+1,FALSE)</f>
        <v>3.2695302314196475</v>
      </c>
      <c r="AI62" s="44">
        <f t="shared" si="32"/>
        <v>0</v>
      </c>
      <c r="AJ62" s="44">
        <f t="shared" si="33"/>
        <v>11471.408379354347</v>
      </c>
      <c r="AK62" s="44">
        <f>HLOOKUP(I62,ElecAvoidedCostsWOCC!$A$5:$Q$50,G62+1,FALSE)*J62*L62</f>
        <v>0</v>
      </c>
      <c r="AL62" s="44">
        <f t="shared" si="34"/>
        <v>11471.408379354347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11471.408379354347</v>
      </c>
      <c r="AN62" s="48">
        <f t="shared" si="35"/>
        <v>12618.549217289783</v>
      </c>
      <c r="AO62" s="47">
        <f t="shared" si="36"/>
        <v>4.0250039033611884</v>
      </c>
      <c r="AP62" s="47">
        <f t="shared" si="37"/>
        <v>1.8967951010045374</v>
      </c>
    </row>
    <row r="63" spans="2:42" x14ac:dyDescent="0.35">
      <c r="B63" s="97" t="s">
        <v>15</v>
      </c>
      <c r="C63" s="61">
        <v>18230627</v>
      </c>
      <c r="D63" s="61" t="s">
        <v>76</v>
      </c>
      <c r="E63" s="38" t="s">
        <v>803</v>
      </c>
      <c r="F63" s="39" t="s">
        <v>802</v>
      </c>
      <c r="G63" s="39">
        <v>45</v>
      </c>
      <c r="H63" s="39"/>
      <c r="I63" s="40" t="s">
        <v>274</v>
      </c>
      <c r="J63" s="41">
        <v>8007</v>
      </c>
      <c r="K63" s="496">
        <v>0.8425989758960909</v>
      </c>
      <c r="L63" s="41"/>
      <c r="M63" s="42">
        <v>0.75</v>
      </c>
      <c r="N63" s="42">
        <v>1.56</v>
      </c>
      <c r="O63" s="43">
        <v>6746.69</v>
      </c>
      <c r="P63" s="44">
        <v>6005.25</v>
      </c>
      <c r="Q63" s="44">
        <v>12490.92</v>
      </c>
      <c r="R63" s="45">
        <v>8.0000000000000002E-3</v>
      </c>
      <c r="S63" s="46">
        <v>0</v>
      </c>
      <c r="T63" s="39">
        <f t="shared" si="19"/>
        <v>45</v>
      </c>
      <c r="U63" s="47">
        <f t="shared" si="20"/>
        <v>0.22385440306336746</v>
      </c>
      <c r="V63" s="48">
        <f t="shared" si="21"/>
        <v>0.81</v>
      </c>
      <c r="W63" s="49">
        <f t="shared" si="22"/>
        <v>4.9745422902970548E-3</v>
      </c>
      <c r="X63" s="44">
        <f t="shared" si="23"/>
        <v>1171.2407104056106</v>
      </c>
      <c r="Y63" s="44">
        <f t="shared" si="24"/>
        <v>6485.67</v>
      </c>
      <c r="Z63" s="44">
        <f t="shared" si="25"/>
        <v>5853.034171644058</v>
      </c>
      <c r="AA63" s="50">
        <f t="shared" si="26"/>
        <v>13662.160710405611</v>
      </c>
      <c r="AB63" s="51">
        <f t="shared" si="27"/>
        <v>5480.3690745730873</v>
      </c>
      <c r="AC63" s="44">
        <f t="shared" si="28"/>
        <v>12792.28530936855</v>
      </c>
      <c r="AD63" s="44">
        <f t="shared" si="29"/>
        <v>893.20845935636362</v>
      </c>
      <c r="AE63" s="44">
        <f t="shared" si="30"/>
        <v>0</v>
      </c>
      <c r="AF63" s="52">
        <f>HLOOKUP(I63,ElecAvoidedCostsWOCC!$A$5:$Q$50,G63+1,FALSE)</f>
        <v>3.2695302314196475</v>
      </c>
      <c r="AG63" s="44">
        <f t="shared" si="31"/>
        <v>22058.506917016621</v>
      </c>
      <c r="AH63" s="52">
        <f>HLOOKUP(I63,ElecAvoidedCostsWOCC!$A$5:$Q$50,T63+1,FALSE)</f>
        <v>3.2695302314196475</v>
      </c>
      <c r="AI63" s="44">
        <f t="shared" si="32"/>
        <v>0</v>
      </c>
      <c r="AJ63" s="44">
        <f t="shared" si="33"/>
        <v>22058.506917016621</v>
      </c>
      <c r="AK63" s="44">
        <f>HLOOKUP(I63,ElecAvoidedCostsWOCC!$A$5:$Q$50,G63+1,FALSE)*J63*L63</f>
        <v>0</v>
      </c>
      <c r="AL63" s="44">
        <f t="shared" si="34"/>
        <v>22058.506917016621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22058.506917016621</v>
      </c>
      <c r="AN63" s="48">
        <f t="shared" si="35"/>
        <v>25157.566068074648</v>
      </c>
      <c r="AO63" s="47">
        <f t="shared" si="36"/>
        <v>4.0250039033611884</v>
      </c>
      <c r="AP63" s="47">
        <f t="shared" si="37"/>
        <v>1.9666201511039054</v>
      </c>
    </row>
    <row r="64" spans="2:42" x14ac:dyDescent="0.35">
      <c r="B64" s="97" t="s">
        <v>15</v>
      </c>
      <c r="C64" s="61">
        <v>18230627</v>
      </c>
      <c r="D64" s="61" t="s">
        <v>76</v>
      </c>
      <c r="E64" s="38" t="s">
        <v>804</v>
      </c>
      <c r="F64" s="39" t="s">
        <v>805</v>
      </c>
      <c r="G64" s="39">
        <v>25</v>
      </c>
      <c r="H64" s="39"/>
      <c r="I64" s="40" t="s">
        <v>274</v>
      </c>
      <c r="J64" s="41">
        <v>1344</v>
      </c>
      <c r="K64" s="496">
        <v>0.68330357142857145</v>
      </c>
      <c r="L64" s="41"/>
      <c r="M64" s="42">
        <v>1</v>
      </c>
      <c r="N64" s="42">
        <v>3.25</v>
      </c>
      <c r="O64" s="43">
        <v>918.36</v>
      </c>
      <c r="P64" s="44">
        <v>1344</v>
      </c>
      <c r="Q64" s="44">
        <v>4368</v>
      </c>
      <c r="R64" s="45">
        <v>6.4999999999999997E-3</v>
      </c>
      <c r="S64" s="46">
        <v>0</v>
      </c>
      <c r="T64" s="39">
        <f t="shared" si="19"/>
        <v>25</v>
      </c>
      <c r="U64" s="47">
        <f t="shared" si="20"/>
        <v>1.692837768489883E-2</v>
      </c>
      <c r="V64" s="48">
        <f t="shared" si="21"/>
        <v>2.25</v>
      </c>
      <c r="W64" s="49">
        <f t="shared" si="22"/>
        <v>6.7713510739595317E-4</v>
      </c>
      <c r="X64" s="44">
        <f t="shared" si="23"/>
        <v>159.42938223159751</v>
      </c>
      <c r="Y64" s="44">
        <f t="shared" si="24"/>
        <v>3024</v>
      </c>
      <c r="Z64" s="44">
        <f t="shared" si="25"/>
        <v>796.71549483836327</v>
      </c>
      <c r="AA64" s="50">
        <f t="shared" si="26"/>
        <v>4527.4293822315976</v>
      </c>
      <c r="AB64" s="51">
        <f t="shared" si="27"/>
        <v>745.98829104715662</v>
      </c>
      <c r="AC64" s="44">
        <f t="shared" si="28"/>
        <v>4239.1660882318329</v>
      </c>
      <c r="AD64" s="44">
        <f t="shared" si="29"/>
        <v>103.66654981707131</v>
      </c>
      <c r="AE64" s="44">
        <f t="shared" si="30"/>
        <v>0</v>
      </c>
      <c r="AF64" s="52">
        <f>HLOOKUP(I64,ElecAvoidedCostsWOCC!$A$5:$Q$50,G64+1,FALSE)</f>
        <v>1.9455570023927977</v>
      </c>
      <c r="AG64" s="44">
        <f t="shared" si="31"/>
        <v>1786.7217287174499</v>
      </c>
      <c r="AH64" s="52">
        <f>HLOOKUP(I64,ElecAvoidedCostsWOCC!$A$5:$Q$50,T64+1,FALSE)</f>
        <v>1.9455570023927977</v>
      </c>
      <c r="AI64" s="44">
        <f t="shared" si="32"/>
        <v>0</v>
      </c>
      <c r="AJ64" s="44">
        <f t="shared" si="33"/>
        <v>1786.7217287174499</v>
      </c>
      <c r="AK64" s="44">
        <f>HLOOKUP(I64,ElecAvoidedCostsWOCC!$A$5:$Q$50,G64+1,FALSE)*J64*L64</f>
        <v>0</v>
      </c>
      <c r="AL64" s="44">
        <f t="shared" si="34"/>
        <v>1786.7217287174499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1786.7217287174499</v>
      </c>
      <c r="AN64" s="48">
        <f t="shared" si="35"/>
        <v>2069.0604514062661</v>
      </c>
      <c r="AO64" s="47">
        <f t="shared" si="36"/>
        <v>2.3951069341978517</v>
      </c>
      <c r="AP64" s="47">
        <f t="shared" si="37"/>
        <v>0.48808195016234351</v>
      </c>
    </row>
    <row r="65" spans="2:42" x14ac:dyDescent="0.35">
      <c r="B65" s="97" t="s">
        <v>15</v>
      </c>
      <c r="C65" s="61">
        <v>18230627</v>
      </c>
      <c r="D65" s="61" t="s">
        <v>76</v>
      </c>
      <c r="E65" s="38" t="s">
        <v>806</v>
      </c>
      <c r="F65" s="39" t="s">
        <v>807</v>
      </c>
      <c r="G65" s="39">
        <v>25</v>
      </c>
      <c r="H65" s="39"/>
      <c r="I65" s="40" t="s">
        <v>274</v>
      </c>
      <c r="J65" s="41">
        <v>1000</v>
      </c>
      <c r="K65" s="496">
        <v>0.4491</v>
      </c>
      <c r="L65" s="41"/>
      <c r="M65" s="42">
        <v>1</v>
      </c>
      <c r="N65" s="42">
        <v>3.25</v>
      </c>
      <c r="O65" s="43">
        <v>449.1</v>
      </c>
      <c r="P65" s="44">
        <v>1000</v>
      </c>
      <c r="Q65" s="44">
        <v>3250</v>
      </c>
      <c r="R65" s="45">
        <v>4.3E-3</v>
      </c>
      <c r="S65" s="46">
        <v>0</v>
      </c>
      <c r="T65" s="39">
        <f t="shared" si="19"/>
        <v>25</v>
      </c>
      <c r="U65" s="47">
        <f t="shared" si="20"/>
        <v>8.2783814825210852E-3</v>
      </c>
      <c r="V65" s="48">
        <f t="shared" si="21"/>
        <v>2.25</v>
      </c>
      <c r="W65" s="49">
        <f t="shared" si="22"/>
        <v>3.3113525930084342E-4</v>
      </c>
      <c r="X65" s="44">
        <f t="shared" si="23"/>
        <v>77.964780217137545</v>
      </c>
      <c r="Y65" s="44">
        <f t="shared" si="24"/>
        <v>2250</v>
      </c>
      <c r="Z65" s="44">
        <f t="shared" si="25"/>
        <v>389.61292818928189</v>
      </c>
      <c r="AA65" s="50">
        <f t="shared" si="26"/>
        <v>3327.9647802171376</v>
      </c>
      <c r="AB65" s="51">
        <f t="shared" si="27"/>
        <v>364.8061125367808</v>
      </c>
      <c r="AC65" s="44">
        <f t="shared" si="28"/>
        <v>3116.0718915890798</v>
      </c>
      <c r="AD65" s="44">
        <f t="shared" si="29"/>
        <v>51.026346636150031</v>
      </c>
      <c r="AE65" s="44">
        <f t="shared" si="30"/>
        <v>0</v>
      </c>
      <c r="AF65" s="52">
        <f>HLOOKUP(I65,ElecAvoidedCostsWOCC!$A$5:$Q$50,G65+1,FALSE)</f>
        <v>1.9455570023927977</v>
      </c>
      <c r="AG65" s="44">
        <f t="shared" si="31"/>
        <v>873.74964977460547</v>
      </c>
      <c r="AH65" s="52">
        <f>HLOOKUP(I65,ElecAvoidedCostsWOCC!$A$5:$Q$50,T65+1,FALSE)</f>
        <v>1.9455570023927977</v>
      </c>
      <c r="AI65" s="44">
        <f t="shared" si="32"/>
        <v>0</v>
      </c>
      <c r="AJ65" s="44">
        <f t="shared" si="33"/>
        <v>873.74964977460547</v>
      </c>
      <c r="AK65" s="44">
        <f>HLOOKUP(I65,ElecAvoidedCostsWOCC!$A$5:$Q$50,G65+1,FALSE)*J65*L65</f>
        <v>0</v>
      </c>
      <c r="AL65" s="44">
        <f t="shared" si="34"/>
        <v>873.74964977460547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873.74964977460547</v>
      </c>
      <c r="AN65" s="48">
        <f t="shared" si="35"/>
        <v>1012.1509613882162</v>
      </c>
      <c r="AO65" s="47">
        <f t="shared" si="36"/>
        <v>2.3951069341978517</v>
      </c>
      <c r="AP65" s="47">
        <f t="shared" si="37"/>
        <v>0.32481630610648626</v>
      </c>
    </row>
    <row r="66" spans="2:42" x14ac:dyDescent="0.35">
      <c r="B66" s="97" t="s">
        <v>15</v>
      </c>
      <c r="C66" s="61">
        <v>18230627</v>
      </c>
      <c r="D66" s="61" t="s">
        <v>76</v>
      </c>
      <c r="E66" s="38" t="s">
        <v>808</v>
      </c>
      <c r="F66" s="39" t="s">
        <v>809</v>
      </c>
      <c r="G66" s="39">
        <v>25</v>
      </c>
      <c r="H66" s="39"/>
      <c r="I66" s="40" t="s">
        <v>274</v>
      </c>
      <c r="J66" s="41">
        <v>7304.21</v>
      </c>
      <c r="K66" s="496">
        <v>6.714797356592979</v>
      </c>
      <c r="L66" s="41"/>
      <c r="M66" s="42">
        <v>200</v>
      </c>
      <c r="N66" s="42">
        <v>18.53</v>
      </c>
      <c r="O66" s="43">
        <v>49046.29</v>
      </c>
      <c r="P66" s="44">
        <v>88780.06</v>
      </c>
      <c r="Q66" s="44">
        <v>135346.99</v>
      </c>
      <c r="R66" s="45">
        <v>0</v>
      </c>
      <c r="S66" s="46">
        <v>0</v>
      </c>
      <c r="T66" s="39">
        <f t="shared" si="19"/>
        <v>25</v>
      </c>
      <c r="U66" s="47">
        <f t="shared" si="20"/>
        <v>0.90408349793444465</v>
      </c>
      <c r="V66" s="48">
        <f t="shared" si="21"/>
        <v>-181.47</v>
      </c>
      <c r="W66" s="49">
        <f t="shared" si="22"/>
        <v>3.6163339917377788E-2</v>
      </c>
      <c r="X66" s="44">
        <f t="shared" si="23"/>
        <v>8514.5473620930552</v>
      </c>
      <c r="Y66" s="44">
        <f t="shared" si="24"/>
        <v>46566.929999999993</v>
      </c>
      <c r="Z66" s="44">
        <f t="shared" si="25"/>
        <v>42549.696423337111</v>
      </c>
      <c r="AA66" s="50">
        <f t="shared" si="26"/>
        <v>143861.53736209305</v>
      </c>
      <c r="AB66" s="51">
        <f t="shared" si="27"/>
        <v>39840.53972222576</v>
      </c>
      <c r="AC66" s="44">
        <f t="shared" si="28"/>
        <v>134701.81400945041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1.9455570023927977</v>
      </c>
      <c r="AG66" s="44">
        <f t="shared" si="31"/>
        <v>95422.352950887856</v>
      </c>
      <c r="AH66" s="52">
        <f>HLOOKUP(I66,ElecAvoidedCostsWOCC!$A$5:$Q$50,T66+1,FALSE)</f>
        <v>1.9455570023927977</v>
      </c>
      <c r="AI66" s="44">
        <f t="shared" si="32"/>
        <v>0</v>
      </c>
      <c r="AJ66" s="44">
        <f t="shared" si="33"/>
        <v>95422.352950887856</v>
      </c>
      <c r="AK66" s="44">
        <f>HLOOKUP(I66,ElecAvoidedCostsWOCC!$A$5:$Q$50,G66+1,FALSE)*J66*L66</f>
        <v>0</v>
      </c>
      <c r="AL66" s="44">
        <f t="shared" si="34"/>
        <v>95422.352950887856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95422.352950887856</v>
      </c>
      <c r="AN66" s="48">
        <f t="shared" si="35"/>
        <v>104964.58824597664</v>
      </c>
      <c r="AO66" s="47">
        <f t="shared" si="36"/>
        <v>2.3951069341978513</v>
      </c>
      <c r="AP66" s="47">
        <f t="shared" si="37"/>
        <v>0.7792366347687979</v>
      </c>
    </row>
    <row r="67" spans="2:42" x14ac:dyDescent="0.35">
      <c r="B67" s="97" t="s">
        <v>15</v>
      </c>
      <c r="C67" s="61">
        <v>18230627</v>
      </c>
      <c r="D67" s="61" t="s">
        <v>76</v>
      </c>
      <c r="E67" s="38" t="s">
        <v>810</v>
      </c>
      <c r="F67" s="39" t="s">
        <v>811</v>
      </c>
      <c r="G67" s="39">
        <v>25</v>
      </c>
      <c r="H67" s="39"/>
      <c r="I67" s="40" t="s">
        <v>274</v>
      </c>
      <c r="J67" s="41">
        <v>4141.41</v>
      </c>
      <c r="K67" s="496">
        <v>5.1641952861465059</v>
      </c>
      <c r="L67" s="41"/>
      <c r="M67" s="42">
        <v>200</v>
      </c>
      <c r="N67" s="42">
        <v>18.53</v>
      </c>
      <c r="O67" s="43">
        <v>21387.05</v>
      </c>
      <c r="P67" s="44">
        <v>48117.56</v>
      </c>
      <c r="Q67" s="44">
        <v>76740.33</v>
      </c>
      <c r="R67" s="45">
        <v>0</v>
      </c>
      <c r="S67" s="46">
        <v>0</v>
      </c>
      <c r="T67" s="39">
        <f t="shared" si="19"/>
        <v>25</v>
      </c>
      <c r="U67" s="47">
        <f t="shared" si="20"/>
        <v>0.3942332636066635</v>
      </c>
      <c r="V67" s="48">
        <f t="shared" si="21"/>
        <v>-181.47</v>
      </c>
      <c r="W67" s="49">
        <f t="shared" si="22"/>
        <v>1.576933054426654E-2</v>
      </c>
      <c r="X67" s="44">
        <f t="shared" si="23"/>
        <v>3712.8404648027868</v>
      </c>
      <c r="Y67" s="44">
        <f t="shared" si="24"/>
        <v>28622.770000000004</v>
      </c>
      <c r="Z67" s="44">
        <f t="shared" si="25"/>
        <v>18554.155368137566</v>
      </c>
      <c r="AA67" s="50">
        <f t="shared" si="26"/>
        <v>80453.170464802795</v>
      </c>
      <c r="AB67" s="51">
        <f t="shared" si="27"/>
        <v>17372.8046518142</v>
      </c>
      <c r="AC67" s="44">
        <f t="shared" si="28"/>
        <v>75330.68395580785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1.9455570023927977</v>
      </c>
      <c r="AG67" s="44">
        <f t="shared" si="31"/>
        <v>41609.724888024881</v>
      </c>
      <c r="AH67" s="52">
        <f>HLOOKUP(I67,ElecAvoidedCostsWOCC!$A$5:$Q$50,T67+1,FALSE)</f>
        <v>1.9455570023927977</v>
      </c>
      <c r="AI67" s="44">
        <f t="shared" si="32"/>
        <v>0</v>
      </c>
      <c r="AJ67" s="44">
        <f t="shared" si="33"/>
        <v>41609.724888024881</v>
      </c>
      <c r="AK67" s="44">
        <f>HLOOKUP(I67,ElecAvoidedCostsWOCC!$A$5:$Q$50,G67+1,FALSE)*J67*L67</f>
        <v>0</v>
      </c>
      <c r="AL67" s="44">
        <f t="shared" si="34"/>
        <v>41609.724888024881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41609.724888024881</v>
      </c>
      <c r="AN67" s="48">
        <f t="shared" si="35"/>
        <v>45770.697376827375</v>
      </c>
      <c r="AO67" s="47">
        <f t="shared" si="36"/>
        <v>2.3951069341978513</v>
      </c>
      <c r="AP67" s="47">
        <f t="shared" si="37"/>
        <v>0.60759699730960082</v>
      </c>
    </row>
    <row r="68" spans="2:42" x14ac:dyDescent="0.35">
      <c r="B68" s="97" t="s">
        <v>15</v>
      </c>
      <c r="C68" s="61">
        <v>18230627</v>
      </c>
      <c r="D68" s="61" t="s">
        <v>76</v>
      </c>
      <c r="E68" s="38" t="s">
        <v>812</v>
      </c>
      <c r="F68" s="39" t="s">
        <v>813</v>
      </c>
      <c r="G68" s="39">
        <v>25</v>
      </c>
      <c r="H68" s="39"/>
      <c r="I68" s="40" t="s">
        <v>274</v>
      </c>
      <c r="J68" s="41">
        <v>712.22</v>
      </c>
      <c r="K68" s="496">
        <v>0.20750610766336242</v>
      </c>
      <c r="L68" s="41"/>
      <c r="M68" s="42">
        <v>0</v>
      </c>
      <c r="N68" s="42">
        <v>0</v>
      </c>
      <c r="O68" s="43">
        <v>147.79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2.7242529487904502E-3</v>
      </c>
      <c r="V68" s="48">
        <f t="shared" ref="V68:V131" si="40">N68-M68</f>
        <v>0</v>
      </c>
      <c r="W68" s="49">
        <f t="shared" ref="W68:W131" si="41">(O68/A$10)</f>
        <v>1.08970117951618E-4</v>
      </c>
      <c r="X68" s="44">
        <f t="shared" ref="X68:X131" si="42">W68*A$8</f>
        <v>25.656679733446353</v>
      </c>
      <c r="Y68" s="44">
        <f t="shared" ref="Y68:Y131" si="43">Q68-P68</f>
        <v>0</v>
      </c>
      <c r="Z68" s="44">
        <f t="shared" ref="Z68:Z131" si="44">X68+(A$6*W68)</f>
        <v>128.2139716256824</v>
      </c>
      <c r="AA68" s="50">
        <f t="shared" ref="AA68:AA131" si="45">Q68+X68</f>
        <v>25.656679733446353</v>
      </c>
      <c r="AB68" s="51">
        <f t="shared" ref="AB68:AB131" si="46">Z68/(1+ElecDiscountRate)^1</f>
        <v>120.0505352300397</v>
      </c>
      <c r="AC68" s="44">
        <f t="shared" ref="AC68:AC131" si="47">AA68/(1+ElecDiscountRate)^1</f>
        <v>24.023108364650142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1.9455570023927977</v>
      </c>
      <c r="AG68" s="44">
        <f t="shared" ref="AG68:AG131" si="50">AF68*J68*K68</f>
        <v>287.53386938363155</v>
      </c>
      <c r="AH68" s="52">
        <f>HLOOKUP(I68,ElecAvoidedCostsWOCC!$A$5:$Q$50,T68+1,FALSE)</f>
        <v>1.9455570023927977</v>
      </c>
      <c r="AI68" s="44">
        <f t="shared" ref="AI68:AI131" si="51">AH68*J68*L68</f>
        <v>0</v>
      </c>
      <c r="AJ68" s="44">
        <f t="shared" ref="AJ68:AJ131" si="52">AG68+AI68</f>
        <v>287.53386938363155</v>
      </c>
      <c r="AK68" s="44">
        <f>HLOOKUP(I68,ElecAvoidedCostsWOCC!$A$5:$Q$50,G68+1,FALSE)*J68*L68</f>
        <v>0</v>
      </c>
      <c r="AL68" s="44">
        <f t="shared" ref="AL68:AL131" si="53">AG68+AI68-AK68</f>
        <v>287.53386938363155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287.53386938363155</v>
      </c>
      <c r="AN68" s="48">
        <f t="shared" ref="AN68:AN131" si="54">AM68*1.1+AD68+AE68</f>
        <v>316.28725632199473</v>
      </c>
      <c r="AO68" s="47">
        <f t="shared" ref="AO68:AO131" si="55">IFERROR(AM68/AB68,0)</f>
        <v>2.3951069341978517</v>
      </c>
      <c r="AP68" s="47">
        <f t="shared" ref="AP68:AP131" si="56">AN68/AC68</f>
        <v>13.165958855990905</v>
      </c>
    </row>
    <row r="69" spans="2:42" x14ac:dyDescent="0.35">
      <c r="B69" s="97" t="s">
        <v>15</v>
      </c>
      <c r="C69" s="61">
        <v>18230627</v>
      </c>
      <c r="D69" s="61" t="s">
        <v>76</v>
      </c>
      <c r="E69" s="38" t="s">
        <v>814</v>
      </c>
      <c r="F69" s="39" t="s">
        <v>815</v>
      </c>
      <c r="G69" s="39"/>
      <c r="H69" s="39"/>
      <c r="I69" s="40" t="s">
        <v>274</v>
      </c>
      <c r="J69" s="41">
        <v>32</v>
      </c>
      <c r="K69" s="496">
        <v>0</v>
      </c>
      <c r="L69" s="41"/>
      <c r="M69" s="42">
        <v>400</v>
      </c>
      <c r="N69" s="42">
        <v>0</v>
      </c>
      <c r="O69" s="43">
        <v>0</v>
      </c>
      <c r="P69" s="44">
        <v>12800</v>
      </c>
      <c r="Q69" s="44">
        <v>0</v>
      </c>
      <c r="R69" s="45">
        <v>0</v>
      </c>
      <c r="S69" s="46">
        <v>0</v>
      </c>
      <c r="T69" s="39">
        <f t="shared" si="38"/>
        <v>0</v>
      </c>
      <c r="U69" s="47">
        <f t="shared" si="39"/>
        <v>0</v>
      </c>
      <c r="V69" s="48">
        <f t="shared" si="40"/>
        <v>-400</v>
      </c>
      <c r="W69" s="49">
        <f t="shared" si="41"/>
        <v>0</v>
      </c>
      <c r="X69" s="44">
        <f t="shared" si="42"/>
        <v>0</v>
      </c>
      <c r="Y69" s="44">
        <f t="shared" si="43"/>
        <v>-12800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str">
        <f>HLOOKUP(I69,ElecAvoidedCostsWOCC!$A$5:$Q$50,G69+1,FALSE)</f>
        <v>SF Space Heat</v>
      </c>
      <c r="AG69" s="44" t="e">
        <f t="shared" si="50"/>
        <v>#VALUE!</v>
      </c>
      <c r="AH69" s="52" t="str">
        <f>HLOOKUP(I69,ElecAvoidedCostsWOCC!$A$5:$Q$50,T69+1,FALSE)</f>
        <v>SF Space Heat</v>
      </c>
      <c r="AI69" s="44" t="e">
        <f t="shared" si="51"/>
        <v>#VALUE!</v>
      </c>
      <c r="AJ69" s="44" t="e">
        <f t="shared" si="52"/>
        <v>#VALUE!</v>
      </c>
      <c r="AK69" s="44" t="e">
        <f>HLOOKUP(I69,ElecAvoidedCostsWOCC!$A$5:$Q$50,G69+1,FALSE)*J69*L69</f>
        <v>#VALUE!</v>
      </c>
      <c r="AL69" s="44" t="e">
        <f t="shared" si="53"/>
        <v>#VALUE!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 x14ac:dyDescent="0.35">
      <c r="B70" s="97" t="s">
        <v>15</v>
      </c>
      <c r="C70" s="61">
        <v>18230627</v>
      </c>
      <c r="D70" s="61" t="s">
        <v>76</v>
      </c>
      <c r="E70" s="38" t="s">
        <v>816</v>
      </c>
      <c r="F70" s="39" t="s">
        <v>815</v>
      </c>
      <c r="G70" s="39"/>
      <c r="H70" s="39"/>
      <c r="I70" s="40" t="s">
        <v>274</v>
      </c>
      <c r="J70" s="41">
        <v>94</v>
      </c>
      <c r="K70" s="496">
        <v>0</v>
      </c>
      <c r="L70" s="41"/>
      <c r="M70" s="42">
        <v>250</v>
      </c>
      <c r="N70" s="42">
        <v>0</v>
      </c>
      <c r="O70" s="43">
        <v>0</v>
      </c>
      <c r="P70" s="44">
        <v>22324.2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-22324.2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str">
        <f>HLOOKUP(I70,ElecAvoidedCostsWOCC!$A$5:$Q$50,G70+1,FALSE)</f>
        <v>SF Space Heat</v>
      </c>
      <c r="AG70" s="44" t="e">
        <f t="shared" si="50"/>
        <v>#VALUE!</v>
      </c>
      <c r="AH70" s="52" t="str">
        <f>HLOOKUP(I70,ElecAvoidedCostsWOCC!$A$5:$Q$50,T70+1,FALSE)</f>
        <v>SF Space Heat</v>
      </c>
      <c r="AI70" s="44" t="e">
        <f t="shared" si="51"/>
        <v>#VALUE!</v>
      </c>
      <c r="AJ70" s="44" t="e">
        <f t="shared" si="52"/>
        <v>#VALUE!</v>
      </c>
      <c r="AK70" s="44" t="e">
        <f>HLOOKUP(I70,ElecAvoidedCostsWOCC!$A$5:$Q$50,G70+1,FALSE)*J70*L70</f>
        <v>#VALUE!</v>
      </c>
      <c r="AL70" s="44" t="e">
        <f t="shared" si="53"/>
        <v>#VALUE!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 x14ac:dyDescent="0.35">
      <c r="B71" s="97" t="s">
        <v>15</v>
      </c>
      <c r="C71" s="61">
        <v>18230627</v>
      </c>
      <c r="D71" s="61" t="s">
        <v>76</v>
      </c>
      <c r="E71" s="38" t="s">
        <v>817</v>
      </c>
      <c r="F71" s="39" t="s">
        <v>818</v>
      </c>
      <c r="G71" s="39"/>
      <c r="H71" s="39"/>
      <c r="I71" s="40"/>
      <c r="J71" s="41">
        <v>5</v>
      </c>
      <c r="K71" s="496">
        <v>0</v>
      </c>
      <c r="L71" s="41"/>
      <c r="M71" s="42"/>
      <c r="N71" s="42"/>
      <c r="O71" s="43">
        <v>0</v>
      </c>
      <c r="P71" s="44">
        <v>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 x14ac:dyDescent="0.35">
      <c r="B72" s="97" t="s">
        <v>15</v>
      </c>
      <c r="C72" s="61">
        <v>18230627</v>
      </c>
      <c r="D72" s="61" t="s">
        <v>76</v>
      </c>
      <c r="E72" s="38" t="s">
        <v>819</v>
      </c>
      <c r="F72" s="39" t="s">
        <v>818</v>
      </c>
      <c r="G72" s="39"/>
      <c r="H72" s="39"/>
      <c r="I72" s="40" t="s">
        <v>274</v>
      </c>
      <c r="J72" s="41">
        <v>163</v>
      </c>
      <c r="K72" s="496">
        <v>0</v>
      </c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str">
        <f>HLOOKUP(I72,ElecAvoidedCostsWOCC!$A$5:$Q$50,G72+1,FALSE)</f>
        <v>SF Space Heat</v>
      </c>
      <c r="AG72" s="44" t="e">
        <f t="shared" si="50"/>
        <v>#VALUE!</v>
      </c>
      <c r="AH72" s="52" t="str">
        <f>HLOOKUP(I72,ElecAvoidedCostsWOCC!$A$5:$Q$50,T72+1,FALSE)</f>
        <v>SF Space Heat</v>
      </c>
      <c r="AI72" s="44" t="e">
        <f t="shared" si="51"/>
        <v>#VALUE!</v>
      </c>
      <c r="AJ72" s="44" t="e">
        <f t="shared" si="52"/>
        <v>#VALUE!</v>
      </c>
      <c r="AK72" s="44" t="e">
        <f>HLOOKUP(I72,ElecAvoidedCostsWOCC!$A$5:$Q$50,G72+1,FALSE)*J72*L72</f>
        <v>#VALUE!</v>
      </c>
      <c r="AL72" s="44" t="e">
        <f t="shared" si="53"/>
        <v>#VALUE!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 x14ac:dyDescent="0.35">
      <c r="B73" s="97" t="s">
        <v>15</v>
      </c>
      <c r="C73" s="61">
        <v>18230627</v>
      </c>
      <c r="D73" s="61" t="s">
        <v>76</v>
      </c>
      <c r="E73" s="38" t="s">
        <v>820</v>
      </c>
      <c r="F73" s="39" t="s">
        <v>818</v>
      </c>
      <c r="G73" s="39"/>
      <c r="H73" s="39"/>
      <c r="I73" s="40" t="s">
        <v>274</v>
      </c>
      <c r="J73" s="41">
        <v>490</v>
      </c>
      <c r="K73" s="496">
        <v>0</v>
      </c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 x14ac:dyDescent="0.35">
      <c r="B74" s="97" t="s">
        <v>15</v>
      </c>
      <c r="C74" s="61">
        <v>18230627</v>
      </c>
      <c r="D74" s="61" t="s">
        <v>76</v>
      </c>
      <c r="E74" s="38" t="s">
        <v>821</v>
      </c>
      <c r="F74" s="39" t="s">
        <v>822</v>
      </c>
      <c r="G74" s="39"/>
      <c r="H74" s="39"/>
      <c r="I74" s="40"/>
      <c r="J74" s="41">
        <v>2</v>
      </c>
      <c r="K74" s="496">
        <v>0</v>
      </c>
      <c r="L74" s="41"/>
      <c r="M74" s="42">
        <v>400</v>
      </c>
      <c r="N74" s="42">
        <v>0</v>
      </c>
      <c r="O74" s="43">
        <v>0</v>
      </c>
      <c r="P74" s="44">
        <v>800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-800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 x14ac:dyDescent="0.35">
      <c r="B75" s="97" t="s">
        <v>15</v>
      </c>
      <c r="C75" s="61">
        <v>18230627</v>
      </c>
      <c r="D75" s="61" t="s">
        <v>76</v>
      </c>
      <c r="E75" s="38" t="s">
        <v>823</v>
      </c>
      <c r="F75" s="39" t="s">
        <v>822</v>
      </c>
      <c r="G75" s="39"/>
      <c r="H75" s="39"/>
      <c r="I75" s="40" t="s">
        <v>274</v>
      </c>
      <c r="J75" s="41">
        <v>9</v>
      </c>
      <c r="K75" s="496">
        <v>0</v>
      </c>
      <c r="L75" s="41"/>
      <c r="M75" s="42">
        <v>600</v>
      </c>
      <c r="N75" s="42">
        <v>0</v>
      </c>
      <c r="O75" s="43">
        <v>0</v>
      </c>
      <c r="P75" s="44">
        <v>5400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-5400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 x14ac:dyDescent="0.35">
      <c r="B76" s="97" t="s">
        <v>15</v>
      </c>
      <c r="C76" s="61">
        <v>18230627</v>
      </c>
      <c r="D76" s="61" t="s">
        <v>76</v>
      </c>
      <c r="E76" s="38" t="s">
        <v>824</v>
      </c>
      <c r="F76" s="39" t="s">
        <v>822</v>
      </c>
      <c r="G76" s="39"/>
      <c r="H76" s="39"/>
      <c r="I76" s="40" t="s">
        <v>274</v>
      </c>
      <c r="J76" s="41">
        <v>19</v>
      </c>
      <c r="K76" s="496">
        <v>0</v>
      </c>
      <c r="L76" s="41"/>
      <c r="M76" s="42">
        <v>400</v>
      </c>
      <c r="N76" s="42">
        <v>0</v>
      </c>
      <c r="O76" s="43">
        <v>0</v>
      </c>
      <c r="P76" s="44">
        <v>7600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-400</v>
      </c>
      <c r="W76" s="49">
        <f t="shared" si="41"/>
        <v>0</v>
      </c>
      <c r="X76" s="44">
        <f t="shared" si="42"/>
        <v>0</v>
      </c>
      <c r="Y76" s="44">
        <f t="shared" si="43"/>
        <v>-7600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str">
        <f>HLOOKUP(I76,ElecAvoidedCostsWOCC!$A$5:$Q$50,G76+1,FALSE)</f>
        <v>SF Space Heat</v>
      </c>
      <c r="AG76" s="44" t="e">
        <f t="shared" si="50"/>
        <v>#VALUE!</v>
      </c>
      <c r="AH76" s="52" t="str">
        <f>HLOOKUP(I76,ElecAvoidedCostsWOCC!$A$5:$Q$50,T76+1,FALSE)</f>
        <v>SF Space Heat</v>
      </c>
      <c r="AI76" s="44" t="e">
        <f t="shared" si="51"/>
        <v>#VALUE!</v>
      </c>
      <c r="AJ76" s="44" t="e">
        <f t="shared" si="52"/>
        <v>#VALUE!</v>
      </c>
      <c r="AK76" s="44" t="e">
        <f>HLOOKUP(I76,ElecAvoidedCostsWOCC!$A$5:$Q$50,G76+1,FALSE)*J76*L76</f>
        <v>#VALUE!</v>
      </c>
      <c r="AL76" s="44" t="e">
        <f t="shared" si="53"/>
        <v>#VALUE!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 x14ac:dyDescent="0.35">
      <c r="B77" s="97" t="s">
        <v>15</v>
      </c>
      <c r="C77" s="61">
        <v>18230627</v>
      </c>
      <c r="D77" s="61" t="s">
        <v>76</v>
      </c>
      <c r="E77" s="38" t="s">
        <v>825</v>
      </c>
      <c r="F77" s="39" t="s">
        <v>826</v>
      </c>
      <c r="G77" s="39"/>
      <c r="H77" s="39"/>
      <c r="I77" s="40"/>
      <c r="J77" s="41">
        <v>1</v>
      </c>
      <c r="K77" s="496">
        <v>0</v>
      </c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 x14ac:dyDescent="0.35">
      <c r="B78" s="97" t="s">
        <v>15</v>
      </c>
      <c r="C78" s="61">
        <v>18230627</v>
      </c>
      <c r="D78" s="61" t="s">
        <v>76</v>
      </c>
      <c r="E78" s="38" t="s">
        <v>827</v>
      </c>
      <c r="F78" s="39" t="s">
        <v>826</v>
      </c>
      <c r="G78" s="39"/>
      <c r="H78" s="39"/>
      <c r="I78" s="40" t="s">
        <v>274</v>
      </c>
      <c r="J78" s="41">
        <v>52</v>
      </c>
      <c r="K78" s="496">
        <v>0</v>
      </c>
      <c r="L78" s="41"/>
      <c r="M78" s="42"/>
      <c r="N78" s="42"/>
      <c r="O78" s="43">
        <v>0</v>
      </c>
      <c r="P78" s="44">
        <v>0</v>
      </c>
      <c r="Q78" s="44">
        <v>0</v>
      </c>
      <c r="R78" s="45">
        <v>0</v>
      </c>
      <c r="S78" s="46">
        <v>0</v>
      </c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str">
        <f>HLOOKUP(I78,ElecAvoidedCostsWOCC!$A$5:$Q$50,G78+1,FALSE)</f>
        <v>SF Space Heat</v>
      </c>
      <c r="AG78" s="44" t="e">
        <f t="shared" si="50"/>
        <v>#VALUE!</v>
      </c>
      <c r="AH78" s="52" t="str">
        <f>HLOOKUP(I78,ElecAvoidedCostsWOCC!$A$5:$Q$50,T78+1,FALSE)</f>
        <v>SF Space Heat</v>
      </c>
      <c r="AI78" s="44" t="e">
        <f t="shared" si="51"/>
        <v>#VALUE!</v>
      </c>
      <c r="AJ78" s="44" t="e">
        <f t="shared" si="52"/>
        <v>#VALUE!</v>
      </c>
      <c r="AK78" s="44" t="e">
        <f>HLOOKUP(I78,ElecAvoidedCostsWOCC!$A$5:$Q$50,G78+1,FALSE)*J78*L78</f>
        <v>#VALUE!</v>
      </c>
      <c r="AL78" s="44" t="e">
        <f t="shared" si="53"/>
        <v>#VALUE!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 x14ac:dyDescent="0.35">
      <c r="B79" s="97" t="s">
        <v>15</v>
      </c>
      <c r="C79" s="61">
        <v>18230627</v>
      </c>
      <c r="D79" s="61" t="s">
        <v>76</v>
      </c>
      <c r="E79" s="38" t="s">
        <v>828</v>
      </c>
      <c r="F79" s="39" t="s">
        <v>826</v>
      </c>
      <c r="G79" s="39"/>
      <c r="H79" s="39"/>
      <c r="I79" s="40" t="s">
        <v>274</v>
      </c>
      <c r="J79" s="41">
        <v>121</v>
      </c>
      <c r="K79" s="496">
        <v>0</v>
      </c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str">
        <f>HLOOKUP(I79,ElecAvoidedCostsWOCC!$A$5:$Q$50,G79+1,FALSE)</f>
        <v>SF Space Heat</v>
      </c>
      <c r="AG79" s="44" t="e">
        <f t="shared" si="50"/>
        <v>#VALUE!</v>
      </c>
      <c r="AH79" s="52" t="str">
        <f>HLOOKUP(I79,ElecAvoidedCostsWOCC!$A$5:$Q$50,T79+1,FALSE)</f>
        <v>SF Space Heat</v>
      </c>
      <c r="AI79" s="44" t="e">
        <f t="shared" si="51"/>
        <v>#VALUE!</v>
      </c>
      <c r="AJ79" s="44" t="e">
        <f t="shared" si="52"/>
        <v>#VALUE!</v>
      </c>
      <c r="AK79" s="44" t="e">
        <f>HLOOKUP(I79,ElecAvoidedCostsWOCC!$A$5:$Q$50,G79+1,FALSE)*J79*L79</f>
        <v>#VALUE!</v>
      </c>
      <c r="AL79" s="44" t="e">
        <f t="shared" si="53"/>
        <v>#VALUE!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 x14ac:dyDescent="0.35">
      <c r="B80" s="97" t="s">
        <v>15</v>
      </c>
      <c r="C80" s="61">
        <v>18230627</v>
      </c>
      <c r="D80" s="61" t="s">
        <v>76</v>
      </c>
      <c r="E80" s="38" t="s">
        <v>829</v>
      </c>
      <c r="F80" s="39" t="s">
        <v>830</v>
      </c>
      <c r="G80" s="39">
        <v>10</v>
      </c>
      <c r="H80" s="39"/>
      <c r="I80" s="40" t="s">
        <v>268</v>
      </c>
      <c r="J80" s="41">
        <v>11</v>
      </c>
      <c r="K80" s="496">
        <v>129</v>
      </c>
      <c r="L80" s="41"/>
      <c r="M80" s="42">
        <v>50</v>
      </c>
      <c r="N80" s="42">
        <v>60.87</v>
      </c>
      <c r="O80" s="43">
        <v>1419</v>
      </c>
      <c r="P80" s="44">
        <v>550</v>
      </c>
      <c r="Q80" s="44">
        <v>669.57</v>
      </c>
      <c r="R80" s="45">
        <v>9.9329999999999998</v>
      </c>
      <c r="S80" s="46">
        <v>0</v>
      </c>
      <c r="T80" s="39">
        <f t="shared" si="38"/>
        <v>10</v>
      </c>
      <c r="U80" s="47">
        <f t="shared" si="39"/>
        <v>1.0462723957869E-2</v>
      </c>
      <c r="V80" s="48">
        <f t="shared" si="40"/>
        <v>10.869999999999997</v>
      </c>
      <c r="W80" s="49">
        <f t="shared" si="41"/>
        <v>1.0462723957869E-3</v>
      </c>
      <c r="X80" s="44">
        <f t="shared" si="42"/>
        <v>246.34162353177058</v>
      </c>
      <c r="Y80" s="44">
        <f t="shared" si="43"/>
        <v>119.57000000000005</v>
      </c>
      <c r="Z80" s="44">
        <f t="shared" si="44"/>
        <v>1231.041516590049</v>
      </c>
      <c r="AA80" s="50">
        <f t="shared" si="45"/>
        <v>915.9116235317706</v>
      </c>
      <c r="AB80" s="51">
        <f t="shared" si="46"/>
        <v>1152.6605960580982</v>
      </c>
      <c r="AC80" s="44">
        <f t="shared" si="47"/>
        <v>857.59515311963537</v>
      </c>
      <c r="AD80" s="44">
        <f t="shared" si="48"/>
        <v>774.5628915554272</v>
      </c>
      <c r="AE80" s="44">
        <f t="shared" si="49"/>
        <v>0</v>
      </c>
      <c r="AF80" s="52">
        <f>HLOOKUP(I80,ElecAvoidedCostsWOCC!$A$5:$Q$50,G80+1,FALSE)</f>
        <v>0.78039134456772086</v>
      </c>
      <c r="AG80" s="44">
        <f t="shared" si="50"/>
        <v>1107.3753179415958</v>
      </c>
      <c r="AH80" s="52">
        <f>HLOOKUP(I80,ElecAvoidedCostsWOCC!$A$5:$Q$50,T80+1,FALSE)</f>
        <v>0.78039134456772086</v>
      </c>
      <c r="AI80" s="44">
        <f t="shared" si="51"/>
        <v>0</v>
      </c>
      <c r="AJ80" s="44">
        <f t="shared" si="52"/>
        <v>1107.3753179415958</v>
      </c>
      <c r="AK80" s="44">
        <f>HLOOKUP(I80,ElecAvoidedCostsWOCC!$A$5:$Q$50,G80+1,FALSE)*J80*L80</f>
        <v>0</v>
      </c>
      <c r="AL80" s="44">
        <f t="shared" si="53"/>
        <v>1107.3753179415958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1107.3753179415958</v>
      </c>
      <c r="AN80" s="48">
        <f t="shared" si="54"/>
        <v>1992.6757412911825</v>
      </c>
      <c r="AO80" s="47">
        <f t="shared" si="55"/>
        <v>0.96071239159959976</v>
      </c>
      <c r="AP80" s="47">
        <f t="shared" si="56"/>
        <v>2.3235622706617631</v>
      </c>
    </row>
    <row r="81" spans="2:42" x14ac:dyDescent="0.35">
      <c r="B81" s="97" t="s">
        <v>15</v>
      </c>
      <c r="C81" s="61">
        <v>18230627</v>
      </c>
      <c r="D81" s="61" t="s">
        <v>76</v>
      </c>
      <c r="E81" s="38" t="s">
        <v>831</v>
      </c>
      <c r="F81" s="39" t="s">
        <v>832</v>
      </c>
      <c r="G81" s="39">
        <v>45</v>
      </c>
      <c r="H81" s="39"/>
      <c r="I81" s="40" t="s">
        <v>274</v>
      </c>
      <c r="J81" s="41">
        <v>1709</v>
      </c>
      <c r="K81" s="496">
        <v>0</v>
      </c>
      <c r="L81" s="41"/>
      <c r="M81" s="42"/>
      <c r="N81" s="42"/>
      <c r="O81" s="43">
        <v>0</v>
      </c>
      <c r="P81" s="44">
        <v>0</v>
      </c>
      <c r="Q81" s="44">
        <v>0</v>
      </c>
      <c r="R81" s="45">
        <v>0</v>
      </c>
      <c r="S81" s="46">
        <v>0</v>
      </c>
      <c r="T81" s="39">
        <f t="shared" si="38"/>
        <v>45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>
        <f>HLOOKUP(I81,ElecAvoidedCostsWOCC!$A$5:$Q$50,G81+1,FALSE)</f>
        <v>3.2695302314196475</v>
      </c>
      <c r="AG81" s="44">
        <f t="shared" si="50"/>
        <v>0</v>
      </c>
      <c r="AH81" s="52">
        <f>HLOOKUP(I81,ElecAvoidedCostsWOCC!$A$5:$Q$50,T81+1,FALSE)</f>
        <v>3.2695302314196475</v>
      </c>
      <c r="AI81" s="44">
        <f t="shared" si="51"/>
        <v>0</v>
      </c>
      <c r="AJ81" s="44">
        <f t="shared" si="52"/>
        <v>0</v>
      </c>
      <c r="AK81" s="44">
        <f>HLOOKUP(I81,ElecAvoidedCostsWOCC!$A$5:$Q$50,G81+1,FALSE)*J81*L81</f>
        <v>0</v>
      </c>
      <c r="AL81" s="44">
        <f t="shared" si="53"/>
        <v>0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 x14ac:dyDescent="0.35">
      <c r="B82" s="97" t="s">
        <v>15</v>
      </c>
      <c r="C82" s="61">
        <v>18230627</v>
      </c>
      <c r="D82" s="61" t="s">
        <v>76</v>
      </c>
      <c r="E82" s="38" t="s">
        <v>833</v>
      </c>
      <c r="F82" s="39" t="s">
        <v>832</v>
      </c>
      <c r="G82" s="39">
        <v>45</v>
      </c>
      <c r="H82" s="39"/>
      <c r="I82" s="40" t="s">
        <v>274</v>
      </c>
      <c r="J82" s="41">
        <v>1100</v>
      </c>
      <c r="K82" s="496">
        <v>7.9500000000000001E-2</v>
      </c>
      <c r="L82" s="41"/>
      <c r="M82" s="42">
        <v>0</v>
      </c>
      <c r="N82" s="42">
        <v>0</v>
      </c>
      <c r="O82" s="43">
        <v>87.45</v>
      </c>
      <c r="P82" s="44">
        <v>0</v>
      </c>
      <c r="Q82" s="44">
        <v>0</v>
      </c>
      <c r="R82" s="45">
        <v>0</v>
      </c>
      <c r="S82" s="46">
        <v>0</v>
      </c>
      <c r="T82" s="39">
        <f t="shared" si="38"/>
        <v>45</v>
      </c>
      <c r="U82" s="47">
        <f t="shared" si="39"/>
        <v>2.9015810045950664E-3</v>
      </c>
      <c r="V82" s="48">
        <f t="shared" si="40"/>
        <v>0</v>
      </c>
      <c r="W82" s="49">
        <f t="shared" si="41"/>
        <v>6.447957787989036E-5</v>
      </c>
      <c r="X82" s="44">
        <f t="shared" si="42"/>
        <v>15.181518659516097</v>
      </c>
      <c r="Y82" s="44">
        <f t="shared" si="43"/>
        <v>0</v>
      </c>
      <c r="Z82" s="44">
        <f t="shared" si="44"/>
        <v>75.866512068921637</v>
      </c>
      <c r="AA82" s="50">
        <f t="shared" si="45"/>
        <v>15.181518659516097</v>
      </c>
      <c r="AB82" s="51">
        <f t="shared" si="46"/>
        <v>71.036059989626992</v>
      </c>
      <c r="AC82" s="44">
        <f t="shared" si="47"/>
        <v>14.214905111906457</v>
      </c>
      <c r="AD82" s="44">
        <f t="shared" si="48"/>
        <v>0</v>
      </c>
      <c r="AE82" s="44">
        <f t="shared" si="49"/>
        <v>0</v>
      </c>
      <c r="AF82" s="52">
        <f>HLOOKUP(I82,ElecAvoidedCostsWOCC!$A$5:$Q$50,G82+1,FALSE)</f>
        <v>3.2695302314196475</v>
      </c>
      <c r="AG82" s="44">
        <f t="shared" si="50"/>
        <v>285.92041873764816</v>
      </c>
      <c r="AH82" s="52">
        <f>HLOOKUP(I82,ElecAvoidedCostsWOCC!$A$5:$Q$50,T82+1,FALSE)</f>
        <v>3.2695302314196475</v>
      </c>
      <c r="AI82" s="44">
        <f t="shared" si="51"/>
        <v>0</v>
      </c>
      <c r="AJ82" s="44">
        <f t="shared" si="52"/>
        <v>285.92041873764816</v>
      </c>
      <c r="AK82" s="44">
        <f>HLOOKUP(I82,ElecAvoidedCostsWOCC!$A$5:$Q$50,G82+1,FALSE)*J82*L82</f>
        <v>0</v>
      </c>
      <c r="AL82" s="44">
        <f t="shared" si="53"/>
        <v>285.92041873764816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285.92041873764822</v>
      </c>
      <c r="AN82" s="48">
        <f t="shared" si="54"/>
        <v>314.51246061141308</v>
      </c>
      <c r="AO82" s="47">
        <f t="shared" si="55"/>
        <v>4.0250039033611893</v>
      </c>
      <c r="AP82" s="47">
        <f t="shared" si="56"/>
        <v>22.125540630445453</v>
      </c>
    </row>
    <row r="83" spans="2:42" x14ac:dyDescent="0.35">
      <c r="B83" s="97" t="s">
        <v>15</v>
      </c>
      <c r="C83" s="61">
        <v>18230627</v>
      </c>
      <c r="D83" s="61" t="s">
        <v>76</v>
      </c>
      <c r="E83" s="38" t="s">
        <v>834</v>
      </c>
      <c r="F83" s="39" t="s">
        <v>832</v>
      </c>
      <c r="G83" s="39">
        <v>45</v>
      </c>
      <c r="H83" s="39"/>
      <c r="I83" s="40" t="s">
        <v>274</v>
      </c>
      <c r="J83" s="41">
        <v>17609</v>
      </c>
      <c r="K83" s="496">
        <v>7.9499687659719473E-2</v>
      </c>
      <c r="L83" s="41"/>
      <c r="M83" s="42">
        <v>0</v>
      </c>
      <c r="N83" s="42">
        <v>0</v>
      </c>
      <c r="O83" s="43">
        <v>1399.91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4.644885379236912E-2</v>
      </c>
      <c r="V83" s="48">
        <f t="shared" si="40"/>
        <v>0</v>
      </c>
      <c r="W83" s="49">
        <f t="shared" si="41"/>
        <v>1.0321967509415359E-3</v>
      </c>
      <c r="X83" s="44">
        <f t="shared" si="42"/>
        <v>243.0275561651593</v>
      </c>
      <c r="Y83" s="44">
        <f t="shared" si="43"/>
        <v>0</v>
      </c>
      <c r="Z83" s="44">
        <f t="shared" si="44"/>
        <v>1214.4801476318364</v>
      </c>
      <c r="AA83" s="50">
        <f t="shared" si="45"/>
        <v>243.0275561651593</v>
      </c>
      <c r="AB83" s="51">
        <f t="shared" si="46"/>
        <v>1137.1536962844909</v>
      </c>
      <c r="AC83" s="44">
        <f t="shared" si="47"/>
        <v>227.55389154041131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3.2695302314196475</v>
      </c>
      <c r="AG83" s="44">
        <f t="shared" si="50"/>
        <v>4577.0480662666796</v>
      </c>
      <c r="AH83" s="52">
        <f>HLOOKUP(I83,ElecAvoidedCostsWOCC!$A$5:$Q$50,T83+1,FALSE)</f>
        <v>3.2695302314196475</v>
      </c>
      <c r="AI83" s="44">
        <f t="shared" si="51"/>
        <v>0</v>
      </c>
      <c r="AJ83" s="44">
        <f t="shared" si="52"/>
        <v>4577.0480662666796</v>
      </c>
      <c r="AK83" s="44">
        <f>HLOOKUP(I83,ElecAvoidedCostsWOCC!$A$5:$Q$50,G83+1,FALSE)*J83*L83</f>
        <v>0</v>
      </c>
      <c r="AL83" s="44">
        <f t="shared" si="53"/>
        <v>4577.0480662666796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4577.0480662666787</v>
      </c>
      <c r="AN83" s="48">
        <f t="shared" si="54"/>
        <v>5034.7528728933466</v>
      </c>
      <c r="AO83" s="47">
        <f t="shared" si="55"/>
        <v>4.0250039033611875</v>
      </c>
      <c r="AP83" s="47">
        <f t="shared" si="56"/>
        <v>22.125540630445446</v>
      </c>
    </row>
    <row r="84" spans="2:42" x14ac:dyDescent="0.35">
      <c r="B84" s="97" t="s">
        <v>15</v>
      </c>
      <c r="C84" s="61">
        <v>18230627</v>
      </c>
      <c r="D84" s="61" t="s">
        <v>76</v>
      </c>
      <c r="E84" s="38" t="s">
        <v>835</v>
      </c>
      <c r="F84" s="39" t="s">
        <v>836</v>
      </c>
      <c r="G84" s="39">
        <v>45</v>
      </c>
      <c r="H84" s="39"/>
      <c r="I84" s="40" t="s">
        <v>274</v>
      </c>
      <c r="J84" s="41">
        <v>1100</v>
      </c>
      <c r="K84" s="496">
        <v>0.44229999999999997</v>
      </c>
      <c r="L84" s="41"/>
      <c r="M84" s="42">
        <v>1</v>
      </c>
      <c r="N84" s="42">
        <v>1.24</v>
      </c>
      <c r="O84" s="43">
        <v>486.53</v>
      </c>
      <c r="P84" s="44">
        <v>1200</v>
      </c>
      <c r="Q84" s="44">
        <v>1364</v>
      </c>
      <c r="R84" s="45">
        <v>0</v>
      </c>
      <c r="S84" s="46">
        <v>0</v>
      </c>
      <c r="T84" s="39">
        <f t="shared" si="38"/>
        <v>45</v>
      </c>
      <c r="U84" s="47">
        <f t="shared" si="39"/>
        <v>1.6143009790344623E-2</v>
      </c>
      <c r="V84" s="48">
        <f t="shared" si="40"/>
        <v>0.24</v>
      </c>
      <c r="W84" s="49">
        <f t="shared" si="41"/>
        <v>3.5873355089654721E-4</v>
      </c>
      <c r="X84" s="44">
        <f t="shared" si="42"/>
        <v>84.462713246590809</v>
      </c>
      <c r="Y84" s="44">
        <f t="shared" si="43"/>
        <v>164</v>
      </c>
      <c r="Z84" s="44">
        <f t="shared" si="44"/>
        <v>422.08500991300673</v>
      </c>
      <c r="AA84" s="50">
        <f t="shared" si="45"/>
        <v>1448.4627132465907</v>
      </c>
      <c r="AB84" s="51">
        <f t="shared" si="46"/>
        <v>395.21068343914487</v>
      </c>
      <c r="AC84" s="44">
        <f t="shared" si="47"/>
        <v>1356.2384955492421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3.2695302314196475</v>
      </c>
      <c r="AG84" s="44">
        <f t="shared" si="50"/>
        <v>1590.724543492601</v>
      </c>
      <c r="AH84" s="52">
        <f>HLOOKUP(I84,ElecAvoidedCostsWOCC!$A$5:$Q$50,T84+1,FALSE)</f>
        <v>3.2695302314196475</v>
      </c>
      <c r="AI84" s="44">
        <f t="shared" si="51"/>
        <v>0</v>
      </c>
      <c r="AJ84" s="44">
        <f t="shared" si="52"/>
        <v>1590.724543492601</v>
      </c>
      <c r="AK84" s="44">
        <f>HLOOKUP(I84,ElecAvoidedCostsWOCC!$A$5:$Q$50,G84+1,FALSE)*J84*L84</f>
        <v>0</v>
      </c>
      <c r="AL84" s="44">
        <f t="shared" si="53"/>
        <v>1590.724543492601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1590.7245434926008</v>
      </c>
      <c r="AN84" s="48">
        <f t="shared" si="54"/>
        <v>1749.796997841861</v>
      </c>
      <c r="AO84" s="47">
        <f t="shared" si="55"/>
        <v>4.0250039033611875</v>
      </c>
      <c r="AP84" s="47">
        <f t="shared" si="56"/>
        <v>1.2901838456762265</v>
      </c>
    </row>
    <row r="85" spans="2:42" x14ac:dyDescent="0.35">
      <c r="B85" s="97" t="s">
        <v>15</v>
      </c>
      <c r="C85" s="61">
        <v>18230627</v>
      </c>
      <c r="D85" s="61" t="s">
        <v>76</v>
      </c>
      <c r="E85" s="38" t="s">
        <v>837</v>
      </c>
      <c r="F85" s="39" t="s">
        <v>836</v>
      </c>
      <c r="G85" s="39">
        <v>45</v>
      </c>
      <c r="H85" s="39"/>
      <c r="I85" s="40" t="s">
        <v>274</v>
      </c>
      <c r="J85" s="41">
        <v>2200</v>
      </c>
      <c r="K85" s="496">
        <v>0.44229999999999997</v>
      </c>
      <c r="L85" s="41"/>
      <c r="M85" s="42">
        <v>1</v>
      </c>
      <c r="N85" s="42">
        <v>1.24</v>
      </c>
      <c r="O85" s="43">
        <v>973.06</v>
      </c>
      <c r="P85" s="44">
        <v>2200</v>
      </c>
      <c r="Q85" s="44">
        <v>2728</v>
      </c>
      <c r="R85" s="45">
        <v>4.1999999999999997E-3</v>
      </c>
      <c r="S85" s="46">
        <v>0</v>
      </c>
      <c r="T85" s="39">
        <f t="shared" si="38"/>
        <v>45</v>
      </c>
      <c r="U85" s="47">
        <f t="shared" si="39"/>
        <v>3.2286019580689246E-2</v>
      </c>
      <c r="V85" s="48">
        <f t="shared" si="40"/>
        <v>0.24</v>
      </c>
      <c r="W85" s="49">
        <f t="shared" si="41"/>
        <v>7.1746710179309441E-4</v>
      </c>
      <c r="X85" s="44">
        <f t="shared" si="42"/>
        <v>168.92542649318162</v>
      </c>
      <c r="Y85" s="44">
        <f t="shared" si="43"/>
        <v>528</v>
      </c>
      <c r="Z85" s="44">
        <f t="shared" si="44"/>
        <v>844.17001982601346</v>
      </c>
      <c r="AA85" s="50">
        <f t="shared" si="45"/>
        <v>2896.9254264931815</v>
      </c>
      <c r="AB85" s="51">
        <f t="shared" si="46"/>
        <v>790.42136687828975</v>
      </c>
      <c r="AC85" s="44">
        <f t="shared" si="47"/>
        <v>2712.4769910984842</v>
      </c>
      <c r="AD85" s="44">
        <f t="shared" si="48"/>
        <v>128.84423261603598</v>
      </c>
      <c r="AE85" s="44">
        <f t="shared" si="49"/>
        <v>0</v>
      </c>
      <c r="AF85" s="52">
        <f>HLOOKUP(I85,ElecAvoidedCostsWOCC!$A$5:$Q$50,G85+1,FALSE)</f>
        <v>3.2695302314196475</v>
      </c>
      <c r="AG85" s="44">
        <f t="shared" si="50"/>
        <v>3181.449086985202</v>
      </c>
      <c r="AH85" s="52">
        <f>HLOOKUP(I85,ElecAvoidedCostsWOCC!$A$5:$Q$50,T85+1,FALSE)</f>
        <v>3.2695302314196475</v>
      </c>
      <c r="AI85" s="44">
        <f t="shared" si="51"/>
        <v>0</v>
      </c>
      <c r="AJ85" s="44">
        <f t="shared" si="52"/>
        <v>3181.449086985202</v>
      </c>
      <c r="AK85" s="44">
        <f>HLOOKUP(I85,ElecAvoidedCostsWOCC!$A$5:$Q$50,G85+1,FALSE)*J85*L85</f>
        <v>0</v>
      </c>
      <c r="AL85" s="44">
        <f t="shared" si="53"/>
        <v>3181.449086985202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3181.4490869852016</v>
      </c>
      <c r="AN85" s="48">
        <f t="shared" si="54"/>
        <v>3628.4382282997581</v>
      </c>
      <c r="AO85" s="47">
        <f t="shared" si="55"/>
        <v>4.0250039033611875</v>
      </c>
      <c r="AP85" s="47">
        <f t="shared" si="56"/>
        <v>1.3376844265249723</v>
      </c>
    </row>
    <row r="86" spans="2:42" x14ac:dyDescent="0.35">
      <c r="B86" s="97" t="s">
        <v>15</v>
      </c>
      <c r="C86" s="61">
        <v>18230627</v>
      </c>
      <c r="D86" s="61" t="s">
        <v>76</v>
      </c>
      <c r="E86" s="38" t="s">
        <v>838</v>
      </c>
      <c r="F86" s="39" t="s">
        <v>839</v>
      </c>
      <c r="G86" s="39">
        <v>45</v>
      </c>
      <c r="H86" s="39"/>
      <c r="I86" s="40" t="s">
        <v>274</v>
      </c>
      <c r="J86" s="41">
        <v>4100</v>
      </c>
      <c r="K86" s="496">
        <v>2.87E-2</v>
      </c>
      <c r="L86" s="41"/>
      <c r="M86" s="42">
        <v>0</v>
      </c>
      <c r="N86" s="42">
        <v>0</v>
      </c>
      <c r="O86" s="43">
        <v>117.67</v>
      </c>
      <c r="P86" s="44">
        <v>0</v>
      </c>
      <c r="Q86" s="44">
        <v>0</v>
      </c>
      <c r="R86" s="45">
        <v>0</v>
      </c>
      <c r="S86" s="46">
        <v>0</v>
      </c>
      <c r="T86" s="39">
        <f t="shared" si="38"/>
        <v>45</v>
      </c>
      <c r="U86" s="47">
        <f t="shared" si="39"/>
        <v>3.9042771504940129E-3</v>
      </c>
      <c r="V86" s="48">
        <f t="shared" si="40"/>
        <v>0</v>
      </c>
      <c r="W86" s="49">
        <f t="shared" si="41"/>
        <v>8.6761714455422509E-5</v>
      </c>
      <c r="X86" s="44">
        <f t="shared" si="42"/>
        <v>20.427779310065855</v>
      </c>
      <c r="Y86" s="44">
        <f t="shared" si="43"/>
        <v>0</v>
      </c>
      <c r="Z86" s="44">
        <f t="shared" si="44"/>
        <v>102.08361892681542</v>
      </c>
      <c r="AA86" s="50">
        <f t="shared" si="45"/>
        <v>20.427779310065855</v>
      </c>
      <c r="AB86" s="51">
        <f t="shared" si="46"/>
        <v>95.583912852823417</v>
      </c>
      <c r="AC86" s="44">
        <f t="shared" si="47"/>
        <v>19.127134185454921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3.2695302314196475</v>
      </c>
      <c r="AG86" s="44">
        <f t="shared" si="50"/>
        <v>384.72562233114991</v>
      </c>
      <c r="AH86" s="52">
        <f>HLOOKUP(I86,ElecAvoidedCostsWOCC!$A$5:$Q$50,T86+1,FALSE)</f>
        <v>3.2695302314196475</v>
      </c>
      <c r="AI86" s="44">
        <f t="shared" si="51"/>
        <v>0</v>
      </c>
      <c r="AJ86" s="44">
        <f t="shared" si="52"/>
        <v>384.72562233114991</v>
      </c>
      <c r="AK86" s="44">
        <f>HLOOKUP(I86,ElecAvoidedCostsWOCC!$A$5:$Q$50,G86+1,FALSE)*J86*L86</f>
        <v>0</v>
      </c>
      <c r="AL86" s="44">
        <f t="shared" si="53"/>
        <v>384.72562233114991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384.72562233114996</v>
      </c>
      <c r="AN86" s="48">
        <f t="shared" si="54"/>
        <v>423.19818456426498</v>
      </c>
      <c r="AO86" s="47">
        <f t="shared" si="55"/>
        <v>4.0250039033611893</v>
      </c>
      <c r="AP86" s="47">
        <f t="shared" si="56"/>
        <v>22.12554063044545</v>
      </c>
    </row>
    <row r="87" spans="2:42" x14ac:dyDescent="0.35">
      <c r="B87" s="97" t="s">
        <v>15</v>
      </c>
      <c r="C87" s="61">
        <v>18230627</v>
      </c>
      <c r="D87" s="61" t="s">
        <v>76</v>
      </c>
      <c r="E87" s="38" t="s">
        <v>840</v>
      </c>
      <c r="F87" s="39" t="s">
        <v>839</v>
      </c>
      <c r="G87" s="39">
        <v>45</v>
      </c>
      <c r="H87" s="39"/>
      <c r="I87" s="40" t="s">
        <v>274</v>
      </c>
      <c r="J87" s="41">
        <v>29011</v>
      </c>
      <c r="K87" s="496">
        <v>2.8700148219640825E-2</v>
      </c>
      <c r="L87" s="41"/>
      <c r="M87" s="42">
        <v>0</v>
      </c>
      <c r="N87" s="42">
        <v>0</v>
      </c>
      <c r="O87" s="43">
        <v>832.62</v>
      </c>
      <c r="P87" s="44">
        <v>0</v>
      </c>
      <c r="Q87" s="44">
        <v>0</v>
      </c>
      <c r="R87" s="45">
        <v>4.8800000000000003E-2</v>
      </c>
      <c r="S87" s="46">
        <v>0</v>
      </c>
      <c r="T87" s="39">
        <f t="shared" si="38"/>
        <v>45</v>
      </c>
      <c r="U87" s="47">
        <f t="shared" si="39"/>
        <v>2.7626236432772372E-2</v>
      </c>
      <c r="V87" s="48">
        <f t="shared" si="40"/>
        <v>0</v>
      </c>
      <c r="W87" s="49">
        <f t="shared" si="41"/>
        <v>6.1391636517271937E-4</v>
      </c>
      <c r="X87" s="44">
        <f t="shared" si="42"/>
        <v>144.54472345667574</v>
      </c>
      <c r="Y87" s="44">
        <f t="shared" si="43"/>
        <v>0</v>
      </c>
      <c r="Z87" s="44">
        <f t="shared" si="44"/>
        <v>722.33247888879964</v>
      </c>
      <c r="AA87" s="50">
        <f t="shared" si="45"/>
        <v>144.54472345667574</v>
      </c>
      <c r="AB87" s="51">
        <f t="shared" si="46"/>
        <v>676.34127236778988</v>
      </c>
      <c r="AC87" s="44">
        <f t="shared" si="47"/>
        <v>135.34150136392859</v>
      </c>
      <c r="AD87" s="44">
        <f t="shared" si="48"/>
        <v>19741.290214532728</v>
      </c>
      <c r="AE87" s="44">
        <f t="shared" si="49"/>
        <v>0</v>
      </c>
      <c r="AF87" s="52">
        <f>HLOOKUP(I87,ElecAvoidedCostsWOCC!$A$5:$Q$50,G87+1,FALSE)</f>
        <v>3.2695302314196475</v>
      </c>
      <c r="AG87" s="44">
        <f t="shared" si="50"/>
        <v>2722.2762612846268</v>
      </c>
      <c r="AH87" s="52">
        <f>HLOOKUP(I87,ElecAvoidedCostsWOCC!$A$5:$Q$50,T87+1,FALSE)</f>
        <v>3.2695302314196475</v>
      </c>
      <c r="AI87" s="44">
        <f t="shared" si="51"/>
        <v>0</v>
      </c>
      <c r="AJ87" s="44">
        <f t="shared" si="52"/>
        <v>2722.2762612846268</v>
      </c>
      <c r="AK87" s="44">
        <f>HLOOKUP(I87,ElecAvoidedCostsWOCC!$A$5:$Q$50,G87+1,FALSE)*J87*L87</f>
        <v>0</v>
      </c>
      <c r="AL87" s="44">
        <f t="shared" si="53"/>
        <v>2722.2762612846268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2722.2762612846268</v>
      </c>
      <c r="AN87" s="48">
        <f t="shared" si="54"/>
        <v>22735.794101945816</v>
      </c>
      <c r="AO87" s="47">
        <f t="shared" si="55"/>
        <v>4.0250039033611884</v>
      </c>
      <c r="AP87" s="47">
        <f t="shared" si="56"/>
        <v>167.98833966537771</v>
      </c>
    </row>
    <row r="88" spans="2:42" x14ac:dyDescent="0.35">
      <c r="B88" s="97" t="s">
        <v>15</v>
      </c>
      <c r="C88" s="61">
        <v>18230627</v>
      </c>
      <c r="D88" s="61" t="s">
        <v>76</v>
      </c>
      <c r="E88" s="38" t="s">
        <v>841</v>
      </c>
      <c r="F88" s="39" t="s">
        <v>842</v>
      </c>
      <c r="G88" s="39">
        <v>45</v>
      </c>
      <c r="H88" s="39"/>
      <c r="I88" s="40" t="s">
        <v>274</v>
      </c>
      <c r="J88" s="41">
        <v>1870</v>
      </c>
      <c r="K88" s="496">
        <v>0.43389839572192512</v>
      </c>
      <c r="L88" s="41"/>
      <c r="M88" s="42">
        <v>1</v>
      </c>
      <c r="N88" s="42">
        <v>1.24</v>
      </c>
      <c r="O88" s="43">
        <v>811.39</v>
      </c>
      <c r="P88" s="44">
        <v>1870</v>
      </c>
      <c r="Q88" s="44">
        <v>2318.8000000000002</v>
      </c>
      <c r="R88" s="45">
        <v>4.1000000000000003E-3</v>
      </c>
      <c r="S88" s="46">
        <v>0</v>
      </c>
      <c r="T88" s="39">
        <f t="shared" si="38"/>
        <v>45</v>
      </c>
      <c r="U88" s="47">
        <f t="shared" si="39"/>
        <v>2.6921827459329795E-2</v>
      </c>
      <c r="V88" s="48">
        <f t="shared" si="40"/>
        <v>0.24</v>
      </c>
      <c r="W88" s="49">
        <f t="shared" si="41"/>
        <v>5.9826283242955098E-4</v>
      </c>
      <c r="X88" s="44">
        <f t="shared" si="42"/>
        <v>140.85914722864226</v>
      </c>
      <c r="Y88" s="44">
        <f t="shared" si="43"/>
        <v>448.80000000000018</v>
      </c>
      <c r="Z88" s="44">
        <f t="shared" si="44"/>
        <v>703.91457092741371</v>
      </c>
      <c r="AA88" s="50">
        <f t="shared" si="45"/>
        <v>2459.6591472286423</v>
      </c>
      <c r="AB88" s="51">
        <f t="shared" si="46"/>
        <v>659.0960401942076</v>
      </c>
      <c r="AC88" s="44">
        <f t="shared" si="47"/>
        <v>2303.0516359818748</v>
      </c>
      <c r="AD88" s="44">
        <f t="shared" si="48"/>
        <v>106.91003587306795</v>
      </c>
      <c r="AE88" s="44">
        <f t="shared" si="49"/>
        <v>0</v>
      </c>
      <c r="AF88" s="52">
        <f>HLOOKUP(I88,ElecAvoidedCostsWOCC!$A$5:$Q$50,G88+1,FALSE)</f>
        <v>3.2695302314196475</v>
      </c>
      <c r="AG88" s="44">
        <f t="shared" si="50"/>
        <v>2652.8641344715879</v>
      </c>
      <c r="AH88" s="52">
        <f>HLOOKUP(I88,ElecAvoidedCostsWOCC!$A$5:$Q$50,T88+1,FALSE)</f>
        <v>3.2695302314196475</v>
      </c>
      <c r="AI88" s="44">
        <f t="shared" si="51"/>
        <v>0</v>
      </c>
      <c r="AJ88" s="44">
        <f t="shared" si="52"/>
        <v>2652.8641344715879</v>
      </c>
      <c r="AK88" s="44">
        <f>HLOOKUP(I88,ElecAvoidedCostsWOCC!$A$5:$Q$50,G88+1,FALSE)*J88*L88</f>
        <v>0</v>
      </c>
      <c r="AL88" s="44">
        <f t="shared" si="53"/>
        <v>2652.8641344715879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2652.8641344715879</v>
      </c>
      <c r="AN88" s="48">
        <f t="shared" si="54"/>
        <v>3025.0605837918151</v>
      </c>
      <c r="AO88" s="47">
        <f t="shared" si="55"/>
        <v>4.0250039033611875</v>
      </c>
      <c r="AP88" s="47">
        <f t="shared" si="56"/>
        <v>1.3135009812761413</v>
      </c>
    </row>
    <row r="89" spans="2:42" x14ac:dyDescent="0.35">
      <c r="B89" s="97" t="s">
        <v>15</v>
      </c>
      <c r="C89" s="61">
        <v>18230627</v>
      </c>
      <c r="D89" s="61" t="s">
        <v>76</v>
      </c>
      <c r="E89" s="38" t="s">
        <v>843</v>
      </c>
      <c r="F89" s="39" t="s">
        <v>844</v>
      </c>
      <c r="G89" s="39">
        <v>45</v>
      </c>
      <c r="H89" s="39"/>
      <c r="I89" s="40" t="s">
        <v>274</v>
      </c>
      <c r="J89" s="41">
        <v>1100</v>
      </c>
      <c r="K89" s="496">
        <v>0.34010000000000001</v>
      </c>
      <c r="L89" s="41"/>
      <c r="M89" s="42">
        <v>1</v>
      </c>
      <c r="N89" s="42">
        <v>1.41</v>
      </c>
      <c r="O89" s="43">
        <v>374.11</v>
      </c>
      <c r="P89" s="44">
        <v>1100</v>
      </c>
      <c r="Q89" s="44">
        <v>1551</v>
      </c>
      <c r="R89" s="45">
        <v>3.2000000000000002E-3</v>
      </c>
      <c r="S89" s="46">
        <v>0</v>
      </c>
      <c r="T89" s="39">
        <f t="shared" si="38"/>
        <v>45</v>
      </c>
      <c r="U89" s="47">
        <f t="shared" si="39"/>
        <v>1.241292703978342E-2</v>
      </c>
      <c r="V89" s="48">
        <f t="shared" si="40"/>
        <v>0.40999999999999992</v>
      </c>
      <c r="W89" s="49">
        <f t="shared" si="41"/>
        <v>2.7584282310629823E-4</v>
      </c>
      <c r="X89" s="44">
        <f t="shared" si="42"/>
        <v>64.946345862911002</v>
      </c>
      <c r="Y89" s="44">
        <f t="shared" si="43"/>
        <v>451</v>
      </c>
      <c r="Z89" s="44">
        <f t="shared" si="44"/>
        <v>324.55598433509743</v>
      </c>
      <c r="AA89" s="50">
        <f t="shared" si="45"/>
        <v>1615.9463458629109</v>
      </c>
      <c r="AB89" s="51">
        <f t="shared" si="46"/>
        <v>303.89137110027849</v>
      </c>
      <c r="AC89" s="44">
        <f t="shared" si="47"/>
        <v>1513.0583762761337</v>
      </c>
      <c r="AD89" s="44">
        <f t="shared" si="48"/>
        <v>49.083517187061325</v>
      </c>
      <c r="AE89" s="44">
        <f t="shared" si="49"/>
        <v>0</v>
      </c>
      <c r="AF89" s="52">
        <f>HLOOKUP(I89,ElecAvoidedCostsWOCC!$A$5:$Q$50,G89+1,FALSE)</f>
        <v>3.2695302314196475</v>
      </c>
      <c r="AG89" s="44">
        <f t="shared" si="50"/>
        <v>1223.1639548764044</v>
      </c>
      <c r="AH89" s="52">
        <f>HLOOKUP(I89,ElecAvoidedCostsWOCC!$A$5:$Q$50,T89+1,FALSE)</f>
        <v>3.2695302314196475</v>
      </c>
      <c r="AI89" s="44">
        <f t="shared" si="51"/>
        <v>0</v>
      </c>
      <c r="AJ89" s="44">
        <f t="shared" si="52"/>
        <v>1223.1639548764044</v>
      </c>
      <c r="AK89" s="44">
        <f>HLOOKUP(I89,ElecAvoidedCostsWOCC!$A$5:$Q$50,G89+1,FALSE)*J89*L89</f>
        <v>0</v>
      </c>
      <c r="AL89" s="44">
        <f t="shared" si="53"/>
        <v>1223.1639548764044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1223.1639548764044</v>
      </c>
      <c r="AN89" s="48">
        <f t="shared" si="54"/>
        <v>1394.5638675511063</v>
      </c>
      <c r="AO89" s="47">
        <f t="shared" si="55"/>
        <v>4.0250039033611884</v>
      </c>
      <c r="AP89" s="47">
        <f t="shared" si="56"/>
        <v>0.92168543488939247</v>
      </c>
    </row>
    <row r="90" spans="2:42" x14ac:dyDescent="0.35">
      <c r="B90" s="97" t="s">
        <v>15</v>
      </c>
      <c r="C90" s="61">
        <v>18230627</v>
      </c>
      <c r="D90" s="61" t="s">
        <v>76</v>
      </c>
      <c r="E90" s="38" t="s">
        <v>845</v>
      </c>
      <c r="F90" s="39" t="s">
        <v>846</v>
      </c>
      <c r="G90" s="39">
        <v>45</v>
      </c>
      <c r="H90" s="39"/>
      <c r="I90" s="40" t="s">
        <v>274</v>
      </c>
      <c r="J90" s="41">
        <v>3556</v>
      </c>
      <c r="K90" s="496">
        <v>3.3599550056242967E-2</v>
      </c>
      <c r="L90" s="41"/>
      <c r="M90" s="42">
        <v>0</v>
      </c>
      <c r="N90" s="42">
        <v>0</v>
      </c>
      <c r="O90" s="43">
        <v>119.48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3.9643327436137046E-3</v>
      </c>
      <c r="V90" s="48">
        <f t="shared" si="40"/>
        <v>0</v>
      </c>
      <c r="W90" s="49">
        <f t="shared" si="41"/>
        <v>8.8096283191415662E-5</v>
      </c>
      <c r="X90" s="44">
        <f t="shared" si="42"/>
        <v>20.741999421829423</v>
      </c>
      <c r="Y90" s="44">
        <f t="shared" si="43"/>
        <v>0</v>
      </c>
      <c r="Z90" s="44">
        <f t="shared" si="44"/>
        <v>103.65386920520018</v>
      </c>
      <c r="AA90" s="50">
        <f t="shared" si="45"/>
        <v>20.741999421829423</v>
      </c>
      <c r="AB90" s="51">
        <f t="shared" si="46"/>
        <v>97.054184649063828</v>
      </c>
      <c r="AC90" s="44">
        <f t="shared" si="47"/>
        <v>19.421347773248524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3.2695302314196475</v>
      </c>
      <c r="AG90" s="44">
        <f t="shared" si="50"/>
        <v>390.64347205001945</v>
      </c>
      <c r="AH90" s="52">
        <f>HLOOKUP(I90,ElecAvoidedCostsWOCC!$A$5:$Q$50,T90+1,FALSE)</f>
        <v>3.2695302314196475</v>
      </c>
      <c r="AI90" s="44">
        <f t="shared" si="51"/>
        <v>0</v>
      </c>
      <c r="AJ90" s="44">
        <f t="shared" si="52"/>
        <v>390.64347205001945</v>
      </c>
      <c r="AK90" s="44">
        <f>HLOOKUP(I90,ElecAvoidedCostsWOCC!$A$5:$Q$50,G90+1,FALSE)*J90*L90</f>
        <v>0</v>
      </c>
      <c r="AL90" s="44">
        <f t="shared" si="53"/>
        <v>390.64347205001945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390.64347205001945</v>
      </c>
      <c r="AN90" s="48">
        <f t="shared" si="54"/>
        <v>429.70781925502143</v>
      </c>
      <c r="AO90" s="47">
        <f t="shared" si="55"/>
        <v>4.0250039033611884</v>
      </c>
      <c r="AP90" s="47">
        <f t="shared" si="56"/>
        <v>22.125540630445446</v>
      </c>
    </row>
    <row r="91" spans="2:42" x14ac:dyDescent="0.35">
      <c r="B91" s="97" t="s">
        <v>15</v>
      </c>
      <c r="C91" s="61">
        <v>18230627</v>
      </c>
      <c r="D91" s="61" t="s">
        <v>76</v>
      </c>
      <c r="E91" s="38" t="s">
        <v>847</v>
      </c>
      <c r="F91" s="39" t="s">
        <v>846</v>
      </c>
      <c r="G91" s="39">
        <v>45</v>
      </c>
      <c r="H91" s="39"/>
      <c r="I91" s="40" t="s">
        <v>274</v>
      </c>
      <c r="J91" s="41">
        <v>24231</v>
      </c>
      <c r="K91" s="496">
        <v>3.3599933968882834E-2</v>
      </c>
      <c r="L91" s="41"/>
      <c r="M91" s="42">
        <v>0</v>
      </c>
      <c r="N91" s="42">
        <v>0</v>
      </c>
      <c r="O91" s="43">
        <v>814.16</v>
      </c>
      <c r="P91" s="44">
        <v>0</v>
      </c>
      <c r="Q91" s="44">
        <v>0</v>
      </c>
      <c r="R91" s="45">
        <v>3.9300000000000002E-2</v>
      </c>
      <c r="S91" s="46">
        <v>0</v>
      </c>
      <c r="T91" s="39">
        <f t="shared" si="38"/>
        <v>45</v>
      </c>
      <c r="U91" s="47">
        <f t="shared" si="39"/>
        <v>2.7013735742722911E-2</v>
      </c>
      <c r="V91" s="48">
        <f t="shared" si="40"/>
        <v>0</v>
      </c>
      <c r="W91" s="49">
        <f t="shared" si="41"/>
        <v>6.0030523872717581E-4</v>
      </c>
      <c r="X91" s="44">
        <f t="shared" si="42"/>
        <v>141.34002552123067</v>
      </c>
      <c r="Y91" s="44">
        <f t="shared" si="43"/>
        <v>0</v>
      </c>
      <c r="Z91" s="44">
        <f t="shared" si="44"/>
        <v>706.31766113245544</v>
      </c>
      <c r="AA91" s="50">
        <f t="shared" si="45"/>
        <v>141.34002552123067</v>
      </c>
      <c r="AB91" s="51">
        <f t="shared" si="46"/>
        <v>661.34612465585712</v>
      </c>
      <c r="AC91" s="44">
        <f t="shared" si="47"/>
        <v>132.34084786632084</v>
      </c>
      <c r="AD91" s="44">
        <f t="shared" si="48"/>
        <v>13278.740995714643</v>
      </c>
      <c r="AE91" s="44">
        <f t="shared" si="49"/>
        <v>0</v>
      </c>
      <c r="AF91" s="52">
        <f>HLOOKUP(I91,ElecAvoidedCostsWOCC!$A$5:$Q$50,G91+1,FALSE)</f>
        <v>3.2695302314196475</v>
      </c>
      <c r="AG91" s="44">
        <f t="shared" si="50"/>
        <v>2661.9207332126202</v>
      </c>
      <c r="AH91" s="52">
        <f>HLOOKUP(I91,ElecAvoidedCostsWOCC!$A$5:$Q$50,T91+1,FALSE)</f>
        <v>3.2695302314196475</v>
      </c>
      <c r="AI91" s="44">
        <f t="shared" si="51"/>
        <v>0</v>
      </c>
      <c r="AJ91" s="44">
        <f t="shared" si="52"/>
        <v>2661.9207332126202</v>
      </c>
      <c r="AK91" s="44">
        <f>HLOOKUP(I91,ElecAvoidedCostsWOCC!$A$5:$Q$50,G91+1,FALSE)*J91*L91</f>
        <v>0</v>
      </c>
      <c r="AL91" s="44">
        <f t="shared" si="53"/>
        <v>2661.9207332126202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2661.9207332126198</v>
      </c>
      <c r="AN91" s="48">
        <f t="shared" si="54"/>
        <v>16206.853802248525</v>
      </c>
      <c r="AO91" s="47">
        <f t="shared" si="55"/>
        <v>4.0250039033611884</v>
      </c>
      <c r="AP91" s="47">
        <f t="shared" si="56"/>
        <v>122.46297393091565</v>
      </c>
    </row>
    <row r="92" spans="2:42" x14ac:dyDescent="0.35">
      <c r="B92" s="97" t="s">
        <v>15</v>
      </c>
      <c r="C92" s="61">
        <v>18230627</v>
      </c>
      <c r="D92" s="61" t="s">
        <v>76</v>
      </c>
      <c r="E92" s="38" t="s">
        <v>848</v>
      </c>
      <c r="F92" s="39" t="s">
        <v>849</v>
      </c>
      <c r="G92" s="39">
        <v>45</v>
      </c>
      <c r="H92" s="39"/>
      <c r="I92" s="40" t="s">
        <v>274</v>
      </c>
      <c r="J92" s="41">
        <v>1350</v>
      </c>
      <c r="K92" s="496">
        <v>0.18360000000000001</v>
      </c>
      <c r="L92" s="41"/>
      <c r="M92" s="42">
        <v>1</v>
      </c>
      <c r="N92" s="42">
        <v>1.41</v>
      </c>
      <c r="O92" s="43">
        <v>247.86</v>
      </c>
      <c r="P92" s="44">
        <v>1350</v>
      </c>
      <c r="Q92" s="44">
        <v>1903.5</v>
      </c>
      <c r="R92" s="45">
        <v>1.8E-3</v>
      </c>
      <c r="S92" s="46">
        <v>0</v>
      </c>
      <c r="T92" s="39">
        <f t="shared" si="38"/>
        <v>45</v>
      </c>
      <c r="U92" s="47">
        <f t="shared" si="39"/>
        <v>8.2239664699706467E-3</v>
      </c>
      <c r="V92" s="48">
        <f t="shared" si="40"/>
        <v>0.40999999999999992</v>
      </c>
      <c r="W92" s="49">
        <f t="shared" si="41"/>
        <v>1.8275481044379216E-4</v>
      </c>
      <c r="X92" s="44">
        <f t="shared" si="42"/>
        <v>43.029059061722812</v>
      </c>
      <c r="Y92" s="44">
        <f t="shared" si="43"/>
        <v>553.5</v>
      </c>
      <c r="Z92" s="44">
        <f t="shared" si="44"/>
        <v>215.02885856378407</v>
      </c>
      <c r="AA92" s="50">
        <f t="shared" si="45"/>
        <v>1946.5290590617228</v>
      </c>
      <c r="AB92" s="51">
        <f t="shared" si="46"/>
        <v>201.33788255035961</v>
      </c>
      <c r="AC92" s="44">
        <f t="shared" si="47"/>
        <v>1822.5927519304519</v>
      </c>
      <c r="AD92" s="44">
        <f t="shared" si="48"/>
        <v>33.884359876295179</v>
      </c>
      <c r="AE92" s="44">
        <f t="shared" si="49"/>
        <v>0</v>
      </c>
      <c r="AF92" s="52">
        <f>HLOOKUP(I92,ElecAvoidedCostsWOCC!$A$5:$Q$50,G92+1,FALSE)</f>
        <v>3.2695302314196475</v>
      </c>
      <c r="AG92" s="44">
        <f t="shared" si="50"/>
        <v>810.38576315967384</v>
      </c>
      <c r="AH92" s="52">
        <f>HLOOKUP(I92,ElecAvoidedCostsWOCC!$A$5:$Q$50,T92+1,FALSE)</f>
        <v>3.2695302314196475</v>
      </c>
      <c r="AI92" s="44">
        <f t="shared" si="51"/>
        <v>0</v>
      </c>
      <c r="AJ92" s="44">
        <f t="shared" si="52"/>
        <v>810.38576315967384</v>
      </c>
      <c r="AK92" s="44">
        <f>HLOOKUP(I92,ElecAvoidedCostsWOCC!$A$5:$Q$50,G92+1,FALSE)*J92*L92</f>
        <v>0</v>
      </c>
      <c r="AL92" s="44">
        <f t="shared" si="53"/>
        <v>810.38576315967384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810.38576315967384</v>
      </c>
      <c r="AN92" s="48">
        <f t="shared" si="54"/>
        <v>925.30869935193653</v>
      </c>
      <c r="AO92" s="47">
        <f t="shared" si="55"/>
        <v>4.0250039033611884</v>
      </c>
      <c r="AP92" s="47">
        <f t="shared" si="56"/>
        <v>0.50768812636386762</v>
      </c>
    </row>
    <row r="93" spans="2:42" x14ac:dyDescent="0.35">
      <c r="B93" s="97" t="s">
        <v>15</v>
      </c>
      <c r="C93" s="61">
        <v>18230627</v>
      </c>
      <c r="D93" s="61" t="s">
        <v>76</v>
      </c>
      <c r="E93" s="38" t="s">
        <v>850</v>
      </c>
      <c r="F93" s="39" t="s">
        <v>851</v>
      </c>
      <c r="G93" s="39">
        <v>45</v>
      </c>
      <c r="H93" s="39"/>
      <c r="I93" s="40" t="s">
        <v>274</v>
      </c>
      <c r="J93" s="41">
        <v>1030</v>
      </c>
      <c r="K93" s="496">
        <v>0.62309708737864078</v>
      </c>
      <c r="L93" s="41"/>
      <c r="M93" s="42">
        <v>0.5</v>
      </c>
      <c r="N93" s="42">
        <v>1.41</v>
      </c>
      <c r="O93" s="43">
        <v>641.79</v>
      </c>
      <c r="P93" s="44">
        <v>400</v>
      </c>
      <c r="Q93" s="44">
        <v>1452.3</v>
      </c>
      <c r="R93" s="45">
        <v>0</v>
      </c>
      <c r="S93" s="46">
        <v>0</v>
      </c>
      <c r="T93" s="39">
        <f t="shared" si="38"/>
        <v>45</v>
      </c>
      <c r="U93" s="47">
        <f t="shared" si="39"/>
        <v>2.1294518844357544E-2</v>
      </c>
      <c r="V93" s="48">
        <f t="shared" si="40"/>
        <v>0.90999999999999992</v>
      </c>
      <c r="W93" s="49">
        <f t="shared" si="41"/>
        <v>4.7321152987461209E-4</v>
      </c>
      <c r="X93" s="44">
        <f t="shared" si="42"/>
        <v>111.41620194958072</v>
      </c>
      <c r="Y93" s="44">
        <f t="shared" si="43"/>
        <v>1052.3</v>
      </c>
      <c r="Z93" s="44">
        <f t="shared" si="44"/>
        <v>556.77951721798979</v>
      </c>
      <c r="AA93" s="50">
        <f t="shared" si="45"/>
        <v>1563.7162019495806</v>
      </c>
      <c r="AB93" s="51">
        <f t="shared" si="46"/>
        <v>521.32913597190054</v>
      </c>
      <c r="AC93" s="44">
        <f t="shared" si="47"/>
        <v>1464.1537471438021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3.2695302314196475</v>
      </c>
      <c r="AG93" s="44">
        <f t="shared" si="50"/>
        <v>2098.3518072228158</v>
      </c>
      <c r="AH93" s="52">
        <f>HLOOKUP(I93,ElecAvoidedCostsWOCC!$A$5:$Q$50,T93+1,FALSE)</f>
        <v>3.2695302314196475</v>
      </c>
      <c r="AI93" s="44">
        <f t="shared" si="51"/>
        <v>0</v>
      </c>
      <c r="AJ93" s="44">
        <f t="shared" si="52"/>
        <v>2098.3518072228158</v>
      </c>
      <c r="AK93" s="44">
        <f>HLOOKUP(I93,ElecAvoidedCostsWOCC!$A$5:$Q$50,G93+1,FALSE)*J93*L93</f>
        <v>0</v>
      </c>
      <c r="AL93" s="44">
        <f t="shared" si="53"/>
        <v>2098.3518072228158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2098.3518072228158</v>
      </c>
      <c r="AN93" s="48">
        <f t="shared" si="54"/>
        <v>2308.1869879450974</v>
      </c>
      <c r="AO93" s="47">
        <f t="shared" si="55"/>
        <v>4.0250039033611893</v>
      </c>
      <c r="AP93" s="47">
        <f t="shared" si="56"/>
        <v>1.5764648982033431</v>
      </c>
    </row>
    <row r="94" spans="2:42" x14ac:dyDescent="0.35">
      <c r="B94" s="97" t="s">
        <v>15</v>
      </c>
      <c r="C94" s="61">
        <v>18230627</v>
      </c>
      <c r="D94" s="61" t="s">
        <v>76</v>
      </c>
      <c r="E94" s="38" t="s">
        <v>852</v>
      </c>
      <c r="F94" s="39" t="s">
        <v>851</v>
      </c>
      <c r="G94" s="39">
        <v>45</v>
      </c>
      <c r="H94" s="39"/>
      <c r="I94" s="40" t="s">
        <v>274</v>
      </c>
      <c r="J94" s="41">
        <v>2278</v>
      </c>
      <c r="K94" s="496">
        <v>0.62309920983318701</v>
      </c>
      <c r="L94" s="41"/>
      <c r="M94" s="42">
        <v>1</v>
      </c>
      <c r="N94" s="42">
        <v>1.41</v>
      </c>
      <c r="O94" s="43">
        <v>1419.42</v>
      </c>
      <c r="P94" s="44">
        <v>2278</v>
      </c>
      <c r="Q94" s="44">
        <v>3211.98</v>
      </c>
      <c r="R94" s="45">
        <v>5.8999999999999999E-3</v>
      </c>
      <c r="S94" s="46">
        <v>0</v>
      </c>
      <c r="T94" s="39">
        <f t="shared" si="38"/>
        <v>45</v>
      </c>
      <c r="U94" s="47">
        <f t="shared" si="39"/>
        <v>4.7096193362405135E-2</v>
      </c>
      <c r="V94" s="48">
        <f t="shared" si="40"/>
        <v>0.40999999999999992</v>
      </c>
      <c r="W94" s="49">
        <f t="shared" si="41"/>
        <v>1.0465820747201141E-3</v>
      </c>
      <c r="X94" s="44">
        <f t="shared" si="42"/>
        <v>246.41453648588154</v>
      </c>
      <c r="Y94" s="44">
        <f t="shared" si="43"/>
        <v>933.98</v>
      </c>
      <c r="Z94" s="44">
        <f t="shared" si="44"/>
        <v>1231.4058840579617</v>
      </c>
      <c r="AA94" s="50">
        <f t="shared" si="45"/>
        <v>3458.3945364858814</v>
      </c>
      <c r="AB94" s="51">
        <f t="shared" si="46"/>
        <v>1153.0017640992151</v>
      </c>
      <c r="AC94" s="44">
        <f t="shared" si="47"/>
        <v>3238.1971315410874</v>
      </c>
      <c r="AD94" s="44">
        <f t="shared" si="48"/>
        <v>187.41258173225611</v>
      </c>
      <c r="AE94" s="44">
        <f t="shared" si="49"/>
        <v>0</v>
      </c>
      <c r="AF94" s="52">
        <f>HLOOKUP(I94,ElecAvoidedCostsWOCC!$A$5:$Q$50,G94+1,FALSE)</f>
        <v>3.2695302314196475</v>
      </c>
      <c r="AG94" s="44">
        <f t="shared" si="50"/>
        <v>4640.8366010816753</v>
      </c>
      <c r="AH94" s="52">
        <f>HLOOKUP(I94,ElecAvoidedCostsWOCC!$A$5:$Q$50,T94+1,FALSE)</f>
        <v>3.2695302314196475</v>
      </c>
      <c r="AI94" s="44">
        <f t="shared" si="51"/>
        <v>0</v>
      </c>
      <c r="AJ94" s="44">
        <f t="shared" si="52"/>
        <v>4640.8366010816753</v>
      </c>
      <c r="AK94" s="44">
        <f>HLOOKUP(I94,ElecAvoidedCostsWOCC!$A$5:$Q$50,G94+1,FALSE)*J94*L94</f>
        <v>0</v>
      </c>
      <c r="AL94" s="44">
        <f t="shared" si="53"/>
        <v>4640.8366010816753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4640.8366010816762</v>
      </c>
      <c r="AN94" s="48">
        <f t="shared" si="54"/>
        <v>5292.332842922101</v>
      </c>
      <c r="AO94" s="47">
        <f t="shared" si="55"/>
        <v>4.0250039033611884</v>
      </c>
      <c r="AP94" s="47">
        <f t="shared" si="56"/>
        <v>1.634345479270878</v>
      </c>
    </row>
    <row r="95" spans="2:42" x14ac:dyDescent="0.35">
      <c r="B95" s="97" t="s">
        <v>15</v>
      </c>
      <c r="C95" s="61">
        <v>18230627</v>
      </c>
      <c r="D95" s="61" t="s">
        <v>76</v>
      </c>
      <c r="E95" s="38" t="s">
        <v>853</v>
      </c>
      <c r="F95" s="39" t="s">
        <v>854</v>
      </c>
      <c r="G95" s="39">
        <v>45</v>
      </c>
      <c r="H95" s="39"/>
      <c r="I95" s="40" t="s">
        <v>274</v>
      </c>
      <c r="J95" s="41">
        <v>1724</v>
      </c>
      <c r="K95" s="496">
        <v>1.0429002320185614</v>
      </c>
      <c r="L95" s="41"/>
      <c r="M95" s="42">
        <v>1.56</v>
      </c>
      <c r="N95" s="42">
        <v>1.56</v>
      </c>
      <c r="O95" s="43">
        <v>1797.96</v>
      </c>
      <c r="P95" s="44">
        <v>800</v>
      </c>
      <c r="Q95" s="44">
        <v>2689.44</v>
      </c>
      <c r="R95" s="45">
        <v>0</v>
      </c>
      <c r="S95" s="46">
        <v>0</v>
      </c>
      <c r="T95" s="39">
        <f t="shared" si="38"/>
        <v>45</v>
      </c>
      <c r="U95" s="47">
        <f t="shared" si="39"/>
        <v>5.9656107295846132E-2</v>
      </c>
      <c r="V95" s="48">
        <f t="shared" si="40"/>
        <v>0</v>
      </c>
      <c r="W95" s="49">
        <f t="shared" si="41"/>
        <v>1.3256912732410252E-3</v>
      </c>
      <c r="X95" s="44">
        <f t="shared" si="42"/>
        <v>312.12994041239062</v>
      </c>
      <c r="Y95" s="44">
        <f t="shared" si="43"/>
        <v>1889.44</v>
      </c>
      <c r="Z95" s="44">
        <f t="shared" si="44"/>
        <v>1559.8050776379455</v>
      </c>
      <c r="AA95" s="50">
        <f t="shared" si="45"/>
        <v>3001.5699404123907</v>
      </c>
      <c r="AB95" s="51">
        <f t="shared" si="46"/>
        <v>1460.4916457284132</v>
      </c>
      <c r="AC95" s="44">
        <f t="shared" si="47"/>
        <v>2810.4587457044854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3.2695302314196475</v>
      </c>
      <c r="AG95" s="44">
        <f t="shared" si="50"/>
        <v>5878.4845748832686</v>
      </c>
      <c r="AH95" s="52">
        <f>HLOOKUP(I95,ElecAvoidedCostsWOCC!$A$5:$Q$50,T95+1,FALSE)</f>
        <v>3.2695302314196475</v>
      </c>
      <c r="AI95" s="44">
        <f t="shared" si="51"/>
        <v>0</v>
      </c>
      <c r="AJ95" s="44">
        <f t="shared" si="52"/>
        <v>5878.4845748832686</v>
      </c>
      <c r="AK95" s="44">
        <f>HLOOKUP(I95,ElecAvoidedCostsWOCC!$A$5:$Q$50,G95+1,FALSE)*J95*L95</f>
        <v>0</v>
      </c>
      <c r="AL95" s="44">
        <f t="shared" si="53"/>
        <v>5878.4845748832686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5878.4845748832695</v>
      </c>
      <c r="AN95" s="48">
        <f t="shared" si="54"/>
        <v>6466.3330323715973</v>
      </c>
      <c r="AO95" s="47">
        <f t="shared" si="55"/>
        <v>4.0250039033611884</v>
      </c>
      <c r="AP95" s="47">
        <f t="shared" si="56"/>
        <v>2.3008105143883584</v>
      </c>
    </row>
    <row r="96" spans="2:42" x14ac:dyDescent="0.35">
      <c r="B96" s="97" t="s">
        <v>15</v>
      </c>
      <c r="C96" s="61">
        <v>18230627</v>
      </c>
      <c r="D96" s="61" t="s">
        <v>76</v>
      </c>
      <c r="E96" s="38" t="s">
        <v>855</v>
      </c>
      <c r="F96" s="39" t="s">
        <v>856</v>
      </c>
      <c r="G96" s="39">
        <v>45</v>
      </c>
      <c r="H96" s="39"/>
      <c r="I96" s="40" t="s">
        <v>274</v>
      </c>
      <c r="J96" s="41">
        <v>4933</v>
      </c>
      <c r="K96" s="496">
        <v>6.2700182444759778E-2</v>
      </c>
      <c r="L96" s="41"/>
      <c r="M96" s="42">
        <v>0</v>
      </c>
      <c r="N96" s="42">
        <v>0</v>
      </c>
      <c r="O96" s="43">
        <v>309.3</v>
      </c>
      <c r="P96" s="44">
        <v>0</v>
      </c>
      <c r="Q96" s="44">
        <v>0</v>
      </c>
      <c r="R96" s="45">
        <v>0</v>
      </c>
      <c r="S96" s="46">
        <v>0</v>
      </c>
      <c r="T96" s="39">
        <f t="shared" si="38"/>
        <v>45</v>
      </c>
      <c r="U96" s="47">
        <f t="shared" si="39"/>
        <v>1.0262538647470029E-2</v>
      </c>
      <c r="V96" s="48">
        <f t="shared" si="40"/>
        <v>0</v>
      </c>
      <c r="W96" s="49">
        <f t="shared" si="41"/>
        <v>2.2805641438822285E-4</v>
      </c>
      <c r="X96" s="44">
        <f t="shared" si="42"/>
        <v>53.695182634514907</v>
      </c>
      <c r="Y96" s="44">
        <f t="shared" si="43"/>
        <v>0</v>
      </c>
      <c r="Z96" s="44">
        <f t="shared" si="44"/>
        <v>268.33061386983945</v>
      </c>
      <c r="AA96" s="50">
        <f t="shared" si="45"/>
        <v>53.695182634514907</v>
      </c>
      <c r="AB96" s="51">
        <f t="shared" si="46"/>
        <v>251.24589313655378</v>
      </c>
      <c r="AC96" s="44">
        <f t="shared" si="47"/>
        <v>50.276388234564514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3.2695302314196475</v>
      </c>
      <c r="AG96" s="44">
        <f t="shared" si="50"/>
        <v>1011.2657005780969</v>
      </c>
      <c r="AH96" s="52">
        <f>HLOOKUP(I96,ElecAvoidedCostsWOCC!$A$5:$Q$50,T96+1,FALSE)</f>
        <v>3.2695302314196475</v>
      </c>
      <c r="AI96" s="44">
        <f t="shared" si="51"/>
        <v>0</v>
      </c>
      <c r="AJ96" s="44">
        <f t="shared" si="52"/>
        <v>1011.2657005780969</v>
      </c>
      <c r="AK96" s="44">
        <f>HLOOKUP(I96,ElecAvoidedCostsWOCC!$A$5:$Q$50,G96+1,FALSE)*J96*L96</f>
        <v>0</v>
      </c>
      <c r="AL96" s="44">
        <f t="shared" si="53"/>
        <v>1011.2657005780969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1011.2657005780969</v>
      </c>
      <c r="AN96" s="48">
        <f t="shared" si="54"/>
        <v>1112.3922706359067</v>
      </c>
      <c r="AO96" s="47">
        <f t="shared" si="55"/>
        <v>4.0250039033611884</v>
      </c>
      <c r="AP96" s="47">
        <f t="shared" si="56"/>
        <v>22.12554063044545</v>
      </c>
    </row>
    <row r="97" spans="2:42" x14ac:dyDescent="0.35">
      <c r="B97" s="97" t="s">
        <v>15</v>
      </c>
      <c r="C97" s="61">
        <v>18230627</v>
      </c>
      <c r="D97" s="61" t="s">
        <v>76</v>
      </c>
      <c r="E97" s="38" t="s">
        <v>857</v>
      </c>
      <c r="F97" s="39" t="s">
        <v>858</v>
      </c>
      <c r="G97" s="39">
        <v>45</v>
      </c>
      <c r="H97" s="39"/>
      <c r="I97" s="40" t="s">
        <v>274</v>
      </c>
      <c r="J97" s="41">
        <v>1112.8800000000001</v>
      </c>
      <c r="K97" s="496">
        <v>0.31831823736611314</v>
      </c>
      <c r="L97" s="41"/>
      <c r="M97" s="42">
        <v>0</v>
      </c>
      <c r="N97" s="42">
        <v>0</v>
      </c>
      <c r="O97" s="43">
        <v>354.25</v>
      </c>
      <c r="P97" s="44">
        <v>0</v>
      </c>
      <c r="Q97" s="44">
        <v>0</v>
      </c>
      <c r="R97" s="45">
        <v>0</v>
      </c>
      <c r="S97" s="46">
        <v>0</v>
      </c>
      <c r="T97" s="39">
        <f t="shared" si="38"/>
        <v>45</v>
      </c>
      <c r="U97" s="47">
        <f t="shared" si="39"/>
        <v>1.1753974509751882E-2</v>
      </c>
      <c r="V97" s="48">
        <f t="shared" si="40"/>
        <v>0</v>
      </c>
      <c r="W97" s="49">
        <f t="shared" si="41"/>
        <v>2.6119943355004183E-4</v>
      </c>
      <c r="X97" s="44">
        <f t="shared" si="42"/>
        <v>61.498604747096365</v>
      </c>
      <c r="Y97" s="44">
        <f t="shared" si="43"/>
        <v>0</v>
      </c>
      <c r="Z97" s="44">
        <f t="shared" si="44"/>
        <v>307.32660835237834</v>
      </c>
      <c r="AA97" s="50">
        <f t="shared" si="45"/>
        <v>61.498604747096365</v>
      </c>
      <c r="AB97" s="51">
        <f t="shared" si="46"/>
        <v>287.7589965846239</v>
      </c>
      <c r="AC97" s="44">
        <f t="shared" si="47"/>
        <v>57.58296324634491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3.2695302314196475</v>
      </c>
      <c r="AG97" s="44">
        <f t="shared" si="50"/>
        <v>1158.2310844804103</v>
      </c>
      <c r="AH97" s="52">
        <f>HLOOKUP(I97,ElecAvoidedCostsWOCC!$A$5:$Q$50,T97+1,FALSE)</f>
        <v>3.2695302314196475</v>
      </c>
      <c r="AI97" s="44">
        <f t="shared" si="51"/>
        <v>0</v>
      </c>
      <c r="AJ97" s="44">
        <f t="shared" si="52"/>
        <v>1158.2310844804103</v>
      </c>
      <c r="AK97" s="44">
        <f>HLOOKUP(I97,ElecAvoidedCostsWOCC!$A$5:$Q$50,G97+1,FALSE)*J97*L97</f>
        <v>0</v>
      </c>
      <c r="AL97" s="44">
        <f t="shared" si="53"/>
        <v>1158.2310844804103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1158.2310844804101</v>
      </c>
      <c r="AN97" s="48">
        <f t="shared" si="54"/>
        <v>1274.0541929284511</v>
      </c>
      <c r="AO97" s="47">
        <f t="shared" si="55"/>
        <v>4.0250039033611884</v>
      </c>
      <c r="AP97" s="47">
        <f t="shared" si="56"/>
        <v>22.125540630445446</v>
      </c>
    </row>
    <row r="98" spans="2:42" x14ac:dyDescent="0.35">
      <c r="B98" s="97" t="s">
        <v>15</v>
      </c>
      <c r="C98" s="61">
        <v>18230627</v>
      </c>
      <c r="D98" s="61" t="s">
        <v>76</v>
      </c>
      <c r="E98" s="38" t="s">
        <v>859</v>
      </c>
      <c r="F98" s="39" t="s">
        <v>860</v>
      </c>
      <c r="G98" s="39">
        <v>25</v>
      </c>
      <c r="H98" s="39"/>
      <c r="I98" s="40" t="s">
        <v>274</v>
      </c>
      <c r="J98" s="41">
        <v>2922.47</v>
      </c>
      <c r="K98" s="496">
        <v>10.024301361519537</v>
      </c>
      <c r="L98" s="41"/>
      <c r="M98" s="42">
        <v>200</v>
      </c>
      <c r="N98" s="42">
        <v>18.53</v>
      </c>
      <c r="O98" s="43">
        <v>29295.72</v>
      </c>
      <c r="P98" s="44">
        <v>38967.9</v>
      </c>
      <c r="Q98" s="44">
        <v>54153.34</v>
      </c>
      <c r="R98" s="45">
        <v>0</v>
      </c>
      <c r="S98" s="46">
        <v>0</v>
      </c>
      <c r="T98" s="39">
        <f t="shared" si="38"/>
        <v>25</v>
      </c>
      <c r="U98" s="47">
        <f t="shared" si="39"/>
        <v>0.54001591174598673</v>
      </c>
      <c r="V98" s="48">
        <f t="shared" si="40"/>
        <v>-181.47</v>
      </c>
      <c r="W98" s="49">
        <f t="shared" si="41"/>
        <v>2.1600636469839469E-2</v>
      </c>
      <c r="X98" s="44">
        <f t="shared" si="42"/>
        <v>5085.8035428697412</v>
      </c>
      <c r="Y98" s="44">
        <f t="shared" si="43"/>
        <v>15185.439999999995</v>
      </c>
      <c r="Z98" s="44">
        <f t="shared" si="44"/>
        <v>25415.255516841036</v>
      </c>
      <c r="AA98" s="50">
        <f t="shared" si="45"/>
        <v>59239.143542869737</v>
      </c>
      <c r="AB98" s="51">
        <f t="shared" si="46"/>
        <v>23797.055727379247</v>
      </c>
      <c r="AC98" s="44">
        <f t="shared" si="47"/>
        <v>55467.362867855554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1.9455570023927977</v>
      </c>
      <c r="AG98" s="44">
        <f t="shared" si="50"/>
        <v>56996.493186138738</v>
      </c>
      <c r="AH98" s="52">
        <f>HLOOKUP(I98,ElecAvoidedCostsWOCC!$A$5:$Q$50,T98+1,FALSE)</f>
        <v>1.9455570023927977</v>
      </c>
      <c r="AI98" s="44">
        <f t="shared" si="51"/>
        <v>0</v>
      </c>
      <c r="AJ98" s="44">
        <f t="shared" si="52"/>
        <v>56996.493186138738</v>
      </c>
      <c r="AK98" s="44">
        <f>HLOOKUP(I98,ElecAvoidedCostsWOCC!$A$5:$Q$50,G98+1,FALSE)*J98*L98</f>
        <v>0</v>
      </c>
      <c r="AL98" s="44">
        <f t="shared" si="53"/>
        <v>56996.493186138738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56996.49318613873</v>
      </c>
      <c r="AN98" s="48">
        <f t="shared" si="54"/>
        <v>62696.142504752606</v>
      </c>
      <c r="AO98" s="47">
        <f t="shared" si="55"/>
        <v>2.3951069341978513</v>
      </c>
      <c r="AP98" s="47">
        <f t="shared" si="56"/>
        <v>1.1303249201538348</v>
      </c>
    </row>
    <row r="99" spans="2:42" x14ac:dyDescent="0.35">
      <c r="B99" s="97" t="s">
        <v>15</v>
      </c>
      <c r="C99" s="61">
        <v>18230627</v>
      </c>
      <c r="D99" s="61" t="s">
        <v>76</v>
      </c>
      <c r="E99" s="38" t="s">
        <v>861</v>
      </c>
      <c r="F99" s="39" t="s">
        <v>862</v>
      </c>
      <c r="G99" s="39">
        <v>45</v>
      </c>
      <c r="H99" s="39"/>
      <c r="I99" s="40" t="s">
        <v>274</v>
      </c>
      <c r="J99" s="41">
        <v>839.65</v>
      </c>
      <c r="K99" s="496">
        <v>4.4338950753290067</v>
      </c>
      <c r="L99" s="41"/>
      <c r="M99" s="42">
        <v>200</v>
      </c>
      <c r="N99" s="42">
        <v>22.6</v>
      </c>
      <c r="O99" s="43">
        <v>3722.92</v>
      </c>
      <c r="P99" s="44">
        <v>6600</v>
      </c>
      <c r="Q99" s="44">
        <v>18976.09</v>
      </c>
      <c r="R99" s="45">
        <v>0</v>
      </c>
      <c r="S99" s="46">
        <v>0</v>
      </c>
      <c r="T99" s="39">
        <f t="shared" si="38"/>
        <v>45</v>
      </c>
      <c r="U99" s="47">
        <f t="shared" si="39"/>
        <v>0.12352606007578117</v>
      </c>
      <c r="V99" s="48">
        <f t="shared" si="40"/>
        <v>-177.4</v>
      </c>
      <c r="W99" s="49">
        <f t="shared" si="41"/>
        <v>2.7450235572395814E-3</v>
      </c>
      <c r="X99" s="44">
        <f t="shared" si="42"/>
        <v>646.30736932973889</v>
      </c>
      <c r="Y99" s="44">
        <f t="shared" si="43"/>
        <v>12376.09</v>
      </c>
      <c r="Z99" s="44">
        <f t="shared" si="44"/>
        <v>3229.7879372399052</v>
      </c>
      <c r="AA99" s="50">
        <f t="shared" si="45"/>
        <v>19622.397369329738</v>
      </c>
      <c r="AB99" s="51">
        <f t="shared" si="46"/>
        <v>3024.1460086515963</v>
      </c>
      <c r="AC99" s="44">
        <f t="shared" si="47"/>
        <v>18373.031244690763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3.2695302314196475</v>
      </c>
      <c r="AG99" s="44">
        <f t="shared" si="50"/>
        <v>12172.199489156836</v>
      </c>
      <c r="AH99" s="52">
        <f>HLOOKUP(I99,ElecAvoidedCostsWOCC!$A$5:$Q$50,T99+1,FALSE)</f>
        <v>3.2695302314196475</v>
      </c>
      <c r="AI99" s="44">
        <f t="shared" si="51"/>
        <v>0</v>
      </c>
      <c r="AJ99" s="44">
        <f t="shared" si="52"/>
        <v>12172.199489156836</v>
      </c>
      <c r="AK99" s="44">
        <f>HLOOKUP(I99,ElecAvoidedCostsWOCC!$A$5:$Q$50,G99+1,FALSE)*J99*L99</f>
        <v>0</v>
      </c>
      <c r="AL99" s="44">
        <f t="shared" si="53"/>
        <v>12172.199489156836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12172.199489156836</v>
      </c>
      <c r="AN99" s="48">
        <f t="shared" si="54"/>
        <v>13389.41943807252</v>
      </c>
      <c r="AO99" s="47">
        <f t="shared" si="55"/>
        <v>4.0250039033611893</v>
      </c>
      <c r="AP99" s="47">
        <f t="shared" si="56"/>
        <v>0.72875396877919363</v>
      </c>
    </row>
    <row r="100" spans="2:42" x14ac:dyDescent="0.35">
      <c r="B100" s="97" t="s">
        <v>15</v>
      </c>
      <c r="C100" s="61">
        <v>18230627</v>
      </c>
      <c r="D100" s="61" t="s">
        <v>76</v>
      </c>
      <c r="E100" s="38" t="s">
        <v>863</v>
      </c>
      <c r="F100" s="39" t="s">
        <v>864</v>
      </c>
      <c r="G100" s="39">
        <v>20</v>
      </c>
      <c r="H100" s="39"/>
      <c r="I100" s="40" t="s">
        <v>274</v>
      </c>
      <c r="J100" s="41">
        <v>1</v>
      </c>
      <c r="K100" s="496">
        <v>1252</v>
      </c>
      <c r="L100" s="41"/>
      <c r="M100" s="42">
        <v>800</v>
      </c>
      <c r="N100" s="42">
        <v>1000</v>
      </c>
      <c r="O100" s="43">
        <v>1252</v>
      </c>
      <c r="P100" s="44">
        <v>676.74</v>
      </c>
      <c r="Q100" s="44">
        <v>1000</v>
      </c>
      <c r="R100" s="45">
        <v>65.520799999999994</v>
      </c>
      <c r="S100" s="46">
        <v>0</v>
      </c>
      <c r="T100" s="39">
        <f t="shared" si="38"/>
        <v>20</v>
      </c>
      <c r="U100" s="47">
        <f t="shared" si="39"/>
        <v>1.8462763065894276E-2</v>
      </c>
      <c r="V100" s="48">
        <f t="shared" si="40"/>
        <v>200</v>
      </c>
      <c r="W100" s="49">
        <f t="shared" si="41"/>
        <v>9.2313815329471383E-4</v>
      </c>
      <c r="X100" s="44">
        <f t="shared" si="42"/>
        <v>217.35004415910981</v>
      </c>
      <c r="Y100" s="44">
        <f t="shared" si="43"/>
        <v>323.26</v>
      </c>
      <c r="Z100" s="44">
        <f t="shared" si="44"/>
        <v>1086.1620710153218</v>
      </c>
      <c r="AA100" s="50">
        <f t="shared" si="45"/>
        <v>1217.3500441591098</v>
      </c>
      <c r="AB100" s="51">
        <f t="shared" si="46"/>
        <v>1017.005684471275</v>
      </c>
      <c r="AC100" s="44">
        <f t="shared" si="47"/>
        <v>1139.8408653175184</v>
      </c>
      <c r="AD100" s="44">
        <f t="shared" si="48"/>
        <v>705.05029655678129</v>
      </c>
      <c r="AE100" s="44">
        <f t="shared" si="49"/>
        <v>0</v>
      </c>
      <c r="AF100" s="52">
        <f>HLOOKUP(I100,ElecAvoidedCostsWOCC!$A$5:$Q$50,G100+1,FALSE)</f>
        <v>1.6314674491379657</v>
      </c>
      <c r="AG100" s="44">
        <f t="shared" si="50"/>
        <v>2042.5972463207331</v>
      </c>
      <c r="AH100" s="52">
        <f>HLOOKUP(I100,ElecAvoidedCostsWOCC!$A$5:$Q$50,T100+1,FALSE)</f>
        <v>1.6314674491379657</v>
      </c>
      <c r="AI100" s="44">
        <f t="shared" si="51"/>
        <v>0</v>
      </c>
      <c r="AJ100" s="44">
        <f t="shared" si="52"/>
        <v>2042.5972463207331</v>
      </c>
      <c r="AK100" s="44">
        <f>HLOOKUP(I100,ElecAvoidedCostsWOCC!$A$5:$Q$50,G100+1,FALSE)*J100*L100</f>
        <v>0</v>
      </c>
      <c r="AL100" s="44">
        <f t="shared" si="53"/>
        <v>2042.5972463207331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2042.5972463207331</v>
      </c>
      <c r="AN100" s="48">
        <f t="shared" si="54"/>
        <v>2951.9072675095877</v>
      </c>
      <c r="AO100" s="47">
        <f t="shared" si="55"/>
        <v>2.0084423101161395</v>
      </c>
      <c r="AP100" s="47">
        <f t="shared" si="56"/>
        <v>2.5897538483911902</v>
      </c>
    </row>
    <row r="101" spans="2:42" x14ac:dyDescent="0.35">
      <c r="B101" s="97" t="s">
        <v>15</v>
      </c>
      <c r="C101" s="61">
        <v>18230627</v>
      </c>
      <c r="D101" s="61" t="s">
        <v>76</v>
      </c>
      <c r="E101" s="38" t="s">
        <v>865</v>
      </c>
      <c r="F101" s="39" t="s">
        <v>866</v>
      </c>
      <c r="G101" s="39">
        <v>20</v>
      </c>
      <c r="H101" s="39"/>
      <c r="I101" s="40" t="s">
        <v>274</v>
      </c>
      <c r="J101" s="41">
        <v>3</v>
      </c>
      <c r="K101" s="496">
        <v>0</v>
      </c>
      <c r="L101" s="41"/>
      <c r="M101" s="42"/>
      <c r="N101" s="42"/>
      <c r="O101" s="43">
        <v>0</v>
      </c>
      <c r="P101" s="44">
        <v>0</v>
      </c>
      <c r="Q101" s="44">
        <v>0</v>
      </c>
      <c r="R101" s="45">
        <v>0</v>
      </c>
      <c r="S101" s="46">
        <v>0</v>
      </c>
      <c r="T101" s="39">
        <f t="shared" si="38"/>
        <v>20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1.6314674491379657</v>
      </c>
      <c r="AG101" s="44">
        <f t="shared" si="50"/>
        <v>0</v>
      </c>
      <c r="AH101" s="52">
        <f>HLOOKUP(I101,ElecAvoidedCostsWOCC!$A$5:$Q$50,T101+1,FALSE)</f>
        <v>1.6314674491379657</v>
      </c>
      <c r="AI101" s="44">
        <f t="shared" si="51"/>
        <v>0</v>
      </c>
      <c r="AJ101" s="44">
        <f t="shared" si="52"/>
        <v>0</v>
      </c>
      <c r="AK101" s="44">
        <f>HLOOKUP(I101,ElecAvoidedCostsWOCC!$A$5:$Q$50,G101+1,FALSE)*J101*L101</f>
        <v>0</v>
      </c>
      <c r="AL101" s="44">
        <f t="shared" si="53"/>
        <v>0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 x14ac:dyDescent="0.35">
      <c r="B102" s="97" t="s">
        <v>15</v>
      </c>
      <c r="C102" s="61">
        <v>18230627</v>
      </c>
      <c r="D102" s="61" t="s">
        <v>76</v>
      </c>
      <c r="E102" s="38" t="s">
        <v>867</v>
      </c>
      <c r="F102" s="39" t="s">
        <v>866</v>
      </c>
      <c r="G102" s="39">
        <v>20</v>
      </c>
      <c r="H102" s="39"/>
      <c r="I102" s="40" t="s">
        <v>274</v>
      </c>
      <c r="J102" s="41">
        <v>27</v>
      </c>
      <c r="K102" s="496">
        <v>0</v>
      </c>
      <c r="L102" s="41"/>
      <c r="M102" s="42"/>
      <c r="N102" s="42"/>
      <c r="O102" s="43">
        <v>0</v>
      </c>
      <c r="P102" s="44">
        <v>0</v>
      </c>
      <c r="Q102" s="44">
        <v>0</v>
      </c>
      <c r="R102" s="45">
        <v>36.090899999999998</v>
      </c>
      <c r="S102" s="46">
        <v>0</v>
      </c>
      <c r="T102" s="39">
        <f t="shared" si="38"/>
        <v>20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10485.81966636596</v>
      </c>
      <c r="AE102" s="44">
        <f t="shared" si="49"/>
        <v>0</v>
      </c>
      <c r="AF102" s="52">
        <f>HLOOKUP(I102,ElecAvoidedCostsWOCC!$A$5:$Q$50,G102+1,FALSE)</f>
        <v>1.6314674491379657</v>
      </c>
      <c r="AG102" s="44">
        <f t="shared" si="50"/>
        <v>0</v>
      </c>
      <c r="AH102" s="52">
        <f>HLOOKUP(I102,ElecAvoidedCostsWOCC!$A$5:$Q$50,T102+1,FALSE)</f>
        <v>1.6314674491379657</v>
      </c>
      <c r="AI102" s="44">
        <f t="shared" si="51"/>
        <v>0</v>
      </c>
      <c r="AJ102" s="44">
        <f t="shared" si="52"/>
        <v>0</v>
      </c>
      <c r="AK102" s="44">
        <f>HLOOKUP(I102,ElecAvoidedCostsWOCC!$A$5:$Q$50,G102+1,FALSE)*J102*L102</f>
        <v>0</v>
      </c>
      <c r="AL102" s="44">
        <f t="shared" si="53"/>
        <v>0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10485.81966636596</v>
      </c>
      <c r="AO102" s="47">
        <f t="shared" si="55"/>
        <v>0</v>
      </c>
      <c r="AP102" s="47" t="e">
        <f t="shared" si="56"/>
        <v>#DIV/0!</v>
      </c>
    </row>
    <row r="103" spans="2:42" x14ac:dyDescent="0.35">
      <c r="B103" s="97" t="s">
        <v>15</v>
      </c>
      <c r="C103" s="61">
        <v>18230627</v>
      </c>
      <c r="D103" s="61" t="s">
        <v>76</v>
      </c>
      <c r="E103" s="38" t="s">
        <v>868</v>
      </c>
      <c r="F103" s="39" t="s">
        <v>869</v>
      </c>
      <c r="G103" s="39">
        <v>45</v>
      </c>
      <c r="H103" s="39"/>
      <c r="I103" s="40" t="s">
        <v>274</v>
      </c>
      <c r="J103" s="41">
        <v>54135</v>
      </c>
      <c r="K103" s="496">
        <v>0.15</v>
      </c>
      <c r="L103" s="41"/>
      <c r="M103" s="42">
        <v>0.08</v>
      </c>
      <c r="N103" s="42">
        <v>0.2</v>
      </c>
      <c r="O103" s="43">
        <v>8120.25</v>
      </c>
      <c r="P103" s="44">
        <v>4549.49</v>
      </c>
      <c r="Q103" s="44">
        <v>10827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0.2694289668675024</v>
      </c>
      <c r="V103" s="48">
        <f t="shared" si="40"/>
        <v>0.12000000000000001</v>
      </c>
      <c r="W103" s="49">
        <f t="shared" si="41"/>
        <v>5.9873103748333866E-3</v>
      </c>
      <c r="X103" s="44">
        <f t="shared" si="42"/>
        <v>1409.6938467116704</v>
      </c>
      <c r="Y103" s="44">
        <f t="shared" si="43"/>
        <v>6277.51</v>
      </c>
      <c r="Z103" s="44">
        <f t="shared" si="44"/>
        <v>7044.6545983723372</v>
      </c>
      <c r="AA103" s="50">
        <f t="shared" si="45"/>
        <v>12236.693846711671</v>
      </c>
      <c r="AB103" s="51">
        <f t="shared" si="46"/>
        <v>6596.1185378018135</v>
      </c>
      <c r="AC103" s="44">
        <f t="shared" si="47"/>
        <v>11457.578508156994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3.2695302314196475</v>
      </c>
      <c r="AG103" s="44">
        <f t="shared" si="50"/>
        <v>26549.402861685394</v>
      </c>
      <c r="AH103" s="52">
        <f>HLOOKUP(I103,ElecAvoidedCostsWOCC!$A$5:$Q$50,T103+1,FALSE)</f>
        <v>3.2695302314196475</v>
      </c>
      <c r="AI103" s="44">
        <f t="shared" si="51"/>
        <v>0</v>
      </c>
      <c r="AJ103" s="44">
        <f t="shared" si="52"/>
        <v>26549.402861685394</v>
      </c>
      <c r="AK103" s="44">
        <f>HLOOKUP(I103,ElecAvoidedCostsWOCC!$A$5:$Q$50,G103+1,FALSE)*J103*L103</f>
        <v>0</v>
      </c>
      <c r="AL103" s="44">
        <f t="shared" si="53"/>
        <v>26549.402861685394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26549.40286168539</v>
      </c>
      <c r="AN103" s="48">
        <f t="shared" si="54"/>
        <v>29204.343147853931</v>
      </c>
      <c r="AO103" s="47">
        <f t="shared" si="55"/>
        <v>4.0250039033611875</v>
      </c>
      <c r="AP103" s="47">
        <f t="shared" si="56"/>
        <v>2.5489105858679024</v>
      </c>
    </row>
    <row r="104" spans="2:42" x14ac:dyDescent="0.35">
      <c r="B104" s="37"/>
      <c r="C104" s="61"/>
      <c r="D104" s="61"/>
      <c r="E104" s="38" t="s">
        <v>870</v>
      </c>
      <c r="F104" s="39" t="s">
        <v>869</v>
      </c>
      <c r="G104" s="39">
        <v>45</v>
      </c>
      <c r="H104" s="39"/>
      <c r="I104" s="40" t="s">
        <v>274</v>
      </c>
      <c r="J104" s="41">
        <v>185464</v>
      </c>
      <c r="K104" s="496">
        <v>0.15</v>
      </c>
      <c r="L104" s="41"/>
      <c r="M104" s="42">
        <v>0.1</v>
      </c>
      <c r="N104" s="42">
        <v>0.2</v>
      </c>
      <c r="O104" s="43">
        <v>27819.599999999999</v>
      </c>
      <c r="P104" s="44">
        <v>18546.400000000001</v>
      </c>
      <c r="Q104" s="44">
        <v>37092.800000000003</v>
      </c>
      <c r="R104" s="45">
        <v>8.0000000000000004E-4</v>
      </c>
      <c r="S104" s="46">
        <v>0</v>
      </c>
      <c r="T104" s="39">
        <f t="shared" si="38"/>
        <v>45</v>
      </c>
      <c r="U104" s="47">
        <f t="shared" si="39"/>
        <v>0.92305114826109658</v>
      </c>
      <c r="V104" s="48">
        <f t="shared" si="40"/>
        <v>0.1</v>
      </c>
      <c r="W104" s="49">
        <f t="shared" si="41"/>
        <v>2.0512247739135479E-2</v>
      </c>
      <c r="X104" s="44">
        <f t="shared" si="42"/>
        <v>4829.5457575788905</v>
      </c>
      <c r="Y104" s="44">
        <f t="shared" si="43"/>
        <v>18546.400000000001</v>
      </c>
      <c r="Z104" s="44">
        <f t="shared" si="44"/>
        <v>24134.660024614888</v>
      </c>
      <c r="AA104" s="50">
        <f t="shared" si="45"/>
        <v>41922.345757578893</v>
      </c>
      <c r="AB104" s="51">
        <f t="shared" si="46"/>
        <v>22597.996277729293</v>
      </c>
      <c r="AC104" s="44">
        <f t="shared" si="47"/>
        <v>39253.132731815444</v>
      </c>
      <c r="AD104" s="44">
        <f t="shared" si="48"/>
        <v>2068.914870813896</v>
      </c>
      <c r="AE104" s="44">
        <f t="shared" si="49"/>
        <v>0</v>
      </c>
      <c r="AF104" s="52">
        <f>HLOOKUP(I104,ElecAvoidedCostsWOCC!$A$5:$Q$50,G104+1,FALSE)</f>
        <v>3.2695302314196475</v>
      </c>
      <c r="AG104" s="44">
        <f t="shared" si="50"/>
        <v>90957.023226002013</v>
      </c>
      <c r="AH104" s="52">
        <f>HLOOKUP(I104,ElecAvoidedCostsWOCC!$A$5:$Q$50,T104+1,FALSE)</f>
        <v>3.2695302314196475</v>
      </c>
      <c r="AI104" s="44">
        <f t="shared" si="51"/>
        <v>0</v>
      </c>
      <c r="AJ104" s="44">
        <f t="shared" si="52"/>
        <v>90957.023226002013</v>
      </c>
      <c r="AK104" s="44">
        <f>HLOOKUP(I104,ElecAvoidedCostsWOCC!$A$5:$Q$50,G104+1,FALSE)*J104*L104</f>
        <v>0</v>
      </c>
      <c r="AL104" s="44">
        <f t="shared" si="53"/>
        <v>90957.023226002013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90957.023226002013</v>
      </c>
      <c r="AN104" s="48">
        <f t="shared" si="54"/>
        <v>102121.64041941612</v>
      </c>
      <c r="AO104" s="47">
        <f t="shared" si="55"/>
        <v>4.0250039033611884</v>
      </c>
      <c r="AP104" s="47">
        <f t="shared" si="56"/>
        <v>2.601617585967718</v>
      </c>
    </row>
    <row r="105" spans="2:42" x14ac:dyDescent="0.35">
      <c r="B105" s="37"/>
      <c r="C105" s="61"/>
      <c r="D105" s="61"/>
      <c r="E105" s="38" t="s">
        <v>871</v>
      </c>
      <c r="F105" s="39" t="s">
        <v>872</v>
      </c>
      <c r="G105" s="39">
        <v>45</v>
      </c>
      <c r="H105" s="39"/>
      <c r="I105" s="40" t="s">
        <v>274</v>
      </c>
      <c r="J105" s="41">
        <v>1000</v>
      </c>
      <c r="K105" s="496">
        <v>0.15</v>
      </c>
      <c r="L105" s="41"/>
      <c r="M105" s="42">
        <v>0.2</v>
      </c>
      <c r="N105" s="42">
        <v>0.2</v>
      </c>
      <c r="O105" s="43">
        <v>150</v>
      </c>
      <c r="P105" s="44">
        <v>200</v>
      </c>
      <c r="Q105" s="44">
        <v>200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4.9769828552230977E-3</v>
      </c>
      <c r="V105" s="48">
        <f t="shared" si="40"/>
        <v>0</v>
      </c>
      <c r="W105" s="49">
        <f t="shared" si="41"/>
        <v>1.1059961900495773E-4</v>
      </c>
      <c r="X105" s="44">
        <f t="shared" si="42"/>
        <v>26.040340753886959</v>
      </c>
      <c r="Y105" s="44">
        <f t="shared" si="43"/>
        <v>0</v>
      </c>
      <c r="Z105" s="44">
        <f t="shared" si="44"/>
        <v>130.13123854017434</v>
      </c>
      <c r="AA105" s="50">
        <f t="shared" si="45"/>
        <v>226.04034075388697</v>
      </c>
      <c r="AB105" s="51">
        <f t="shared" si="46"/>
        <v>121.84572897020068</v>
      </c>
      <c r="AC105" s="44">
        <f t="shared" si="47"/>
        <v>211.64825913285296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3.2695302314196475</v>
      </c>
      <c r="AG105" s="44">
        <f t="shared" si="50"/>
        <v>490.42953471294709</v>
      </c>
      <c r="AH105" s="52">
        <f>HLOOKUP(I105,ElecAvoidedCostsWOCC!$A$5:$Q$50,T105+1,FALSE)</f>
        <v>3.2695302314196475</v>
      </c>
      <c r="AI105" s="44">
        <f t="shared" si="51"/>
        <v>0</v>
      </c>
      <c r="AJ105" s="44">
        <f t="shared" si="52"/>
        <v>490.42953471294709</v>
      </c>
      <c r="AK105" s="44">
        <f>HLOOKUP(I105,ElecAvoidedCostsWOCC!$A$5:$Q$50,G105+1,FALSE)*J105*L105</f>
        <v>0</v>
      </c>
      <c r="AL105" s="44">
        <f t="shared" si="53"/>
        <v>490.42953471294709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490.42953471294709</v>
      </c>
      <c r="AN105" s="48">
        <f t="shared" si="54"/>
        <v>539.4724881842418</v>
      </c>
      <c r="AO105" s="47">
        <f t="shared" si="55"/>
        <v>4.0250039033611875</v>
      </c>
      <c r="AP105" s="47">
        <f t="shared" si="56"/>
        <v>2.548910585867902</v>
      </c>
    </row>
    <row r="106" spans="2:42" x14ac:dyDescent="0.35">
      <c r="B106" s="37"/>
      <c r="C106" s="61"/>
      <c r="D106" s="61"/>
      <c r="E106" s="38" t="s">
        <v>873</v>
      </c>
      <c r="F106" s="39" t="s">
        <v>872</v>
      </c>
      <c r="G106" s="39">
        <v>45</v>
      </c>
      <c r="H106" s="39"/>
      <c r="I106" s="40" t="s">
        <v>274</v>
      </c>
      <c r="J106" s="41">
        <v>3210</v>
      </c>
      <c r="K106" s="496">
        <v>0.15</v>
      </c>
      <c r="L106" s="41"/>
      <c r="M106" s="42">
        <v>0.2</v>
      </c>
      <c r="N106" s="42">
        <v>0.2</v>
      </c>
      <c r="O106" s="43">
        <v>481.5</v>
      </c>
      <c r="P106" s="44">
        <v>642</v>
      </c>
      <c r="Q106" s="44">
        <v>642</v>
      </c>
      <c r="R106" s="45">
        <v>8.0000000000000004E-4</v>
      </c>
      <c r="S106" s="46">
        <v>0</v>
      </c>
      <c r="T106" s="39">
        <f t="shared" si="38"/>
        <v>45</v>
      </c>
      <c r="U106" s="47">
        <f t="shared" si="39"/>
        <v>1.5976114965266144E-2</v>
      </c>
      <c r="V106" s="48">
        <f t="shared" si="40"/>
        <v>0</v>
      </c>
      <c r="W106" s="49">
        <f t="shared" si="41"/>
        <v>3.5502477700591432E-4</v>
      </c>
      <c r="X106" s="44">
        <f t="shared" si="42"/>
        <v>83.589493819977136</v>
      </c>
      <c r="Y106" s="44">
        <f t="shared" si="43"/>
        <v>0</v>
      </c>
      <c r="Z106" s="44">
        <f t="shared" si="44"/>
        <v>417.72127571395959</v>
      </c>
      <c r="AA106" s="50">
        <f t="shared" si="45"/>
        <v>725.58949381997718</v>
      </c>
      <c r="AB106" s="51">
        <f t="shared" si="46"/>
        <v>391.12478999434416</v>
      </c>
      <c r="AC106" s="44">
        <f t="shared" si="47"/>
        <v>679.39091181645801</v>
      </c>
      <c r="AD106" s="44">
        <f t="shared" si="48"/>
        <v>35.808656856924287</v>
      </c>
      <c r="AE106" s="44">
        <f t="shared" si="49"/>
        <v>0</v>
      </c>
      <c r="AF106" s="52">
        <f>HLOOKUP(I106,ElecAvoidedCostsWOCC!$A$5:$Q$50,G106+1,FALSE)</f>
        <v>3.2695302314196475</v>
      </c>
      <c r="AG106" s="44">
        <f t="shared" si="50"/>
        <v>1574.2788064285603</v>
      </c>
      <c r="AH106" s="52">
        <f>HLOOKUP(I106,ElecAvoidedCostsWOCC!$A$5:$Q$50,T106+1,FALSE)</f>
        <v>3.2695302314196475</v>
      </c>
      <c r="AI106" s="44">
        <f t="shared" si="51"/>
        <v>0</v>
      </c>
      <c r="AJ106" s="44">
        <f t="shared" si="52"/>
        <v>1574.2788064285603</v>
      </c>
      <c r="AK106" s="44">
        <f>HLOOKUP(I106,ElecAvoidedCostsWOCC!$A$5:$Q$50,G106+1,FALSE)*J106*L106</f>
        <v>0</v>
      </c>
      <c r="AL106" s="44">
        <f t="shared" si="53"/>
        <v>1574.2788064285603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1574.2788064285601</v>
      </c>
      <c r="AN106" s="48">
        <f t="shared" si="54"/>
        <v>1767.5153439283404</v>
      </c>
      <c r="AO106" s="47">
        <f t="shared" si="55"/>
        <v>4.0250039033611875</v>
      </c>
      <c r="AP106" s="47">
        <f t="shared" si="56"/>
        <v>2.601617585967718</v>
      </c>
    </row>
    <row r="107" spans="2:42" x14ac:dyDescent="0.35">
      <c r="B107" s="37"/>
      <c r="C107" s="61"/>
      <c r="D107" s="61"/>
      <c r="E107" s="38" t="s">
        <v>874</v>
      </c>
      <c r="F107" s="39" t="s">
        <v>875</v>
      </c>
      <c r="G107" s="39">
        <v>45</v>
      </c>
      <c r="H107" s="39"/>
      <c r="I107" s="40" t="s">
        <v>274</v>
      </c>
      <c r="J107" s="41">
        <v>224553</v>
      </c>
      <c r="K107" s="496">
        <v>0</v>
      </c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45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3.2695302314196475</v>
      </c>
      <c r="AG107" s="44">
        <f t="shared" si="50"/>
        <v>0</v>
      </c>
      <c r="AH107" s="52">
        <f>HLOOKUP(I107,ElecAvoidedCostsWOCC!$A$5:$Q$50,T107+1,FALSE)</f>
        <v>3.2695302314196475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 x14ac:dyDescent="0.35">
      <c r="B108" s="37"/>
      <c r="C108" s="61"/>
      <c r="D108" s="61"/>
      <c r="E108" s="38" t="s">
        <v>876</v>
      </c>
      <c r="F108" s="39" t="s">
        <v>875</v>
      </c>
      <c r="G108" s="39">
        <v>45</v>
      </c>
      <c r="H108" s="39"/>
      <c r="I108" s="40" t="s">
        <v>274</v>
      </c>
      <c r="J108" s="41">
        <v>631583.5</v>
      </c>
      <c r="K108" s="496">
        <v>0</v>
      </c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45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3.2695302314196475</v>
      </c>
      <c r="AG108" s="44">
        <f t="shared" si="50"/>
        <v>0</v>
      </c>
      <c r="AH108" s="52">
        <f>HLOOKUP(I108,ElecAvoidedCostsWOCC!$A$5:$Q$50,T108+1,FALSE)</f>
        <v>3.2695302314196475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 x14ac:dyDescent="0.35">
      <c r="B109" s="37"/>
      <c r="C109" s="61"/>
      <c r="D109" s="61"/>
      <c r="E109" s="38" t="s">
        <v>877</v>
      </c>
      <c r="F109" s="39" t="s">
        <v>878</v>
      </c>
      <c r="G109" s="39">
        <v>45</v>
      </c>
      <c r="H109" s="39"/>
      <c r="I109" s="40" t="s">
        <v>274</v>
      </c>
      <c r="J109" s="41">
        <v>5200</v>
      </c>
      <c r="K109" s="496">
        <v>0</v>
      </c>
      <c r="L109" s="41"/>
      <c r="M109" s="42"/>
      <c r="N109" s="42"/>
      <c r="O109" s="43">
        <v>0</v>
      </c>
      <c r="P109" s="44">
        <v>0</v>
      </c>
      <c r="Q109" s="44">
        <v>0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3.2695302314196475</v>
      </c>
      <c r="AG109" s="44">
        <f t="shared" si="50"/>
        <v>0</v>
      </c>
      <c r="AH109" s="52">
        <f>HLOOKUP(I109,ElecAvoidedCostsWOCC!$A$5:$Q$50,T109+1,FALSE)</f>
        <v>3.2695302314196475</v>
      </c>
      <c r="AI109" s="44">
        <f t="shared" si="51"/>
        <v>0</v>
      </c>
      <c r="AJ109" s="44">
        <f t="shared" si="52"/>
        <v>0</v>
      </c>
      <c r="AK109" s="44">
        <f>HLOOKUP(I109,ElecAvoidedCostsWOCC!$A$5:$Q$50,G109+1,FALSE)*J109*L109</f>
        <v>0</v>
      </c>
      <c r="AL109" s="44">
        <f t="shared" si="53"/>
        <v>0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 x14ac:dyDescent="0.35">
      <c r="B110" s="37"/>
      <c r="C110" s="61"/>
      <c r="D110" s="61"/>
      <c r="E110" s="38" t="s">
        <v>879</v>
      </c>
      <c r="F110" s="39" t="s">
        <v>878</v>
      </c>
      <c r="G110" s="39">
        <v>45</v>
      </c>
      <c r="H110" s="39"/>
      <c r="I110" s="40" t="s">
        <v>274</v>
      </c>
      <c r="J110" s="41">
        <v>57424</v>
      </c>
      <c r="K110" s="496">
        <v>0</v>
      </c>
      <c r="L110" s="41"/>
      <c r="M110" s="42"/>
      <c r="N110" s="42"/>
      <c r="O110" s="43">
        <v>0</v>
      </c>
      <c r="P110" s="44">
        <v>0</v>
      </c>
      <c r="Q110" s="44">
        <v>0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3.2695302314196475</v>
      </c>
      <c r="AG110" s="44">
        <f t="shared" si="50"/>
        <v>0</v>
      </c>
      <c r="AH110" s="52">
        <f>HLOOKUP(I110,ElecAvoidedCostsWOCC!$A$5:$Q$50,T110+1,FALSE)</f>
        <v>3.2695302314196475</v>
      </c>
      <c r="AI110" s="44">
        <f t="shared" si="51"/>
        <v>0</v>
      </c>
      <c r="AJ110" s="44">
        <f t="shared" si="52"/>
        <v>0</v>
      </c>
      <c r="AK110" s="44">
        <f>HLOOKUP(I110,ElecAvoidedCostsWOCC!$A$5:$Q$50,G110+1,FALSE)*J110*L110</f>
        <v>0</v>
      </c>
      <c r="AL110" s="44">
        <f t="shared" si="53"/>
        <v>0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 x14ac:dyDescent="0.35">
      <c r="B111" s="37"/>
      <c r="C111" s="61"/>
      <c r="D111" s="61"/>
      <c r="E111" s="38" t="s">
        <v>880</v>
      </c>
      <c r="F111" s="39" t="s">
        <v>881</v>
      </c>
      <c r="G111" s="39">
        <v>45</v>
      </c>
      <c r="H111" s="39"/>
      <c r="I111" s="40" t="s">
        <v>274</v>
      </c>
      <c r="J111" s="41">
        <v>77347</v>
      </c>
      <c r="K111" s="496">
        <v>0.15</v>
      </c>
      <c r="L111" s="41"/>
      <c r="M111" s="42">
        <v>0.08</v>
      </c>
      <c r="N111" s="42">
        <v>0.2</v>
      </c>
      <c r="O111" s="43">
        <v>11602.05</v>
      </c>
      <c r="P111" s="44">
        <v>6244.49</v>
      </c>
      <c r="Q111" s="44">
        <v>15469.4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0.38495469290294093</v>
      </c>
      <c r="V111" s="48">
        <f t="shared" si="40"/>
        <v>0.12000000000000001</v>
      </c>
      <c r="W111" s="49">
        <f t="shared" si="41"/>
        <v>8.5545487311764652E-3</v>
      </c>
      <c r="X111" s="44">
        <f t="shared" si="42"/>
        <v>2014.1422362908945</v>
      </c>
      <c r="Y111" s="44">
        <f t="shared" si="43"/>
        <v>9224.91</v>
      </c>
      <c r="Z111" s="44">
        <f t="shared" si="44"/>
        <v>10065.260907366863</v>
      </c>
      <c r="AA111" s="50">
        <f t="shared" si="45"/>
        <v>17483.542236290894</v>
      </c>
      <c r="AB111" s="51">
        <f t="shared" si="46"/>
        <v>9424.4015986581107</v>
      </c>
      <c r="AC111" s="44">
        <f t="shared" si="47"/>
        <v>16370.357899148776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3.2695302314196475</v>
      </c>
      <c r="AG111" s="44">
        <f t="shared" si="50"/>
        <v>37933.253221442319</v>
      </c>
      <c r="AH111" s="52">
        <f>HLOOKUP(I111,ElecAvoidedCostsWOCC!$A$5:$Q$50,T111+1,FALSE)</f>
        <v>3.2695302314196475</v>
      </c>
      <c r="AI111" s="44">
        <f t="shared" si="51"/>
        <v>0</v>
      </c>
      <c r="AJ111" s="44">
        <f t="shared" si="52"/>
        <v>37933.253221442319</v>
      </c>
      <c r="AK111" s="44">
        <f>HLOOKUP(I111,ElecAvoidedCostsWOCC!$A$5:$Q$50,G111+1,FALSE)*J111*L111</f>
        <v>0</v>
      </c>
      <c r="AL111" s="44">
        <f t="shared" si="53"/>
        <v>37933.253221442319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37933.253221442319</v>
      </c>
      <c r="AN111" s="48">
        <f t="shared" si="54"/>
        <v>41726.578543586555</v>
      </c>
      <c r="AO111" s="47">
        <f t="shared" si="55"/>
        <v>4.0250039033611884</v>
      </c>
      <c r="AP111" s="47">
        <f t="shared" si="56"/>
        <v>2.5489105858679029</v>
      </c>
    </row>
    <row r="112" spans="2:42" x14ac:dyDescent="0.35">
      <c r="B112" s="37"/>
      <c r="C112" s="61"/>
      <c r="D112" s="61"/>
      <c r="E112" s="38" t="s">
        <v>882</v>
      </c>
      <c r="F112" s="39" t="s">
        <v>881</v>
      </c>
      <c r="G112" s="39">
        <v>45</v>
      </c>
      <c r="H112" s="39"/>
      <c r="I112" s="40" t="s">
        <v>274</v>
      </c>
      <c r="J112" s="41">
        <v>277076</v>
      </c>
      <c r="K112" s="496">
        <v>0.15</v>
      </c>
      <c r="L112" s="41"/>
      <c r="M112" s="42">
        <v>0.1</v>
      </c>
      <c r="N112" s="42">
        <v>0.2</v>
      </c>
      <c r="O112" s="43">
        <v>41561.4</v>
      </c>
      <c r="P112" s="44">
        <v>27590</v>
      </c>
      <c r="Q112" s="44">
        <v>55415.199999999997</v>
      </c>
      <c r="R112" s="45">
        <v>8.0000000000000004E-4</v>
      </c>
      <c r="S112" s="46">
        <v>0</v>
      </c>
      <c r="T112" s="39">
        <f t="shared" si="38"/>
        <v>45</v>
      </c>
      <c r="U112" s="47">
        <f t="shared" si="39"/>
        <v>1.379002501593795</v>
      </c>
      <c r="V112" s="48">
        <f t="shared" si="40"/>
        <v>0.1</v>
      </c>
      <c r="W112" s="49">
        <f t="shared" si="41"/>
        <v>3.0644500035417667E-2</v>
      </c>
      <c r="X112" s="44">
        <f t="shared" si="42"/>
        <v>7215.1534547239826</v>
      </c>
      <c r="Y112" s="44">
        <f t="shared" si="43"/>
        <v>27825.199999999997</v>
      </c>
      <c r="Z112" s="44">
        <f t="shared" si="44"/>
        <v>36056.243049757337</v>
      </c>
      <c r="AA112" s="50">
        <f t="shared" si="45"/>
        <v>62630.353454723983</v>
      </c>
      <c r="AB112" s="51">
        <f t="shared" si="46"/>
        <v>33760.52720014732</v>
      </c>
      <c r="AC112" s="44">
        <f t="shared" si="47"/>
        <v>58642.653047494365</v>
      </c>
      <c r="AD112" s="44">
        <f t="shared" si="48"/>
        <v>3090.8783200277735</v>
      </c>
      <c r="AE112" s="44">
        <f t="shared" si="49"/>
        <v>0</v>
      </c>
      <c r="AF112" s="52">
        <f>HLOOKUP(I112,ElecAvoidedCostsWOCC!$A$5:$Q$50,G112+1,FALSE)</f>
        <v>3.2695302314196475</v>
      </c>
      <c r="AG112" s="44">
        <f t="shared" si="50"/>
        <v>135886.25376012453</v>
      </c>
      <c r="AH112" s="52">
        <f>HLOOKUP(I112,ElecAvoidedCostsWOCC!$A$5:$Q$50,T112+1,FALSE)</f>
        <v>3.2695302314196475</v>
      </c>
      <c r="AI112" s="44">
        <f t="shared" si="51"/>
        <v>0</v>
      </c>
      <c r="AJ112" s="44">
        <f t="shared" si="52"/>
        <v>135886.25376012453</v>
      </c>
      <c r="AK112" s="44">
        <f>HLOOKUP(I112,ElecAvoidedCostsWOCC!$A$5:$Q$50,G112+1,FALSE)*J112*L112</f>
        <v>0</v>
      </c>
      <c r="AL112" s="44">
        <f t="shared" si="53"/>
        <v>135886.25376012453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135886.25376012453</v>
      </c>
      <c r="AN112" s="48">
        <f t="shared" si="54"/>
        <v>152565.75745616478</v>
      </c>
      <c r="AO112" s="47">
        <f t="shared" si="55"/>
        <v>4.0250039033611884</v>
      </c>
      <c r="AP112" s="47">
        <f t="shared" si="56"/>
        <v>2.6016175859677189</v>
      </c>
    </row>
    <row r="113" spans="2:42" x14ac:dyDescent="0.35">
      <c r="B113" s="37"/>
      <c r="C113" s="61"/>
      <c r="D113" s="61"/>
      <c r="E113" s="38" t="s">
        <v>883</v>
      </c>
      <c r="F113" s="39" t="s">
        <v>884</v>
      </c>
      <c r="G113" s="39">
        <v>45</v>
      </c>
      <c r="H113" s="39"/>
      <c r="I113" s="40" t="s">
        <v>274</v>
      </c>
      <c r="J113" s="41">
        <v>1030</v>
      </c>
      <c r="K113" s="496">
        <v>0.15</v>
      </c>
      <c r="L113" s="41"/>
      <c r="M113" s="42">
        <v>0.2</v>
      </c>
      <c r="N113" s="42">
        <v>0.2</v>
      </c>
      <c r="O113" s="43">
        <v>154.5</v>
      </c>
      <c r="P113" s="44">
        <v>200</v>
      </c>
      <c r="Q113" s="44">
        <v>206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5.1262923408797907E-3</v>
      </c>
      <c r="V113" s="48">
        <f t="shared" si="40"/>
        <v>0</v>
      </c>
      <c r="W113" s="49">
        <f t="shared" si="41"/>
        <v>1.1391760757510645E-4</v>
      </c>
      <c r="X113" s="44">
        <f t="shared" si="42"/>
        <v>26.821550976503563</v>
      </c>
      <c r="Y113" s="44">
        <f t="shared" si="43"/>
        <v>6</v>
      </c>
      <c r="Z113" s="44">
        <f t="shared" si="44"/>
        <v>134.03517569637955</v>
      </c>
      <c r="AA113" s="50">
        <f t="shared" si="45"/>
        <v>232.82155097650357</v>
      </c>
      <c r="AB113" s="51">
        <f t="shared" si="46"/>
        <v>125.50110083930669</v>
      </c>
      <c r="AC113" s="44">
        <f t="shared" si="47"/>
        <v>217.99770690683854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3.2695302314196475</v>
      </c>
      <c r="AG113" s="44">
        <f t="shared" si="50"/>
        <v>505.14242075433555</v>
      </c>
      <c r="AH113" s="52">
        <f>HLOOKUP(I113,ElecAvoidedCostsWOCC!$A$5:$Q$50,T113+1,FALSE)</f>
        <v>3.2695302314196475</v>
      </c>
      <c r="AI113" s="44">
        <f t="shared" si="51"/>
        <v>0</v>
      </c>
      <c r="AJ113" s="44">
        <f t="shared" si="52"/>
        <v>505.14242075433555</v>
      </c>
      <c r="AK113" s="44">
        <f>HLOOKUP(I113,ElecAvoidedCostsWOCC!$A$5:$Q$50,G113+1,FALSE)*J113*L113</f>
        <v>0</v>
      </c>
      <c r="AL113" s="44">
        <f t="shared" si="53"/>
        <v>505.14242075433555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505.14242075433549</v>
      </c>
      <c r="AN113" s="48">
        <f t="shared" si="54"/>
        <v>555.65666282976906</v>
      </c>
      <c r="AO113" s="47">
        <f t="shared" si="55"/>
        <v>4.0250039033611884</v>
      </c>
      <c r="AP113" s="47">
        <f t="shared" si="56"/>
        <v>2.548910585867902</v>
      </c>
    </row>
    <row r="114" spans="2:42" x14ac:dyDescent="0.35">
      <c r="B114" s="37"/>
      <c r="C114" s="61"/>
      <c r="D114" s="61"/>
      <c r="E114" s="38" t="s">
        <v>885</v>
      </c>
      <c r="F114" s="39" t="s">
        <v>884</v>
      </c>
      <c r="G114" s="39">
        <v>45</v>
      </c>
      <c r="H114" s="39"/>
      <c r="I114" s="40" t="s">
        <v>274</v>
      </c>
      <c r="J114" s="41">
        <v>5738</v>
      </c>
      <c r="K114" s="496">
        <v>0.15</v>
      </c>
      <c r="L114" s="41"/>
      <c r="M114" s="42">
        <v>0.2</v>
      </c>
      <c r="N114" s="42">
        <v>0.2</v>
      </c>
      <c r="O114" s="43">
        <v>860.7</v>
      </c>
      <c r="P114" s="44">
        <v>1012.07</v>
      </c>
      <c r="Q114" s="44">
        <v>1147.5999999999999</v>
      </c>
      <c r="R114" s="45">
        <v>8.0000000000000004E-4</v>
      </c>
      <c r="S114" s="46">
        <v>0</v>
      </c>
      <c r="T114" s="39">
        <f t="shared" si="38"/>
        <v>45</v>
      </c>
      <c r="U114" s="47">
        <f t="shared" si="39"/>
        <v>2.8557927623270137E-2</v>
      </c>
      <c r="V114" s="48">
        <f t="shared" si="40"/>
        <v>0</v>
      </c>
      <c r="W114" s="49">
        <f t="shared" si="41"/>
        <v>6.3462061385044749E-4</v>
      </c>
      <c r="X114" s="44">
        <f t="shared" si="42"/>
        <v>149.41947524580337</v>
      </c>
      <c r="Y114" s="44">
        <f t="shared" si="43"/>
        <v>135.52999999999986</v>
      </c>
      <c r="Z114" s="44">
        <f t="shared" si="44"/>
        <v>746.69304674352031</v>
      </c>
      <c r="AA114" s="50">
        <f t="shared" si="45"/>
        <v>1297.0194752458033</v>
      </c>
      <c r="AB114" s="51">
        <f t="shared" si="46"/>
        <v>699.15079283101147</v>
      </c>
      <c r="AC114" s="44">
        <f t="shared" si="47"/>
        <v>1214.4377109043101</v>
      </c>
      <c r="AD114" s="44">
        <f t="shared" si="48"/>
        <v>64.009368549854074</v>
      </c>
      <c r="AE114" s="44">
        <f t="shared" si="49"/>
        <v>0</v>
      </c>
      <c r="AF114" s="52">
        <f>HLOOKUP(I114,ElecAvoidedCostsWOCC!$A$5:$Q$50,G114+1,FALSE)</f>
        <v>3.2695302314196475</v>
      </c>
      <c r="AG114" s="44">
        <f t="shared" si="50"/>
        <v>2814.0846701828909</v>
      </c>
      <c r="AH114" s="52">
        <f>HLOOKUP(I114,ElecAvoidedCostsWOCC!$A$5:$Q$50,T114+1,FALSE)</f>
        <v>3.2695302314196475</v>
      </c>
      <c r="AI114" s="44">
        <f t="shared" si="51"/>
        <v>0</v>
      </c>
      <c r="AJ114" s="44">
        <f t="shared" si="52"/>
        <v>2814.0846701828909</v>
      </c>
      <c r="AK114" s="44">
        <f>HLOOKUP(I114,ElecAvoidedCostsWOCC!$A$5:$Q$50,G114+1,FALSE)*J114*L114</f>
        <v>0</v>
      </c>
      <c r="AL114" s="44">
        <f t="shared" si="53"/>
        <v>2814.0846701828909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2814.0846701828905</v>
      </c>
      <c r="AN114" s="48">
        <f t="shared" si="54"/>
        <v>3159.5025057510338</v>
      </c>
      <c r="AO114" s="47">
        <f t="shared" si="55"/>
        <v>4.0250039033611884</v>
      </c>
      <c r="AP114" s="47">
        <f t="shared" si="56"/>
        <v>2.6016175859677189</v>
      </c>
    </row>
    <row r="115" spans="2:42" x14ac:dyDescent="0.35">
      <c r="B115" s="37"/>
      <c r="C115" s="61"/>
      <c r="D115" s="61"/>
      <c r="E115" s="38" t="s">
        <v>886</v>
      </c>
      <c r="F115" s="39" t="s">
        <v>887</v>
      </c>
      <c r="G115" s="39">
        <v>45</v>
      </c>
      <c r="H115" s="39"/>
      <c r="I115" s="40" t="s">
        <v>274</v>
      </c>
      <c r="J115" s="41">
        <v>308913</v>
      </c>
      <c r="K115" s="496">
        <v>0</v>
      </c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3.2695302314196475</v>
      </c>
      <c r="AG115" s="44">
        <f t="shared" si="50"/>
        <v>0</v>
      </c>
      <c r="AH115" s="52">
        <f>HLOOKUP(I115,ElecAvoidedCostsWOCC!$A$5:$Q$50,T115+1,FALSE)</f>
        <v>3.2695302314196475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 x14ac:dyDescent="0.35">
      <c r="B116" s="37"/>
      <c r="C116" s="61"/>
      <c r="D116" s="61"/>
      <c r="E116" s="38" t="s">
        <v>888</v>
      </c>
      <c r="F116" s="39" t="s">
        <v>887</v>
      </c>
      <c r="G116" s="39">
        <v>45</v>
      </c>
      <c r="H116" s="39"/>
      <c r="I116" s="40" t="s">
        <v>274</v>
      </c>
      <c r="J116" s="41">
        <v>831953</v>
      </c>
      <c r="K116" s="496">
        <v>0</v>
      </c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3.2695302314196475</v>
      </c>
      <c r="AG116" s="44">
        <f t="shared" si="50"/>
        <v>0</v>
      </c>
      <c r="AH116" s="52">
        <f>HLOOKUP(I116,ElecAvoidedCostsWOCC!$A$5:$Q$50,T116+1,FALSE)</f>
        <v>3.2695302314196475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 x14ac:dyDescent="0.35">
      <c r="B117" s="37"/>
      <c r="C117" s="61"/>
      <c r="D117" s="61"/>
      <c r="E117" s="38" t="s">
        <v>889</v>
      </c>
      <c r="F117" s="39" t="s">
        <v>890</v>
      </c>
      <c r="G117" s="39">
        <v>45</v>
      </c>
      <c r="H117" s="39"/>
      <c r="I117" s="40" t="s">
        <v>274</v>
      </c>
      <c r="J117" s="41">
        <v>3556</v>
      </c>
      <c r="K117" s="496">
        <v>0</v>
      </c>
      <c r="L117" s="41"/>
      <c r="M117" s="42"/>
      <c r="N117" s="42"/>
      <c r="O117" s="43">
        <v>0</v>
      </c>
      <c r="P117" s="44">
        <v>0</v>
      </c>
      <c r="Q117" s="44">
        <v>0</v>
      </c>
      <c r="R117" s="45">
        <v>0</v>
      </c>
      <c r="S117" s="46">
        <v>0</v>
      </c>
      <c r="T117" s="39">
        <f t="shared" si="38"/>
        <v>45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3.2695302314196475</v>
      </c>
      <c r="AG117" s="44">
        <f t="shared" si="50"/>
        <v>0</v>
      </c>
      <c r="AH117" s="52">
        <f>HLOOKUP(I117,ElecAvoidedCostsWOCC!$A$5:$Q$50,T117+1,FALSE)</f>
        <v>3.2695302314196475</v>
      </c>
      <c r="AI117" s="44">
        <f t="shared" si="51"/>
        <v>0</v>
      </c>
      <c r="AJ117" s="44">
        <f t="shared" si="52"/>
        <v>0</v>
      </c>
      <c r="AK117" s="44">
        <f>HLOOKUP(I117,ElecAvoidedCostsWOCC!$A$5:$Q$50,G117+1,FALSE)*J117*L117</f>
        <v>0</v>
      </c>
      <c r="AL117" s="44">
        <f t="shared" si="53"/>
        <v>0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 x14ac:dyDescent="0.35">
      <c r="B118" s="37"/>
      <c r="C118" s="61"/>
      <c r="D118" s="61"/>
      <c r="E118" s="38" t="s">
        <v>891</v>
      </c>
      <c r="F118" s="39" t="s">
        <v>890</v>
      </c>
      <c r="G118" s="39">
        <v>45</v>
      </c>
      <c r="H118" s="39"/>
      <c r="I118" s="40" t="s">
        <v>274</v>
      </c>
      <c r="J118" s="41">
        <v>26781</v>
      </c>
      <c r="K118" s="496">
        <v>0</v>
      </c>
      <c r="L118" s="41"/>
      <c r="M118" s="42"/>
      <c r="N118" s="42"/>
      <c r="O118" s="43">
        <v>0</v>
      </c>
      <c r="P118" s="44">
        <v>0</v>
      </c>
      <c r="Q118" s="44">
        <v>0</v>
      </c>
      <c r="R118" s="45">
        <v>0</v>
      </c>
      <c r="S118" s="46">
        <v>0</v>
      </c>
      <c r="T118" s="39">
        <f t="shared" si="38"/>
        <v>45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3.2695302314196475</v>
      </c>
      <c r="AG118" s="44">
        <f t="shared" si="50"/>
        <v>0</v>
      </c>
      <c r="AH118" s="52">
        <f>HLOOKUP(I118,ElecAvoidedCostsWOCC!$A$5:$Q$50,T118+1,FALSE)</f>
        <v>3.2695302314196475</v>
      </c>
      <c r="AI118" s="44">
        <f t="shared" si="51"/>
        <v>0</v>
      </c>
      <c r="AJ118" s="44">
        <f t="shared" si="52"/>
        <v>0</v>
      </c>
      <c r="AK118" s="44">
        <f>HLOOKUP(I118,ElecAvoidedCostsWOCC!$A$5:$Q$50,G118+1,FALSE)*J118*L118</f>
        <v>0</v>
      </c>
      <c r="AL118" s="44">
        <f t="shared" si="53"/>
        <v>0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 x14ac:dyDescent="0.35">
      <c r="B119" s="37"/>
      <c r="C119" s="61"/>
      <c r="D119" s="61"/>
      <c r="E119" s="38" t="s">
        <v>892</v>
      </c>
      <c r="F119" s="39" t="s">
        <v>893</v>
      </c>
      <c r="G119" s="39">
        <v>15</v>
      </c>
      <c r="H119" s="39"/>
      <c r="I119" s="40" t="s">
        <v>274</v>
      </c>
      <c r="J119" s="41">
        <v>675</v>
      </c>
      <c r="K119" s="496">
        <v>3.3096296296296297E-2</v>
      </c>
      <c r="L119" s="41"/>
      <c r="M119" s="42">
        <v>0.27</v>
      </c>
      <c r="N119" s="42">
        <v>0.64</v>
      </c>
      <c r="O119" s="43">
        <v>22.34</v>
      </c>
      <c r="P119" s="44">
        <v>350</v>
      </c>
      <c r="Q119" s="44">
        <v>432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2.4707954885707555E-4</v>
      </c>
      <c r="V119" s="48">
        <f t="shared" si="40"/>
        <v>0.37</v>
      </c>
      <c r="W119" s="49">
        <f t="shared" si="41"/>
        <v>1.6471969923805038E-5</v>
      </c>
      <c r="X119" s="44">
        <f t="shared" si="42"/>
        <v>3.8782747496122312</v>
      </c>
      <c r="Y119" s="44">
        <f t="shared" si="43"/>
        <v>82</v>
      </c>
      <c r="Z119" s="44">
        <f t="shared" si="44"/>
        <v>19.380879126583295</v>
      </c>
      <c r="AA119" s="50">
        <f t="shared" si="45"/>
        <v>435.87827474961222</v>
      </c>
      <c r="AB119" s="51">
        <f t="shared" si="46"/>
        <v>18.146890567961886</v>
      </c>
      <c r="AC119" s="44">
        <f t="shared" si="47"/>
        <v>408.12572542098519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1.3031638418298148</v>
      </c>
      <c r="AG119" s="44">
        <f t="shared" si="50"/>
        <v>29.112680226478066</v>
      </c>
      <c r="AH119" s="52">
        <f>HLOOKUP(I119,ElecAvoidedCostsWOCC!$A$5:$Q$50,T119+1,FALSE)</f>
        <v>1.3031638418298148</v>
      </c>
      <c r="AI119" s="44">
        <f t="shared" si="51"/>
        <v>0</v>
      </c>
      <c r="AJ119" s="44">
        <f t="shared" si="52"/>
        <v>29.112680226478066</v>
      </c>
      <c r="AK119" s="44">
        <f>HLOOKUP(I119,ElecAvoidedCostsWOCC!$A$5:$Q$50,G119+1,FALSE)*J119*L119</f>
        <v>0</v>
      </c>
      <c r="AL119" s="44">
        <f t="shared" si="53"/>
        <v>29.112680226478066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29.112680226478066</v>
      </c>
      <c r="AN119" s="48">
        <f t="shared" si="54"/>
        <v>32.023948249125873</v>
      </c>
      <c r="AO119" s="47">
        <f t="shared" si="55"/>
        <v>1.6042792630201974</v>
      </c>
      <c r="AP119" s="47">
        <f t="shared" si="56"/>
        <v>7.8465889931571692E-2</v>
      </c>
    </row>
    <row r="120" spans="2:42" x14ac:dyDescent="0.35">
      <c r="B120" s="37"/>
      <c r="C120" s="61"/>
      <c r="D120" s="61"/>
      <c r="E120" s="38" t="s">
        <v>894</v>
      </c>
      <c r="F120" s="39" t="s">
        <v>895</v>
      </c>
      <c r="G120" s="39">
        <v>18</v>
      </c>
      <c r="H120" s="39"/>
      <c r="I120" s="40" t="s">
        <v>274</v>
      </c>
      <c r="J120" s="41">
        <v>8</v>
      </c>
      <c r="K120" s="496">
        <v>468</v>
      </c>
      <c r="L120" s="41"/>
      <c r="M120" s="42">
        <v>450</v>
      </c>
      <c r="N120" s="42">
        <v>549</v>
      </c>
      <c r="O120" s="43">
        <v>3744</v>
      </c>
      <c r="P120" s="44">
        <v>3600</v>
      </c>
      <c r="Q120" s="44">
        <v>4392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4.9690196826547406E-2</v>
      </c>
      <c r="V120" s="48">
        <f t="shared" si="40"/>
        <v>99</v>
      </c>
      <c r="W120" s="49">
        <f t="shared" si="41"/>
        <v>2.7605664903637447E-3</v>
      </c>
      <c r="X120" s="44">
        <f t="shared" si="42"/>
        <v>649.96690521701839</v>
      </c>
      <c r="Y120" s="44">
        <f t="shared" si="43"/>
        <v>792</v>
      </c>
      <c r="Z120" s="44">
        <f t="shared" si="44"/>
        <v>3248.0757139627508</v>
      </c>
      <c r="AA120" s="50">
        <f t="shared" si="45"/>
        <v>5041.9669052170184</v>
      </c>
      <c r="AB120" s="51">
        <f t="shared" si="46"/>
        <v>3041.2693950962084</v>
      </c>
      <c r="AC120" s="44">
        <f t="shared" si="47"/>
        <v>4720.9427951470207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1.5052077278506986</v>
      </c>
      <c r="AG120" s="44">
        <f t="shared" si="50"/>
        <v>5635.4977330730153</v>
      </c>
      <c r="AH120" s="52">
        <f>HLOOKUP(I120,ElecAvoidedCostsWOCC!$A$5:$Q$50,T120+1,FALSE)</f>
        <v>1.5052077278506986</v>
      </c>
      <c r="AI120" s="44">
        <f t="shared" si="51"/>
        <v>0</v>
      </c>
      <c r="AJ120" s="44">
        <f t="shared" si="52"/>
        <v>5635.4977330730153</v>
      </c>
      <c r="AK120" s="44">
        <f>HLOOKUP(I120,ElecAvoidedCostsWOCC!$A$5:$Q$50,G120+1,FALSE)*J120*L120</f>
        <v>0</v>
      </c>
      <c r="AL120" s="44">
        <f t="shared" si="53"/>
        <v>5635.4977330730153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5635.4977330730153</v>
      </c>
      <c r="AN120" s="48">
        <f t="shared" si="54"/>
        <v>6199.0475063803169</v>
      </c>
      <c r="AO120" s="47">
        <f t="shared" si="55"/>
        <v>1.8530083991111679</v>
      </c>
      <c r="AP120" s="47">
        <f t="shared" si="56"/>
        <v>1.3130952386783294</v>
      </c>
    </row>
    <row r="121" spans="2:42" x14ac:dyDescent="0.35">
      <c r="B121" s="37"/>
      <c r="C121" s="61"/>
      <c r="D121" s="61"/>
      <c r="E121" s="38" t="s">
        <v>896</v>
      </c>
      <c r="F121" s="39" t="s">
        <v>895</v>
      </c>
      <c r="G121" s="39">
        <v>18</v>
      </c>
      <c r="H121" s="39"/>
      <c r="I121" s="40" t="s">
        <v>274</v>
      </c>
      <c r="J121" s="41">
        <v>22</v>
      </c>
      <c r="K121" s="496">
        <v>468</v>
      </c>
      <c r="L121" s="41"/>
      <c r="M121" s="42">
        <v>450</v>
      </c>
      <c r="N121" s="42">
        <v>549</v>
      </c>
      <c r="O121" s="43">
        <v>10296</v>
      </c>
      <c r="P121" s="44">
        <v>9153.18</v>
      </c>
      <c r="Q121" s="44">
        <v>12078</v>
      </c>
      <c r="R121" s="45">
        <v>20.5474</v>
      </c>
      <c r="S121" s="46">
        <v>0</v>
      </c>
      <c r="T121" s="39">
        <f t="shared" si="38"/>
        <v>18</v>
      </c>
      <c r="U121" s="47">
        <f t="shared" si="39"/>
        <v>0.13664804127300537</v>
      </c>
      <c r="V121" s="48">
        <f t="shared" si="40"/>
        <v>99</v>
      </c>
      <c r="W121" s="49">
        <f t="shared" si="41"/>
        <v>7.5915578485002983E-3</v>
      </c>
      <c r="X121" s="44">
        <f t="shared" si="42"/>
        <v>1787.4089893468008</v>
      </c>
      <c r="Y121" s="44">
        <f t="shared" si="43"/>
        <v>2924.8199999999997</v>
      </c>
      <c r="Z121" s="44">
        <f t="shared" si="44"/>
        <v>8932.2082133975655</v>
      </c>
      <c r="AA121" s="50">
        <f t="shared" si="45"/>
        <v>13865.408989346801</v>
      </c>
      <c r="AB121" s="51">
        <f t="shared" si="46"/>
        <v>8363.4908365145748</v>
      </c>
      <c r="AC121" s="44">
        <f t="shared" si="47"/>
        <v>12982.592686654307</v>
      </c>
      <c r="AD121" s="44">
        <f t="shared" si="48"/>
        <v>4613.5142534705628</v>
      </c>
      <c r="AE121" s="44">
        <f t="shared" si="49"/>
        <v>0</v>
      </c>
      <c r="AF121" s="52">
        <f>HLOOKUP(I121,ElecAvoidedCostsWOCC!$A$5:$Q$50,G121+1,FALSE)</f>
        <v>1.5052077278506986</v>
      </c>
      <c r="AG121" s="44">
        <f t="shared" si="50"/>
        <v>15497.618765950792</v>
      </c>
      <c r="AH121" s="52">
        <f>HLOOKUP(I121,ElecAvoidedCostsWOCC!$A$5:$Q$50,T121+1,FALSE)</f>
        <v>1.5052077278506986</v>
      </c>
      <c r="AI121" s="44">
        <f t="shared" si="51"/>
        <v>0</v>
      </c>
      <c r="AJ121" s="44">
        <f t="shared" si="52"/>
        <v>15497.618765950792</v>
      </c>
      <c r="AK121" s="44">
        <f>HLOOKUP(I121,ElecAvoidedCostsWOCC!$A$5:$Q$50,G121+1,FALSE)*J121*L121</f>
        <v>0</v>
      </c>
      <c r="AL121" s="44">
        <f t="shared" si="53"/>
        <v>15497.618765950792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15497.618765950792</v>
      </c>
      <c r="AN121" s="48">
        <f t="shared" si="54"/>
        <v>21660.894896016434</v>
      </c>
      <c r="AO121" s="47">
        <f t="shared" si="55"/>
        <v>1.8530083991111677</v>
      </c>
      <c r="AP121" s="47">
        <f t="shared" si="56"/>
        <v>1.6684567881639811</v>
      </c>
    </row>
    <row r="122" spans="2:42" x14ac:dyDescent="0.35">
      <c r="B122" s="37"/>
      <c r="C122" s="61"/>
      <c r="D122" s="61"/>
      <c r="E122" s="38" t="s">
        <v>897</v>
      </c>
      <c r="F122" s="39" t="s">
        <v>898</v>
      </c>
      <c r="G122" s="39">
        <v>18</v>
      </c>
      <c r="H122" s="39"/>
      <c r="I122" s="40" t="s">
        <v>274</v>
      </c>
      <c r="J122" s="41">
        <v>1</v>
      </c>
      <c r="K122" s="496">
        <v>0</v>
      </c>
      <c r="L122" s="41"/>
      <c r="M122" s="42"/>
      <c r="N122" s="42"/>
      <c r="O122" s="43">
        <v>0</v>
      </c>
      <c r="P122" s="44">
        <v>0</v>
      </c>
      <c r="Q122" s="44">
        <v>0</v>
      </c>
      <c r="R122" s="45">
        <v>0</v>
      </c>
      <c r="S122" s="46">
        <v>0</v>
      </c>
      <c r="T122" s="39">
        <f t="shared" si="38"/>
        <v>18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>
        <f>HLOOKUP(I122,ElecAvoidedCostsWOCC!$A$5:$Q$50,G122+1,FALSE)</f>
        <v>1.5052077278506986</v>
      </c>
      <c r="AG122" s="44">
        <f t="shared" si="50"/>
        <v>0</v>
      </c>
      <c r="AH122" s="52">
        <f>HLOOKUP(I122,ElecAvoidedCostsWOCC!$A$5:$Q$50,T122+1,FALSE)</f>
        <v>1.5052077278506986</v>
      </c>
      <c r="AI122" s="44">
        <f t="shared" si="51"/>
        <v>0</v>
      </c>
      <c r="AJ122" s="44">
        <f t="shared" si="52"/>
        <v>0</v>
      </c>
      <c r="AK122" s="44">
        <f>HLOOKUP(I122,ElecAvoidedCostsWOCC!$A$5:$Q$50,G122+1,FALSE)*J122*L122</f>
        <v>0</v>
      </c>
      <c r="AL122" s="44">
        <f t="shared" si="53"/>
        <v>0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 x14ac:dyDescent="0.35">
      <c r="B123" s="37"/>
      <c r="C123" s="61"/>
      <c r="D123" s="61"/>
      <c r="E123" s="38" t="s">
        <v>899</v>
      </c>
      <c r="F123" s="39" t="s">
        <v>898</v>
      </c>
      <c r="G123" s="39">
        <v>18</v>
      </c>
      <c r="H123" s="39"/>
      <c r="I123" s="40" t="s">
        <v>274</v>
      </c>
      <c r="J123" s="41">
        <v>3</v>
      </c>
      <c r="K123" s="496">
        <v>0</v>
      </c>
      <c r="L123" s="41"/>
      <c r="M123" s="42"/>
      <c r="N123" s="42"/>
      <c r="O123" s="43">
        <v>0</v>
      </c>
      <c r="P123" s="44">
        <v>0</v>
      </c>
      <c r="Q123" s="44">
        <v>0</v>
      </c>
      <c r="R123" s="45">
        <v>35.9923</v>
      </c>
      <c r="S123" s="46">
        <v>0</v>
      </c>
      <c r="T123" s="39">
        <f t="shared" si="38"/>
        <v>18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1102.0039854535137</v>
      </c>
      <c r="AE123" s="44">
        <f t="shared" si="49"/>
        <v>0</v>
      </c>
      <c r="AF123" s="52">
        <f>HLOOKUP(I123,ElecAvoidedCostsWOCC!$A$5:$Q$50,G123+1,FALSE)</f>
        <v>1.5052077278506986</v>
      </c>
      <c r="AG123" s="44">
        <f t="shared" si="50"/>
        <v>0</v>
      </c>
      <c r="AH123" s="52">
        <f>HLOOKUP(I123,ElecAvoidedCostsWOCC!$A$5:$Q$50,T123+1,FALSE)</f>
        <v>1.5052077278506986</v>
      </c>
      <c r="AI123" s="44">
        <f t="shared" si="51"/>
        <v>0</v>
      </c>
      <c r="AJ123" s="44">
        <f t="shared" si="52"/>
        <v>0</v>
      </c>
      <c r="AK123" s="44">
        <f>HLOOKUP(I123,ElecAvoidedCostsWOCC!$A$5:$Q$50,G123+1,FALSE)*J123*L123</f>
        <v>0</v>
      </c>
      <c r="AL123" s="44">
        <f t="shared" si="53"/>
        <v>0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1102.0039854535137</v>
      </c>
      <c r="AO123" s="47">
        <f t="shared" si="55"/>
        <v>0</v>
      </c>
      <c r="AP123" s="47" t="e">
        <f t="shared" si="56"/>
        <v>#DIV/0!</v>
      </c>
    </row>
    <row r="124" spans="2:42" x14ac:dyDescent="0.35">
      <c r="B124" s="37"/>
      <c r="C124" s="61"/>
      <c r="D124" s="61"/>
      <c r="E124" s="38" t="s">
        <v>900</v>
      </c>
      <c r="F124" s="39" t="s">
        <v>901</v>
      </c>
      <c r="G124" s="39">
        <v>45</v>
      </c>
      <c r="H124" s="39"/>
      <c r="I124" s="40" t="s">
        <v>274</v>
      </c>
      <c r="J124" s="41">
        <v>1376.22</v>
      </c>
      <c r="K124" s="496">
        <v>3.6251980061327402</v>
      </c>
      <c r="L124" s="41"/>
      <c r="M124" s="42">
        <v>100</v>
      </c>
      <c r="N124" s="42">
        <v>26.25</v>
      </c>
      <c r="O124" s="43">
        <v>4989.07</v>
      </c>
      <c r="P124" s="44">
        <v>5700</v>
      </c>
      <c r="Q124" s="44">
        <v>36125.78</v>
      </c>
      <c r="R124" s="45">
        <v>0</v>
      </c>
      <c r="S124" s="46">
        <v>0</v>
      </c>
      <c r="T124" s="39">
        <f t="shared" si="38"/>
        <v>45</v>
      </c>
      <c r="U124" s="47">
        <f t="shared" si="39"/>
        <v>0.16553677235671932</v>
      </c>
      <c r="V124" s="48">
        <f t="shared" si="40"/>
        <v>-73.75</v>
      </c>
      <c r="W124" s="49">
        <f t="shared" si="41"/>
        <v>3.6785949412604293E-3</v>
      </c>
      <c r="X124" s="44">
        <f t="shared" si="42"/>
        <v>866.11388563329854</v>
      </c>
      <c r="Y124" s="44">
        <f t="shared" si="43"/>
        <v>30425.78</v>
      </c>
      <c r="Z124" s="44">
        <f t="shared" si="44"/>
        <v>4328.2257217575161</v>
      </c>
      <c r="AA124" s="50">
        <f t="shared" si="45"/>
        <v>36991.893885633297</v>
      </c>
      <c r="AB124" s="51">
        <f t="shared" si="46"/>
        <v>4052.6458068890597</v>
      </c>
      <c r="AC124" s="44">
        <f t="shared" si="47"/>
        <v>34636.60476182893</v>
      </c>
      <c r="AD124" s="44">
        <f t="shared" si="48"/>
        <v>0</v>
      </c>
      <c r="AE124" s="44">
        <f t="shared" si="49"/>
        <v>0</v>
      </c>
      <c r="AF124" s="52">
        <f>HLOOKUP(I124,ElecAvoidedCostsWOCC!$A$5:$Q$50,G124+1,FALSE)</f>
        <v>3.2695302314196475</v>
      </c>
      <c r="AG124" s="44">
        <f t="shared" si="50"/>
        <v>16311.915191668821</v>
      </c>
      <c r="AH124" s="52">
        <f>HLOOKUP(I124,ElecAvoidedCostsWOCC!$A$5:$Q$50,T124+1,FALSE)</f>
        <v>3.2695302314196475</v>
      </c>
      <c r="AI124" s="44">
        <f t="shared" si="51"/>
        <v>0</v>
      </c>
      <c r="AJ124" s="44">
        <f t="shared" si="52"/>
        <v>16311.915191668821</v>
      </c>
      <c r="AK124" s="44">
        <f>HLOOKUP(I124,ElecAvoidedCostsWOCC!$A$5:$Q$50,G124+1,FALSE)*J124*L124</f>
        <v>0</v>
      </c>
      <c r="AL124" s="44">
        <f t="shared" si="53"/>
        <v>16311.915191668821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16311.915191668821</v>
      </c>
      <c r="AN124" s="48">
        <f t="shared" si="54"/>
        <v>17943.106710835706</v>
      </c>
      <c r="AO124" s="47">
        <f t="shared" si="55"/>
        <v>4.0250039033611893</v>
      </c>
      <c r="AP124" s="47">
        <f t="shared" si="56"/>
        <v>0.51803884457548799</v>
      </c>
    </row>
    <row r="125" spans="2:42" x14ac:dyDescent="0.35">
      <c r="B125" s="37"/>
      <c r="C125" s="61"/>
      <c r="D125" s="61"/>
      <c r="E125" s="38" t="s">
        <v>902</v>
      </c>
      <c r="F125" s="39" t="s">
        <v>903</v>
      </c>
      <c r="G125" s="39">
        <v>45</v>
      </c>
      <c r="H125" s="39"/>
      <c r="I125" s="40" t="s">
        <v>274</v>
      </c>
      <c r="J125" s="41">
        <v>4995.3</v>
      </c>
      <c r="K125" s="496">
        <v>0.23119932736772567</v>
      </c>
      <c r="L125" s="41"/>
      <c r="M125" s="42">
        <v>0</v>
      </c>
      <c r="N125" s="42">
        <v>0</v>
      </c>
      <c r="O125" s="43">
        <v>1154.9100000000001</v>
      </c>
      <c r="P125" s="44">
        <v>0</v>
      </c>
      <c r="Q125" s="44">
        <v>0</v>
      </c>
      <c r="R125" s="45">
        <v>0</v>
      </c>
      <c r="S125" s="46">
        <v>0</v>
      </c>
      <c r="T125" s="39">
        <f t="shared" si="38"/>
        <v>45</v>
      </c>
      <c r="U125" s="47">
        <f t="shared" si="39"/>
        <v>3.8319781795504722E-2</v>
      </c>
      <c r="V125" s="48">
        <f t="shared" si="40"/>
        <v>0</v>
      </c>
      <c r="W125" s="49">
        <f t="shared" si="41"/>
        <v>8.5155070656677153E-4</v>
      </c>
      <c r="X125" s="44">
        <f t="shared" si="42"/>
        <v>200.49499960047723</v>
      </c>
      <c r="Y125" s="44">
        <f t="shared" si="43"/>
        <v>0</v>
      </c>
      <c r="Z125" s="44">
        <f t="shared" si="44"/>
        <v>1001.9324580162181</v>
      </c>
      <c r="AA125" s="50">
        <f t="shared" si="45"/>
        <v>200.49499960047723</v>
      </c>
      <c r="AB125" s="51">
        <f t="shared" si="46"/>
        <v>938.13900563316292</v>
      </c>
      <c r="AC125" s="44">
        <f t="shared" si="47"/>
        <v>187.72940037497867</v>
      </c>
      <c r="AD125" s="44">
        <f t="shared" si="48"/>
        <v>0</v>
      </c>
      <c r="AE125" s="44">
        <f t="shared" si="49"/>
        <v>0</v>
      </c>
      <c r="AF125" s="52">
        <f>HLOOKUP(I125,ElecAvoidedCostsWOCC!$A$5:$Q$50,G125+1,FALSE)</f>
        <v>3.2695302314196475</v>
      </c>
      <c r="AG125" s="44">
        <f t="shared" si="50"/>
        <v>3776.0131595688654</v>
      </c>
      <c r="AH125" s="52">
        <f>HLOOKUP(I125,ElecAvoidedCostsWOCC!$A$5:$Q$50,T125+1,FALSE)</f>
        <v>3.2695302314196475</v>
      </c>
      <c r="AI125" s="44">
        <f t="shared" si="51"/>
        <v>0</v>
      </c>
      <c r="AJ125" s="44">
        <f t="shared" si="52"/>
        <v>3776.0131595688654</v>
      </c>
      <c r="AK125" s="44">
        <f>HLOOKUP(I125,ElecAvoidedCostsWOCC!$A$5:$Q$50,G125+1,FALSE)*J125*L125</f>
        <v>0</v>
      </c>
      <c r="AL125" s="44">
        <f t="shared" si="53"/>
        <v>3776.0131595688654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3776.0131595688649</v>
      </c>
      <c r="AN125" s="48">
        <f t="shared" si="54"/>
        <v>4153.6144755257519</v>
      </c>
      <c r="AO125" s="47">
        <f t="shared" si="55"/>
        <v>4.0250039033611884</v>
      </c>
      <c r="AP125" s="47">
        <f t="shared" si="56"/>
        <v>22.12554063044545</v>
      </c>
    </row>
    <row r="126" spans="2:42" x14ac:dyDescent="0.35">
      <c r="B126" s="37"/>
      <c r="C126" s="61"/>
      <c r="D126" s="61"/>
      <c r="E126" s="38" t="s">
        <v>904</v>
      </c>
      <c r="F126" s="39" t="s">
        <v>905</v>
      </c>
      <c r="G126" s="39">
        <v>45</v>
      </c>
      <c r="H126" s="39"/>
      <c r="I126" s="40" t="s">
        <v>274</v>
      </c>
      <c r="J126" s="41">
        <v>1539.58</v>
      </c>
      <c r="K126" s="496">
        <v>2.5677912157861238</v>
      </c>
      <c r="L126" s="41"/>
      <c r="M126" s="42">
        <v>100</v>
      </c>
      <c r="N126" s="42">
        <v>26.25</v>
      </c>
      <c r="O126" s="43">
        <v>3953.32</v>
      </c>
      <c r="P126" s="44">
        <v>6800</v>
      </c>
      <c r="Q126" s="44">
        <v>40413.980000000003</v>
      </c>
      <c r="R126" s="45">
        <v>0</v>
      </c>
      <c r="S126" s="46">
        <v>0</v>
      </c>
      <c r="T126" s="39">
        <f t="shared" si="38"/>
        <v>45</v>
      </c>
      <c r="U126" s="47">
        <f t="shared" si="39"/>
        <v>0.13117070574140385</v>
      </c>
      <c r="V126" s="48">
        <f t="shared" si="40"/>
        <v>-73.75</v>
      </c>
      <c r="W126" s="49">
        <f t="shared" si="41"/>
        <v>2.9149045720311966E-3</v>
      </c>
      <c r="X126" s="44">
        <f t="shared" si="42"/>
        <v>686.30533272770924</v>
      </c>
      <c r="Y126" s="44">
        <f t="shared" si="43"/>
        <v>33613.980000000003</v>
      </c>
      <c r="Z126" s="44">
        <f t="shared" si="44"/>
        <v>3429.6695196376131</v>
      </c>
      <c r="AA126" s="50">
        <f t="shared" si="45"/>
        <v>41100.285332727712</v>
      </c>
      <c r="AB126" s="51">
        <f t="shared" si="46"/>
        <v>3211.3010483498247</v>
      </c>
      <c r="AC126" s="44">
        <f t="shared" si="47"/>
        <v>38483.413232891115</v>
      </c>
      <c r="AD126" s="44">
        <f t="shared" si="48"/>
        <v>0</v>
      </c>
      <c r="AE126" s="44">
        <f t="shared" si="49"/>
        <v>0</v>
      </c>
      <c r="AF126" s="52">
        <f>HLOOKUP(I126,ElecAvoidedCostsWOCC!$A$5:$Q$50,G126+1,FALSE)</f>
        <v>3.2695302314196475</v>
      </c>
      <c r="AG126" s="44">
        <f t="shared" si="50"/>
        <v>12925.499254475921</v>
      </c>
      <c r="AH126" s="52">
        <f>HLOOKUP(I126,ElecAvoidedCostsWOCC!$A$5:$Q$50,T126+1,FALSE)</f>
        <v>3.2695302314196475</v>
      </c>
      <c r="AI126" s="44">
        <f t="shared" si="51"/>
        <v>0</v>
      </c>
      <c r="AJ126" s="44">
        <f t="shared" si="52"/>
        <v>12925.499254475921</v>
      </c>
      <c r="AK126" s="44">
        <f>HLOOKUP(I126,ElecAvoidedCostsWOCC!$A$5:$Q$50,G126+1,FALSE)*J126*L126</f>
        <v>0</v>
      </c>
      <c r="AL126" s="44">
        <f t="shared" si="53"/>
        <v>12925.499254475921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12925.499254475922</v>
      </c>
      <c r="AN126" s="48">
        <f t="shared" si="54"/>
        <v>14218.049179923515</v>
      </c>
      <c r="AO126" s="47">
        <f t="shared" si="55"/>
        <v>4.0250039033611893</v>
      </c>
      <c r="AP126" s="47">
        <f t="shared" si="56"/>
        <v>0.36945915098226245</v>
      </c>
    </row>
    <row r="127" spans="2:42" x14ac:dyDescent="0.35">
      <c r="B127" s="37"/>
      <c r="C127" s="61"/>
      <c r="D127" s="61"/>
      <c r="E127" s="38" t="s">
        <v>906</v>
      </c>
      <c r="F127" s="39" t="s">
        <v>907</v>
      </c>
      <c r="G127" s="39">
        <v>45</v>
      </c>
      <c r="H127" s="39"/>
      <c r="I127" s="40" t="s">
        <v>274</v>
      </c>
      <c r="J127" s="41">
        <v>94.4</v>
      </c>
      <c r="K127" s="496">
        <v>3.4019067796610165</v>
      </c>
      <c r="L127" s="41"/>
      <c r="M127" s="42">
        <v>100</v>
      </c>
      <c r="N127" s="42">
        <v>26.25</v>
      </c>
      <c r="O127" s="43">
        <v>321.14</v>
      </c>
      <c r="P127" s="44">
        <v>200</v>
      </c>
      <c r="Q127" s="44">
        <v>2478</v>
      </c>
      <c r="R127" s="45">
        <v>0</v>
      </c>
      <c r="S127" s="46">
        <v>0</v>
      </c>
      <c r="T127" s="39">
        <f t="shared" si="38"/>
        <v>45</v>
      </c>
      <c r="U127" s="47">
        <f t="shared" si="39"/>
        <v>1.0655388494175636E-2</v>
      </c>
      <c r="V127" s="48">
        <f t="shared" si="40"/>
        <v>-73.75</v>
      </c>
      <c r="W127" s="49">
        <f t="shared" si="41"/>
        <v>2.3678641098168082E-4</v>
      </c>
      <c r="X127" s="44">
        <f t="shared" si="42"/>
        <v>55.750633531355049</v>
      </c>
      <c r="Y127" s="44">
        <f t="shared" si="43"/>
        <v>2278</v>
      </c>
      <c r="Z127" s="44">
        <f t="shared" si="44"/>
        <v>278.60230629861053</v>
      </c>
      <c r="AA127" s="50">
        <f t="shared" si="45"/>
        <v>2533.7506335313551</v>
      </c>
      <c r="AB127" s="51">
        <f t="shared" si="46"/>
        <v>260.8635826766016</v>
      </c>
      <c r="AC127" s="44">
        <f t="shared" si="47"/>
        <v>2372.4256868271113</v>
      </c>
      <c r="AD127" s="44">
        <f t="shared" si="48"/>
        <v>0</v>
      </c>
      <c r="AE127" s="44">
        <f t="shared" si="49"/>
        <v>0</v>
      </c>
      <c r="AF127" s="52">
        <f>HLOOKUP(I127,ElecAvoidedCostsWOCC!$A$5:$Q$50,G127+1,FALSE)</f>
        <v>3.2695302314196475</v>
      </c>
      <c r="AG127" s="44">
        <f t="shared" si="50"/>
        <v>1049.9769385181055</v>
      </c>
      <c r="AH127" s="52">
        <f>HLOOKUP(I127,ElecAvoidedCostsWOCC!$A$5:$Q$50,T127+1,FALSE)</f>
        <v>3.2695302314196475</v>
      </c>
      <c r="AI127" s="44">
        <f t="shared" si="51"/>
        <v>0</v>
      </c>
      <c r="AJ127" s="44">
        <f t="shared" si="52"/>
        <v>1049.9769385181055</v>
      </c>
      <c r="AK127" s="44">
        <f>HLOOKUP(I127,ElecAvoidedCostsWOCC!$A$5:$Q$50,G127+1,FALSE)*J127*L127</f>
        <v>0</v>
      </c>
      <c r="AL127" s="44">
        <f t="shared" si="53"/>
        <v>1049.9769385181055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1049.9769385181055</v>
      </c>
      <c r="AN127" s="48">
        <f t="shared" si="54"/>
        <v>1154.9746323699162</v>
      </c>
      <c r="AO127" s="47">
        <f t="shared" si="55"/>
        <v>4.0250039033611884</v>
      </c>
      <c r="AP127" s="47">
        <f t="shared" si="56"/>
        <v>0.48683279682179736</v>
      </c>
    </row>
    <row r="128" spans="2:42" x14ac:dyDescent="0.35">
      <c r="B128" s="37"/>
      <c r="C128" s="61"/>
      <c r="D128" s="61"/>
      <c r="E128" s="38" t="s">
        <v>908</v>
      </c>
      <c r="F128" s="39" t="s">
        <v>909</v>
      </c>
      <c r="G128" s="39">
        <v>45</v>
      </c>
      <c r="H128" s="39"/>
      <c r="I128" s="40" t="s">
        <v>274</v>
      </c>
      <c r="J128" s="41">
        <v>324.02</v>
      </c>
      <c r="K128" s="496">
        <v>5.2209122893648541</v>
      </c>
      <c r="L128" s="41"/>
      <c r="M128" s="42">
        <v>100</v>
      </c>
      <c r="N128" s="42">
        <v>26.25</v>
      </c>
      <c r="O128" s="43">
        <v>1691.68</v>
      </c>
      <c r="P128" s="44">
        <v>1500</v>
      </c>
      <c r="Q128" s="44">
        <v>8505.5400000000009</v>
      </c>
      <c r="R128" s="45">
        <v>0</v>
      </c>
      <c r="S128" s="46">
        <v>0</v>
      </c>
      <c r="T128" s="39">
        <f t="shared" si="38"/>
        <v>45</v>
      </c>
      <c r="U128" s="47">
        <f t="shared" si="39"/>
        <v>5.6129749043492064E-2</v>
      </c>
      <c r="V128" s="48">
        <f t="shared" si="40"/>
        <v>-73.75</v>
      </c>
      <c r="W128" s="49">
        <f t="shared" si="41"/>
        <v>1.2473277565220459E-3</v>
      </c>
      <c r="X128" s="44">
        <f t="shared" si="42"/>
        <v>293.67949097690325</v>
      </c>
      <c r="Y128" s="44">
        <f t="shared" si="43"/>
        <v>7005.5400000000009</v>
      </c>
      <c r="Z128" s="44">
        <f t="shared" si="44"/>
        <v>1467.6027574242805</v>
      </c>
      <c r="AA128" s="50">
        <f t="shared" si="45"/>
        <v>8799.2194909769041</v>
      </c>
      <c r="AB128" s="51">
        <f t="shared" si="46"/>
        <v>1374.159885228727</v>
      </c>
      <c r="AC128" s="44">
        <f t="shared" si="47"/>
        <v>8238.9695608397979</v>
      </c>
      <c r="AD128" s="44">
        <f t="shared" si="48"/>
        <v>0</v>
      </c>
      <c r="AE128" s="44">
        <f t="shared" si="49"/>
        <v>0</v>
      </c>
      <c r="AF128" s="52">
        <f>HLOOKUP(I128,ElecAvoidedCostsWOCC!$A$5:$Q$50,G128+1,FALSE)</f>
        <v>3.2695302314196475</v>
      </c>
      <c r="AG128" s="44">
        <f t="shared" si="50"/>
        <v>5530.9989018879896</v>
      </c>
      <c r="AH128" s="52">
        <f>HLOOKUP(I128,ElecAvoidedCostsWOCC!$A$5:$Q$50,T128+1,FALSE)</f>
        <v>3.2695302314196475</v>
      </c>
      <c r="AI128" s="44">
        <f t="shared" si="51"/>
        <v>0</v>
      </c>
      <c r="AJ128" s="44">
        <f t="shared" si="52"/>
        <v>5530.9989018879896</v>
      </c>
      <c r="AK128" s="44">
        <f>HLOOKUP(I128,ElecAvoidedCostsWOCC!$A$5:$Q$50,G128+1,FALSE)*J128*L128</f>
        <v>0</v>
      </c>
      <c r="AL128" s="44">
        <f t="shared" si="53"/>
        <v>5530.9989018879896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5530.9989018879887</v>
      </c>
      <c r="AN128" s="48">
        <f t="shared" si="54"/>
        <v>6084.0987920767884</v>
      </c>
      <c r="AO128" s="47">
        <f t="shared" si="55"/>
        <v>4.0250039033611884</v>
      </c>
      <c r="AP128" s="47">
        <f t="shared" si="56"/>
        <v>0.73845384998080221</v>
      </c>
    </row>
    <row r="129" spans="2:42" x14ac:dyDescent="0.35">
      <c r="B129" s="37"/>
      <c r="C129" s="61"/>
      <c r="D129" s="61"/>
      <c r="E129" s="38" t="s">
        <v>910</v>
      </c>
      <c r="F129" s="39" t="s">
        <v>911</v>
      </c>
      <c r="G129" s="39">
        <v>45</v>
      </c>
      <c r="H129" s="39"/>
      <c r="I129" s="40" t="s">
        <v>274</v>
      </c>
      <c r="J129" s="41">
        <v>6301.42</v>
      </c>
      <c r="K129" s="496">
        <v>0.35259830323958724</v>
      </c>
      <c r="L129" s="41"/>
      <c r="M129" s="42">
        <v>0</v>
      </c>
      <c r="N129" s="42">
        <v>0</v>
      </c>
      <c r="O129" s="43">
        <v>2221.87</v>
      </c>
      <c r="P129" s="44">
        <v>0</v>
      </c>
      <c r="Q129" s="44">
        <v>0</v>
      </c>
      <c r="R129" s="45">
        <v>0</v>
      </c>
      <c r="S129" s="46">
        <v>0</v>
      </c>
      <c r="T129" s="39">
        <f t="shared" si="38"/>
        <v>45</v>
      </c>
      <c r="U129" s="47">
        <f t="shared" si="39"/>
        <v>7.3721392643563616E-2</v>
      </c>
      <c r="V129" s="48">
        <f t="shared" si="40"/>
        <v>0</v>
      </c>
      <c r="W129" s="49">
        <f t="shared" si="41"/>
        <v>1.6382531698569693E-3</v>
      </c>
      <c r="X129" s="44">
        <f t="shared" si="42"/>
        <v>385.72167940559206</v>
      </c>
      <c r="Y129" s="44">
        <f t="shared" si="43"/>
        <v>0</v>
      </c>
      <c r="Z129" s="44">
        <f t="shared" si="44"/>
        <v>1927.5646331683806</v>
      </c>
      <c r="AA129" s="50">
        <f t="shared" si="45"/>
        <v>385.72167940559206</v>
      </c>
      <c r="AB129" s="51">
        <f t="shared" si="46"/>
        <v>1804.8357988467983</v>
      </c>
      <c r="AC129" s="44">
        <f t="shared" si="47"/>
        <v>361.16262116628468</v>
      </c>
      <c r="AD129" s="44">
        <f t="shared" si="48"/>
        <v>0</v>
      </c>
      <c r="AE129" s="44">
        <f t="shared" si="49"/>
        <v>0</v>
      </c>
      <c r="AF129" s="52">
        <f>HLOOKUP(I129,ElecAvoidedCostsWOCC!$A$5:$Q$50,G129+1,FALSE)</f>
        <v>3.2695302314196475</v>
      </c>
      <c r="AG129" s="44">
        <f t="shared" si="50"/>
        <v>7264.4711352843715</v>
      </c>
      <c r="AH129" s="52">
        <f>HLOOKUP(I129,ElecAvoidedCostsWOCC!$A$5:$Q$50,T129+1,FALSE)</f>
        <v>3.2695302314196475</v>
      </c>
      <c r="AI129" s="44">
        <f t="shared" si="51"/>
        <v>0</v>
      </c>
      <c r="AJ129" s="44">
        <f t="shared" si="52"/>
        <v>7264.4711352843715</v>
      </c>
      <c r="AK129" s="44">
        <f>HLOOKUP(I129,ElecAvoidedCostsWOCC!$A$5:$Q$50,G129+1,FALSE)*J129*L129</f>
        <v>0</v>
      </c>
      <c r="AL129" s="44">
        <f t="shared" si="53"/>
        <v>7264.4711352843715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7264.4711352843715</v>
      </c>
      <c r="AN129" s="48">
        <f t="shared" si="54"/>
        <v>7990.918248812809</v>
      </c>
      <c r="AO129" s="47">
        <f t="shared" si="55"/>
        <v>4.0250039033611884</v>
      </c>
      <c r="AP129" s="47">
        <f t="shared" si="56"/>
        <v>22.12554063044545</v>
      </c>
    </row>
    <row r="130" spans="2:42" x14ac:dyDescent="0.35">
      <c r="B130" s="37"/>
      <c r="C130" s="61"/>
      <c r="D130" s="61"/>
      <c r="E130" s="38" t="s">
        <v>912</v>
      </c>
      <c r="F130" s="39" t="s">
        <v>913</v>
      </c>
      <c r="G130" s="39">
        <v>45</v>
      </c>
      <c r="H130" s="39"/>
      <c r="I130" s="40" t="s">
        <v>274</v>
      </c>
      <c r="J130" s="41">
        <v>382.56</v>
      </c>
      <c r="K130" s="496">
        <v>3.279276453366792</v>
      </c>
      <c r="L130" s="41"/>
      <c r="M130" s="42">
        <v>100</v>
      </c>
      <c r="N130" s="42">
        <v>26.25</v>
      </c>
      <c r="O130" s="43">
        <v>1254.52</v>
      </c>
      <c r="P130" s="44">
        <v>1400</v>
      </c>
      <c r="Q130" s="44">
        <v>10042.209999999999</v>
      </c>
      <c r="R130" s="45">
        <v>0</v>
      </c>
      <c r="S130" s="46">
        <v>0</v>
      </c>
      <c r="T130" s="39">
        <f t="shared" si="38"/>
        <v>45</v>
      </c>
      <c r="U130" s="47">
        <f t="shared" si="39"/>
        <v>4.162483021022987E-2</v>
      </c>
      <c r="V130" s="48">
        <f t="shared" si="40"/>
        <v>-73.75</v>
      </c>
      <c r="W130" s="49">
        <f t="shared" si="41"/>
        <v>9.2499622689399706E-4</v>
      </c>
      <c r="X130" s="44">
        <f t="shared" si="42"/>
        <v>217.7875218837751</v>
      </c>
      <c r="Y130" s="44">
        <f t="shared" si="43"/>
        <v>8642.2099999999991</v>
      </c>
      <c r="Z130" s="44">
        <f t="shared" si="44"/>
        <v>1088.3482758227965</v>
      </c>
      <c r="AA130" s="50">
        <f t="shared" si="45"/>
        <v>10259.997521883774</v>
      </c>
      <c r="AB130" s="51">
        <f t="shared" si="46"/>
        <v>1019.0526927179742</v>
      </c>
      <c r="AC130" s="44">
        <f t="shared" si="47"/>
        <v>9606.7392527001612</v>
      </c>
      <c r="AD130" s="44">
        <f t="shared" si="48"/>
        <v>0</v>
      </c>
      <c r="AE130" s="44">
        <f t="shared" si="49"/>
        <v>0</v>
      </c>
      <c r="AF130" s="52">
        <f>HLOOKUP(I130,ElecAvoidedCostsWOCC!$A$5:$Q$50,G130+1,FALSE)</f>
        <v>3.2695302314196475</v>
      </c>
      <c r="AG130" s="44">
        <f t="shared" si="50"/>
        <v>4101.691065920576</v>
      </c>
      <c r="AH130" s="52">
        <f>HLOOKUP(I130,ElecAvoidedCostsWOCC!$A$5:$Q$50,T130+1,FALSE)</f>
        <v>3.2695302314196475</v>
      </c>
      <c r="AI130" s="44">
        <f t="shared" si="51"/>
        <v>0</v>
      </c>
      <c r="AJ130" s="44">
        <f t="shared" si="52"/>
        <v>4101.691065920576</v>
      </c>
      <c r="AK130" s="44">
        <f>HLOOKUP(I130,ElecAvoidedCostsWOCC!$A$5:$Q$50,G130+1,FALSE)*J130*L130</f>
        <v>0</v>
      </c>
      <c r="AL130" s="44">
        <f t="shared" si="53"/>
        <v>4101.691065920576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4101.691065920576</v>
      </c>
      <c r="AN130" s="48">
        <f t="shared" si="54"/>
        <v>4511.8601725126337</v>
      </c>
      <c r="AO130" s="47">
        <f t="shared" si="55"/>
        <v>4.0250039033611884</v>
      </c>
      <c r="AP130" s="47">
        <f t="shared" si="56"/>
        <v>0.46965573373342961</v>
      </c>
    </row>
    <row r="131" spans="2:42" x14ac:dyDescent="0.35">
      <c r="B131" s="37"/>
      <c r="C131" s="61"/>
      <c r="D131" s="61"/>
      <c r="E131" s="38" t="s">
        <v>914</v>
      </c>
      <c r="F131" s="39" t="s">
        <v>915</v>
      </c>
      <c r="G131" s="39">
        <v>45</v>
      </c>
      <c r="H131" s="39"/>
      <c r="I131" s="40" t="s">
        <v>274</v>
      </c>
      <c r="J131" s="41">
        <v>663.84</v>
      </c>
      <c r="K131" s="496">
        <v>4.9474873463485176</v>
      </c>
      <c r="L131" s="41"/>
      <c r="M131" s="42">
        <v>100</v>
      </c>
      <c r="N131" s="42">
        <v>26.25</v>
      </c>
      <c r="O131" s="43">
        <v>3284.34</v>
      </c>
      <c r="P131" s="44">
        <v>2800</v>
      </c>
      <c r="Q131" s="44">
        <v>17425.8</v>
      </c>
      <c r="R131" s="45">
        <v>0</v>
      </c>
      <c r="S131" s="46">
        <v>0</v>
      </c>
      <c r="T131" s="39">
        <f t="shared" si="38"/>
        <v>45</v>
      </c>
      <c r="U131" s="47">
        <f t="shared" si="39"/>
        <v>0.10897402580482285</v>
      </c>
      <c r="V131" s="48">
        <f t="shared" si="40"/>
        <v>-73.75</v>
      </c>
      <c r="W131" s="49">
        <f t="shared" si="41"/>
        <v>2.4216450178849522E-3</v>
      </c>
      <c r="X131" s="44">
        <f t="shared" si="42"/>
        <v>570.16888501080723</v>
      </c>
      <c r="Y131" s="44">
        <f t="shared" si="43"/>
        <v>14625.8</v>
      </c>
      <c r="Z131" s="44">
        <f t="shared" si="44"/>
        <v>2849.3015465802405</v>
      </c>
      <c r="AA131" s="50">
        <f t="shared" si="45"/>
        <v>17995.968885010807</v>
      </c>
      <c r="AB131" s="51">
        <f t="shared" si="46"/>
        <v>2667.8853432399255</v>
      </c>
      <c r="AC131" s="44">
        <f t="shared" si="47"/>
        <v>16850.158132032589</v>
      </c>
      <c r="AD131" s="44">
        <f t="shared" si="48"/>
        <v>0</v>
      </c>
      <c r="AE131" s="44">
        <f t="shared" si="49"/>
        <v>0</v>
      </c>
      <c r="AF131" s="52">
        <f>HLOOKUP(I131,ElecAvoidedCostsWOCC!$A$5:$Q$50,G131+1,FALSE)</f>
        <v>3.2695302314196475</v>
      </c>
      <c r="AG131" s="44">
        <f t="shared" si="50"/>
        <v>10738.248920260807</v>
      </c>
      <c r="AH131" s="52">
        <f>HLOOKUP(I131,ElecAvoidedCostsWOCC!$A$5:$Q$50,T131+1,FALSE)</f>
        <v>3.2695302314196475</v>
      </c>
      <c r="AI131" s="44">
        <f t="shared" si="51"/>
        <v>0</v>
      </c>
      <c r="AJ131" s="44">
        <f t="shared" si="52"/>
        <v>10738.248920260807</v>
      </c>
      <c r="AK131" s="44">
        <f>HLOOKUP(I131,ElecAvoidedCostsWOCC!$A$5:$Q$50,G131+1,FALSE)*J131*L131</f>
        <v>0</v>
      </c>
      <c r="AL131" s="44">
        <f t="shared" si="53"/>
        <v>10738.248920260807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10738.248920260807</v>
      </c>
      <c r="AN131" s="48">
        <f t="shared" si="54"/>
        <v>11812.073812286888</v>
      </c>
      <c r="AO131" s="47">
        <f t="shared" si="55"/>
        <v>4.0250039033611893</v>
      </c>
      <c r="AP131" s="47">
        <f t="shared" si="56"/>
        <v>0.70100670389744457</v>
      </c>
    </row>
    <row r="132" spans="2:42" x14ac:dyDescent="0.35">
      <c r="B132" s="37"/>
      <c r="C132" s="61"/>
      <c r="D132" s="61"/>
      <c r="E132" s="38" t="s">
        <v>916</v>
      </c>
      <c r="F132" s="39" t="s">
        <v>917</v>
      </c>
      <c r="G132" s="39">
        <v>45</v>
      </c>
      <c r="H132" s="39"/>
      <c r="I132" s="40" t="s">
        <v>274</v>
      </c>
      <c r="J132" s="41">
        <v>10</v>
      </c>
      <c r="K132" s="496">
        <v>4.9479999999999995</v>
      </c>
      <c r="L132" s="41"/>
      <c r="M132" s="42">
        <v>200</v>
      </c>
      <c r="N132" s="42">
        <v>26.25</v>
      </c>
      <c r="O132" s="43">
        <v>49.48</v>
      </c>
      <c r="P132" s="44">
        <v>200</v>
      </c>
      <c r="Q132" s="44">
        <v>262.5</v>
      </c>
      <c r="R132" s="45">
        <v>0</v>
      </c>
      <c r="S132" s="46">
        <v>0</v>
      </c>
      <c r="T132" s="39">
        <f t="shared" ref="T132:T195" si="57">G132+H132</f>
        <v>45</v>
      </c>
      <c r="U132" s="47">
        <f t="shared" ref="U132:U195" si="58">(O132/$A$10)*T132</f>
        <v>1.6417407445095923E-3</v>
      </c>
      <c r="V132" s="48">
        <f t="shared" ref="V132:V195" si="59">N132-M132</f>
        <v>-173.75</v>
      </c>
      <c r="W132" s="49">
        <f t="shared" ref="W132:W195" si="60">(O132/A$10)</f>
        <v>3.6483127655768717E-5</v>
      </c>
      <c r="X132" s="44">
        <f t="shared" ref="X132:X195" si="61">W132*A$8</f>
        <v>8.5898404033488429</v>
      </c>
      <c r="Y132" s="44">
        <f t="shared" ref="Y132:Y195" si="62">Q132-P132</f>
        <v>62.5</v>
      </c>
      <c r="Z132" s="44">
        <f t="shared" ref="Z132:Z195" si="63">X132+(A$6*W132)</f>
        <v>42.925957886452167</v>
      </c>
      <c r="AA132" s="50">
        <f t="shared" ref="AA132:AA195" si="64">Q132+X132</f>
        <v>271.08984040334883</v>
      </c>
      <c r="AB132" s="51">
        <f t="shared" ref="AB132:AB195" si="65">Z132/(1+ElecDiscountRate)^1</f>
        <v>40.192844462970193</v>
      </c>
      <c r="AC132" s="44">
        <f t="shared" ref="AC132:AC195" si="66">AA132/(1+ElecDiscountRate)^1</f>
        <v>253.82943857991461</v>
      </c>
      <c r="AD132" s="44">
        <f t="shared" ref="AD132:AD195" si="67">-PV(ElecDiscountRate,T132,R132)*J132</f>
        <v>0</v>
      </c>
      <c r="AE132" s="44">
        <f t="shared" ref="AE132:AE195" si="68">-PV(ElecDiscountRate,T132,S132)*J132</f>
        <v>0</v>
      </c>
      <c r="AF132" s="52">
        <f>HLOOKUP(I132,ElecAvoidedCostsWOCC!$A$5:$Q$50,G132+1,FALSE)</f>
        <v>3.2695302314196475</v>
      </c>
      <c r="AG132" s="44">
        <f t="shared" ref="AG132:AG195" si="69">AF132*J132*K132</f>
        <v>161.77635585064414</v>
      </c>
      <c r="AH132" s="52">
        <f>HLOOKUP(I132,ElecAvoidedCostsWOCC!$A$5:$Q$50,T132+1,FALSE)</f>
        <v>3.2695302314196475</v>
      </c>
      <c r="AI132" s="44">
        <f t="shared" ref="AI132:AI195" si="70">AH132*J132*L132</f>
        <v>0</v>
      </c>
      <c r="AJ132" s="44">
        <f t="shared" ref="AJ132:AJ195" si="71">AG132+AI132</f>
        <v>161.77635585064414</v>
      </c>
      <c r="AK132" s="44">
        <f>HLOOKUP(I132,ElecAvoidedCostsWOCC!$A$5:$Q$50,G132+1,FALSE)*J132*L132</f>
        <v>0</v>
      </c>
      <c r="AL132" s="44">
        <f t="shared" ref="AL132:AL195" si="72">AG132+AI132-AK132</f>
        <v>161.77635585064414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161.77635585064417</v>
      </c>
      <c r="AN132" s="48">
        <f t="shared" ref="AN132:AN195" si="73">AM132*1.1+AD132+AE132</f>
        <v>177.95399143570859</v>
      </c>
      <c r="AO132" s="47">
        <f t="shared" ref="AO132:AO195" si="74">IFERROR(AM132/AB132,0)</f>
        <v>4.0250039033611884</v>
      </c>
      <c r="AP132" s="47">
        <f t="shared" ref="AP132:AP195" si="75">AN132/AC132</f>
        <v>0.70107703988669656</v>
      </c>
    </row>
    <row r="133" spans="2:42" x14ac:dyDescent="0.35">
      <c r="B133" s="37"/>
      <c r="C133" s="61"/>
      <c r="D133" s="61"/>
      <c r="E133" s="38" t="s">
        <v>918</v>
      </c>
      <c r="F133" s="39" t="s">
        <v>919</v>
      </c>
      <c r="G133" s="39">
        <v>20</v>
      </c>
      <c r="H133" s="39"/>
      <c r="I133" s="40" t="s">
        <v>274</v>
      </c>
      <c r="J133" s="41">
        <v>18</v>
      </c>
      <c r="K133" s="496">
        <v>1252</v>
      </c>
      <c r="L133" s="41"/>
      <c r="M133" s="42">
        <v>600</v>
      </c>
      <c r="N133" s="42">
        <v>1000</v>
      </c>
      <c r="O133" s="43">
        <v>22536</v>
      </c>
      <c r="P133" s="44">
        <v>10675.89</v>
      </c>
      <c r="Q133" s="44">
        <v>18000</v>
      </c>
      <c r="R133" s="45">
        <v>45.579099999999997</v>
      </c>
      <c r="S133" s="46">
        <v>0</v>
      </c>
      <c r="T133" s="39">
        <f t="shared" si="57"/>
        <v>20</v>
      </c>
      <c r="U133" s="47">
        <f t="shared" si="58"/>
        <v>0.33232973518609699</v>
      </c>
      <c r="V133" s="48">
        <f t="shared" si="59"/>
        <v>400</v>
      </c>
      <c r="W133" s="49">
        <f t="shared" si="60"/>
        <v>1.6616486759304848E-2</v>
      </c>
      <c r="X133" s="44">
        <f t="shared" si="61"/>
        <v>3912.3007948639761</v>
      </c>
      <c r="Y133" s="44">
        <f t="shared" si="62"/>
        <v>7324.1100000000006</v>
      </c>
      <c r="Z133" s="44">
        <f t="shared" si="63"/>
        <v>19550.917278275789</v>
      </c>
      <c r="AA133" s="50">
        <f t="shared" si="64"/>
        <v>21912.300794863975</v>
      </c>
      <c r="AB133" s="51">
        <f t="shared" si="65"/>
        <v>18306.102320482947</v>
      </c>
      <c r="AC133" s="44">
        <f t="shared" si="66"/>
        <v>20517.135575715332</v>
      </c>
      <c r="AD133" s="44">
        <f t="shared" si="67"/>
        <v>8828.3421980842941</v>
      </c>
      <c r="AE133" s="44">
        <f t="shared" si="68"/>
        <v>0</v>
      </c>
      <c r="AF133" s="52">
        <f>HLOOKUP(I133,ElecAvoidedCostsWOCC!$A$5:$Q$50,G133+1,FALSE)</f>
        <v>1.6314674491379657</v>
      </c>
      <c r="AG133" s="44">
        <f t="shared" si="69"/>
        <v>36766.750433773195</v>
      </c>
      <c r="AH133" s="52">
        <f>HLOOKUP(I133,ElecAvoidedCostsWOCC!$A$5:$Q$50,T133+1,FALSE)</f>
        <v>1.6314674491379657</v>
      </c>
      <c r="AI133" s="44">
        <f t="shared" si="70"/>
        <v>0</v>
      </c>
      <c r="AJ133" s="44">
        <f t="shared" si="71"/>
        <v>36766.750433773195</v>
      </c>
      <c r="AK133" s="44">
        <f>HLOOKUP(I133,ElecAvoidedCostsWOCC!$A$5:$Q$50,G133+1,FALSE)*J133*L133</f>
        <v>0</v>
      </c>
      <c r="AL133" s="44">
        <f t="shared" si="72"/>
        <v>36766.750433773195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36766.750433773195</v>
      </c>
      <c r="AN133" s="48">
        <f t="shared" si="73"/>
        <v>49271.767675234805</v>
      </c>
      <c r="AO133" s="47">
        <f t="shared" si="74"/>
        <v>2.0084423101161395</v>
      </c>
      <c r="AP133" s="47">
        <f t="shared" si="75"/>
        <v>2.401493497637861</v>
      </c>
    </row>
    <row r="134" spans="2:42" x14ac:dyDescent="0.35">
      <c r="B134" s="37"/>
      <c r="C134" s="61"/>
      <c r="D134" s="61"/>
      <c r="E134" s="38" t="s">
        <v>920</v>
      </c>
      <c r="F134" s="39" t="s">
        <v>921</v>
      </c>
      <c r="G134" s="39">
        <v>20</v>
      </c>
      <c r="H134" s="39"/>
      <c r="I134" s="40" t="s">
        <v>274</v>
      </c>
      <c r="J134" s="41">
        <v>69</v>
      </c>
      <c r="K134" s="496">
        <v>0</v>
      </c>
      <c r="L134" s="41"/>
      <c r="M134" s="42"/>
      <c r="N134" s="42"/>
      <c r="O134" s="43">
        <v>0</v>
      </c>
      <c r="P134" s="44">
        <v>0</v>
      </c>
      <c r="Q134" s="44">
        <v>0</v>
      </c>
      <c r="R134" s="45">
        <v>36.090899999999998</v>
      </c>
      <c r="S134" s="46">
        <v>0</v>
      </c>
      <c r="T134" s="39">
        <f t="shared" si="57"/>
        <v>20</v>
      </c>
      <c r="U134" s="47">
        <f t="shared" si="58"/>
        <v>0</v>
      </c>
      <c r="V134" s="48">
        <f t="shared" si="59"/>
        <v>0</v>
      </c>
      <c r="W134" s="49">
        <f t="shared" si="60"/>
        <v>0</v>
      </c>
      <c r="X134" s="44">
        <f t="shared" si="61"/>
        <v>0</v>
      </c>
      <c r="Y134" s="44">
        <f t="shared" si="62"/>
        <v>0</v>
      </c>
      <c r="Z134" s="44">
        <f t="shared" si="63"/>
        <v>0</v>
      </c>
      <c r="AA134" s="50">
        <f t="shared" si="64"/>
        <v>0</v>
      </c>
      <c r="AB134" s="51">
        <f t="shared" si="65"/>
        <v>0</v>
      </c>
      <c r="AC134" s="44">
        <f t="shared" si="66"/>
        <v>0</v>
      </c>
      <c r="AD134" s="44">
        <f t="shared" si="67"/>
        <v>26797.094702935228</v>
      </c>
      <c r="AE134" s="44">
        <f t="shared" si="68"/>
        <v>0</v>
      </c>
      <c r="AF134" s="52">
        <f>HLOOKUP(I134,ElecAvoidedCostsWOCC!$A$5:$Q$50,G134+1,FALSE)</f>
        <v>1.6314674491379657</v>
      </c>
      <c r="AG134" s="44">
        <f t="shared" si="69"/>
        <v>0</v>
      </c>
      <c r="AH134" s="52">
        <f>HLOOKUP(I134,ElecAvoidedCostsWOCC!$A$5:$Q$50,T134+1,FALSE)</f>
        <v>1.6314674491379657</v>
      </c>
      <c r="AI134" s="44">
        <f t="shared" si="70"/>
        <v>0</v>
      </c>
      <c r="AJ134" s="44">
        <f t="shared" si="71"/>
        <v>0</v>
      </c>
      <c r="AK134" s="44">
        <f>HLOOKUP(I134,ElecAvoidedCostsWOCC!$A$5:$Q$50,G134+1,FALSE)*J134*L134</f>
        <v>0</v>
      </c>
      <c r="AL134" s="44">
        <f t="shared" si="72"/>
        <v>0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3"/>
        <v>26797.094702935228</v>
      </c>
      <c r="AO134" s="47">
        <f t="shared" si="74"/>
        <v>0</v>
      </c>
      <c r="AP134" s="47" t="e">
        <f t="shared" si="75"/>
        <v>#DIV/0!</v>
      </c>
    </row>
    <row r="135" spans="2:42" x14ac:dyDescent="0.35">
      <c r="B135" s="37"/>
      <c r="C135" s="61"/>
      <c r="D135" s="61"/>
      <c r="E135" s="38" t="s">
        <v>922</v>
      </c>
      <c r="F135" s="39" t="s">
        <v>923</v>
      </c>
      <c r="G135" s="39">
        <v>20</v>
      </c>
      <c r="H135" s="39"/>
      <c r="I135" s="40" t="s">
        <v>274</v>
      </c>
      <c r="J135" s="41">
        <v>9</v>
      </c>
      <c r="K135" s="496">
        <v>0</v>
      </c>
      <c r="L135" s="41"/>
      <c r="M135" s="42"/>
      <c r="N135" s="42"/>
      <c r="O135" s="43">
        <v>0</v>
      </c>
      <c r="P135" s="44">
        <v>0</v>
      </c>
      <c r="Q135" s="44">
        <v>0</v>
      </c>
      <c r="R135" s="45">
        <v>40.396900000000002</v>
      </c>
      <c r="S135" s="46">
        <v>0</v>
      </c>
      <c r="T135" s="39">
        <f t="shared" si="57"/>
        <v>20</v>
      </c>
      <c r="U135" s="47">
        <f t="shared" si="58"/>
        <v>0</v>
      </c>
      <c r="V135" s="48">
        <f t="shared" si="59"/>
        <v>0</v>
      </c>
      <c r="W135" s="49">
        <f t="shared" si="60"/>
        <v>0</v>
      </c>
      <c r="X135" s="44">
        <f t="shared" si="61"/>
        <v>0</v>
      </c>
      <c r="Y135" s="44">
        <f t="shared" si="62"/>
        <v>0</v>
      </c>
      <c r="Z135" s="44">
        <f t="shared" si="63"/>
        <v>0</v>
      </c>
      <c r="AA135" s="50">
        <f t="shared" si="64"/>
        <v>0</v>
      </c>
      <c r="AB135" s="51">
        <f t="shared" si="65"/>
        <v>0</v>
      </c>
      <c r="AC135" s="44">
        <f t="shared" si="66"/>
        <v>0</v>
      </c>
      <c r="AD135" s="44">
        <f t="shared" si="67"/>
        <v>3912.2937590012903</v>
      </c>
      <c r="AE135" s="44">
        <f t="shared" si="68"/>
        <v>0</v>
      </c>
      <c r="AF135" s="52">
        <f>HLOOKUP(I135,ElecAvoidedCostsWOCC!$A$5:$Q$50,G135+1,FALSE)</f>
        <v>1.6314674491379657</v>
      </c>
      <c r="AG135" s="44">
        <f t="shared" si="69"/>
        <v>0</v>
      </c>
      <c r="AH135" s="52">
        <f>HLOOKUP(I135,ElecAvoidedCostsWOCC!$A$5:$Q$50,T135+1,FALSE)</f>
        <v>1.6314674491379657</v>
      </c>
      <c r="AI135" s="44">
        <f t="shared" si="70"/>
        <v>0</v>
      </c>
      <c r="AJ135" s="44">
        <f t="shared" si="71"/>
        <v>0</v>
      </c>
      <c r="AK135" s="44">
        <f>HLOOKUP(I135,ElecAvoidedCostsWOCC!$A$5:$Q$50,G135+1,FALSE)*J135*L135</f>
        <v>0</v>
      </c>
      <c r="AL135" s="44">
        <f t="shared" si="72"/>
        <v>0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3"/>
        <v>3912.2937590012903</v>
      </c>
      <c r="AO135" s="47">
        <f t="shared" si="74"/>
        <v>0</v>
      </c>
      <c r="AP135" s="47" t="e">
        <f t="shared" si="75"/>
        <v>#DIV/0!</v>
      </c>
    </row>
    <row r="136" spans="2:42" x14ac:dyDescent="0.35">
      <c r="B136" s="37"/>
      <c r="C136" s="61"/>
      <c r="D136" s="61"/>
      <c r="E136" s="38" t="s">
        <v>924</v>
      </c>
      <c r="F136" s="39" t="s">
        <v>925</v>
      </c>
      <c r="G136" s="39">
        <v>20</v>
      </c>
      <c r="H136" s="39"/>
      <c r="I136" s="40" t="s">
        <v>274</v>
      </c>
      <c r="J136" s="41">
        <v>2</v>
      </c>
      <c r="K136" s="496">
        <v>1252</v>
      </c>
      <c r="L136" s="41"/>
      <c r="M136" s="42">
        <v>1200</v>
      </c>
      <c r="N136" s="42">
        <v>1000</v>
      </c>
      <c r="O136" s="43">
        <v>2504</v>
      </c>
      <c r="P136" s="44">
        <v>1861.24</v>
      </c>
      <c r="Q136" s="44">
        <v>2000</v>
      </c>
      <c r="R136" s="45">
        <v>65.520799999999994</v>
      </c>
      <c r="S136" s="46">
        <v>0</v>
      </c>
      <c r="T136" s="39">
        <f t="shared" si="57"/>
        <v>20</v>
      </c>
      <c r="U136" s="47">
        <f t="shared" si="58"/>
        <v>3.6925526131788552E-2</v>
      </c>
      <c r="V136" s="48">
        <f t="shared" si="59"/>
        <v>-200</v>
      </c>
      <c r="W136" s="49">
        <f t="shared" si="60"/>
        <v>1.8462763065894277E-3</v>
      </c>
      <c r="X136" s="44">
        <f t="shared" si="61"/>
        <v>434.70008831821963</v>
      </c>
      <c r="Y136" s="44">
        <f t="shared" si="62"/>
        <v>138.76</v>
      </c>
      <c r="Z136" s="44">
        <f t="shared" si="63"/>
        <v>2172.3241420306435</v>
      </c>
      <c r="AA136" s="50">
        <f t="shared" si="64"/>
        <v>2434.7000883182195</v>
      </c>
      <c r="AB136" s="51">
        <f t="shared" si="65"/>
        <v>2034.01136894255</v>
      </c>
      <c r="AC136" s="44">
        <f t="shared" si="66"/>
        <v>2279.6817306350367</v>
      </c>
      <c r="AD136" s="44">
        <f t="shared" si="67"/>
        <v>1410.1005931135626</v>
      </c>
      <c r="AE136" s="44">
        <f t="shared" si="68"/>
        <v>0</v>
      </c>
      <c r="AF136" s="52">
        <f>HLOOKUP(I136,ElecAvoidedCostsWOCC!$A$5:$Q$50,G136+1,FALSE)</f>
        <v>1.6314674491379657</v>
      </c>
      <c r="AG136" s="44">
        <f t="shared" si="69"/>
        <v>4085.1944926414662</v>
      </c>
      <c r="AH136" s="52">
        <f>HLOOKUP(I136,ElecAvoidedCostsWOCC!$A$5:$Q$50,T136+1,FALSE)</f>
        <v>1.6314674491379657</v>
      </c>
      <c r="AI136" s="44">
        <f t="shared" si="70"/>
        <v>0</v>
      </c>
      <c r="AJ136" s="44">
        <f t="shared" si="71"/>
        <v>4085.1944926414662</v>
      </c>
      <c r="AK136" s="44">
        <f>HLOOKUP(I136,ElecAvoidedCostsWOCC!$A$5:$Q$50,G136+1,FALSE)*J136*L136</f>
        <v>0</v>
      </c>
      <c r="AL136" s="44">
        <f t="shared" si="72"/>
        <v>4085.1944926414662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4085.1944926414662</v>
      </c>
      <c r="AN136" s="48">
        <f t="shared" si="73"/>
        <v>5903.8145350191753</v>
      </c>
      <c r="AO136" s="47">
        <f t="shared" si="74"/>
        <v>2.0084423101161395</v>
      </c>
      <c r="AP136" s="47">
        <f t="shared" si="75"/>
        <v>2.5897538483911902</v>
      </c>
    </row>
    <row r="137" spans="2:42" x14ac:dyDescent="0.35">
      <c r="B137" s="37"/>
      <c r="C137" s="61"/>
      <c r="D137" s="61"/>
      <c r="E137" s="38" t="s">
        <v>926</v>
      </c>
      <c r="F137" s="39" t="s">
        <v>927</v>
      </c>
      <c r="G137" s="39">
        <v>20</v>
      </c>
      <c r="H137" s="39"/>
      <c r="I137" s="40" t="s">
        <v>274</v>
      </c>
      <c r="J137" s="41">
        <v>11</v>
      </c>
      <c r="K137" s="496">
        <v>0</v>
      </c>
      <c r="L137" s="41"/>
      <c r="M137" s="42"/>
      <c r="N137" s="42"/>
      <c r="O137" s="43">
        <v>0</v>
      </c>
      <c r="P137" s="44">
        <v>0</v>
      </c>
      <c r="Q137" s="44">
        <v>0</v>
      </c>
      <c r="R137" s="45">
        <v>36.090899999999998</v>
      </c>
      <c r="S137" s="46">
        <v>0</v>
      </c>
      <c r="T137" s="39">
        <f t="shared" si="57"/>
        <v>20</v>
      </c>
      <c r="U137" s="47">
        <f t="shared" si="58"/>
        <v>0</v>
      </c>
      <c r="V137" s="48">
        <f t="shared" si="59"/>
        <v>0</v>
      </c>
      <c r="W137" s="49">
        <f t="shared" si="60"/>
        <v>0</v>
      </c>
      <c r="X137" s="44">
        <f t="shared" si="61"/>
        <v>0</v>
      </c>
      <c r="Y137" s="44">
        <f t="shared" si="62"/>
        <v>0</v>
      </c>
      <c r="Z137" s="44">
        <f t="shared" si="63"/>
        <v>0</v>
      </c>
      <c r="AA137" s="50">
        <f t="shared" si="64"/>
        <v>0</v>
      </c>
      <c r="AB137" s="51">
        <f t="shared" si="65"/>
        <v>0</v>
      </c>
      <c r="AC137" s="44">
        <f t="shared" si="66"/>
        <v>0</v>
      </c>
      <c r="AD137" s="44">
        <f t="shared" si="67"/>
        <v>4272.0006048157611</v>
      </c>
      <c r="AE137" s="44">
        <f t="shared" si="68"/>
        <v>0</v>
      </c>
      <c r="AF137" s="52">
        <f>HLOOKUP(I137,ElecAvoidedCostsWOCC!$A$5:$Q$50,G137+1,FALSE)</f>
        <v>1.6314674491379657</v>
      </c>
      <c r="AG137" s="44">
        <f t="shared" si="69"/>
        <v>0</v>
      </c>
      <c r="AH137" s="52">
        <f>HLOOKUP(I137,ElecAvoidedCostsWOCC!$A$5:$Q$50,T137+1,FALSE)</f>
        <v>1.6314674491379657</v>
      </c>
      <c r="AI137" s="44">
        <f t="shared" si="70"/>
        <v>0</v>
      </c>
      <c r="AJ137" s="44">
        <f t="shared" si="71"/>
        <v>0</v>
      </c>
      <c r="AK137" s="44">
        <f>HLOOKUP(I137,ElecAvoidedCostsWOCC!$A$5:$Q$50,G137+1,FALSE)*J137*L137</f>
        <v>0</v>
      </c>
      <c r="AL137" s="44">
        <f t="shared" si="72"/>
        <v>0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3"/>
        <v>4272.0006048157611</v>
      </c>
      <c r="AO137" s="47">
        <f t="shared" si="74"/>
        <v>0</v>
      </c>
      <c r="AP137" s="47" t="e">
        <f t="shared" si="75"/>
        <v>#DIV/0!</v>
      </c>
    </row>
    <row r="138" spans="2:42" x14ac:dyDescent="0.35">
      <c r="B138" s="37"/>
      <c r="C138" s="61"/>
      <c r="D138" s="61"/>
      <c r="E138" s="38" t="s">
        <v>928</v>
      </c>
      <c r="F138" s="39" t="s">
        <v>929</v>
      </c>
      <c r="G138" s="39">
        <v>45</v>
      </c>
      <c r="H138" s="39"/>
      <c r="I138" s="40" t="s">
        <v>274</v>
      </c>
      <c r="J138" s="41">
        <v>29644</v>
      </c>
      <c r="K138" s="496">
        <v>0.15000000000000002</v>
      </c>
      <c r="L138" s="41"/>
      <c r="M138" s="42">
        <v>0.15</v>
      </c>
      <c r="N138" s="42">
        <v>0.2</v>
      </c>
      <c r="O138" s="43">
        <v>4446.6000000000004</v>
      </c>
      <c r="P138" s="44">
        <v>4446.6000000000004</v>
      </c>
      <c r="Q138" s="44">
        <v>5928.8</v>
      </c>
      <c r="R138" s="45">
        <v>8.0000000000000004E-4</v>
      </c>
      <c r="S138" s="46">
        <v>0</v>
      </c>
      <c r="T138" s="39">
        <f t="shared" si="57"/>
        <v>45</v>
      </c>
      <c r="U138" s="47">
        <f t="shared" si="58"/>
        <v>0.14753767976023352</v>
      </c>
      <c r="V138" s="48">
        <f t="shared" si="59"/>
        <v>5.0000000000000017E-2</v>
      </c>
      <c r="W138" s="49">
        <f t="shared" si="60"/>
        <v>3.2786151057829669E-3</v>
      </c>
      <c r="X138" s="44">
        <f t="shared" si="61"/>
        <v>771.93986130822498</v>
      </c>
      <c r="Y138" s="44">
        <f t="shared" si="62"/>
        <v>1482.1999999999998</v>
      </c>
      <c r="Z138" s="44">
        <f t="shared" si="63"/>
        <v>3857.6104352849275</v>
      </c>
      <c r="AA138" s="50">
        <f t="shared" si="64"/>
        <v>6700.739861308225</v>
      </c>
      <c r="AB138" s="51">
        <f t="shared" si="65"/>
        <v>3611.9947895926284</v>
      </c>
      <c r="AC138" s="44">
        <f t="shared" si="66"/>
        <v>6274.1009937342924</v>
      </c>
      <c r="AD138" s="44">
        <f t="shared" si="67"/>
        <v>330.68904170301045</v>
      </c>
      <c r="AE138" s="44">
        <f t="shared" si="68"/>
        <v>0</v>
      </c>
      <c r="AF138" s="52">
        <f>HLOOKUP(I138,ElecAvoidedCostsWOCC!$A$5:$Q$50,G138+1,FALSE)</f>
        <v>3.2695302314196475</v>
      </c>
      <c r="AG138" s="44">
        <f t="shared" si="69"/>
        <v>14538.293127030607</v>
      </c>
      <c r="AH138" s="52">
        <f>HLOOKUP(I138,ElecAvoidedCostsWOCC!$A$5:$Q$50,T138+1,FALSE)</f>
        <v>3.2695302314196475</v>
      </c>
      <c r="AI138" s="44">
        <f t="shared" si="70"/>
        <v>0</v>
      </c>
      <c r="AJ138" s="44">
        <f t="shared" si="71"/>
        <v>14538.293127030607</v>
      </c>
      <c r="AK138" s="44">
        <f>HLOOKUP(I138,ElecAvoidedCostsWOCC!$A$5:$Q$50,G138+1,FALSE)*J138*L138</f>
        <v>0</v>
      </c>
      <c r="AL138" s="44">
        <f t="shared" si="72"/>
        <v>14538.293127030607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14538.293127030607</v>
      </c>
      <c r="AN138" s="48">
        <f t="shared" si="73"/>
        <v>16322.81148143668</v>
      </c>
      <c r="AO138" s="47">
        <f t="shared" si="74"/>
        <v>4.0250039033611893</v>
      </c>
      <c r="AP138" s="47">
        <f t="shared" si="75"/>
        <v>2.6016175859677197</v>
      </c>
    </row>
    <row r="139" spans="2:42" x14ac:dyDescent="0.35">
      <c r="B139" s="37"/>
      <c r="C139" s="61"/>
      <c r="D139" s="61"/>
      <c r="E139" s="38" t="s">
        <v>930</v>
      </c>
      <c r="F139" s="39" t="s">
        <v>931</v>
      </c>
      <c r="G139" s="39">
        <v>45</v>
      </c>
      <c r="H139" s="39"/>
      <c r="I139" s="40" t="s">
        <v>274</v>
      </c>
      <c r="J139" s="41">
        <v>3015</v>
      </c>
      <c r="K139" s="496">
        <v>0.15</v>
      </c>
      <c r="L139" s="41"/>
      <c r="M139" s="42">
        <v>0.3</v>
      </c>
      <c r="N139" s="42">
        <v>0.2</v>
      </c>
      <c r="O139" s="43">
        <v>452.25</v>
      </c>
      <c r="P139" s="44">
        <v>904.5</v>
      </c>
      <c r="Q139" s="44">
        <v>603</v>
      </c>
      <c r="R139" s="45">
        <v>8.0000000000000004E-4</v>
      </c>
      <c r="S139" s="46">
        <v>0</v>
      </c>
      <c r="T139" s="39">
        <f t="shared" si="57"/>
        <v>45</v>
      </c>
      <c r="U139" s="47">
        <f t="shared" si="58"/>
        <v>1.5005603308497638E-2</v>
      </c>
      <c r="V139" s="48">
        <f t="shared" si="59"/>
        <v>-9.9999999999999978E-2</v>
      </c>
      <c r="W139" s="49">
        <f t="shared" si="60"/>
        <v>3.3345785129994753E-4</v>
      </c>
      <c r="X139" s="44">
        <f t="shared" si="61"/>
        <v>78.511627372969173</v>
      </c>
      <c r="Y139" s="44">
        <f t="shared" si="62"/>
        <v>-301.5</v>
      </c>
      <c r="Z139" s="44">
        <f t="shared" si="63"/>
        <v>392.34568419862558</v>
      </c>
      <c r="AA139" s="50">
        <f t="shared" si="64"/>
        <v>681.5116273729692</v>
      </c>
      <c r="AB139" s="51">
        <f t="shared" si="65"/>
        <v>367.36487284515499</v>
      </c>
      <c r="AC139" s="44">
        <f t="shared" si="66"/>
        <v>638.11950128555168</v>
      </c>
      <c r="AD139" s="44">
        <f t="shared" si="67"/>
        <v>33.633364617952253</v>
      </c>
      <c r="AE139" s="44">
        <f t="shared" si="68"/>
        <v>0</v>
      </c>
      <c r="AF139" s="52">
        <f>HLOOKUP(I139,ElecAvoidedCostsWOCC!$A$5:$Q$50,G139+1,FALSE)</f>
        <v>3.2695302314196475</v>
      </c>
      <c r="AG139" s="44">
        <f t="shared" si="69"/>
        <v>1478.6450471595356</v>
      </c>
      <c r="AH139" s="52">
        <f>HLOOKUP(I139,ElecAvoidedCostsWOCC!$A$5:$Q$50,T139+1,FALSE)</f>
        <v>3.2695302314196475</v>
      </c>
      <c r="AI139" s="44">
        <f t="shared" si="70"/>
        <v>0</v>
      </c>
      <c r="AJ139" s="44">
        <f t="shared" si="71"/>
        <v>1478.6450471595356</v>
      </c>
      <c r="AK139" s="44">
        <f>HLOOKUP(I139,ElecAvoidedCostsWOCC!$A$5:$Q$50,G139+1,FALSE)*J139*L139</f>
        <v>0</v>
      </c>
      <c r="AL139" s="44">
        <f t="shared" si="72"/>
        <v>1478.6450471595356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1478.6450471595356</v>
      </c>
      <c r="AN139" s="48">
        <f t="shared" si="73"/>
        <v>1660.1429164934416</v>
      </c>
      <c r="AO139" s="47">
        <f t="shared" si="74"/>
        <v>4.0250039033611884</v>
      </c>
      <c r="AP139" s="47">
        <f t="shared" si="75"/>
        <v>2.6016175859677189</v>
      </c>
    </row>
    <row r="140" spans="2:42" x14ac:dyDescent="0.35">
      <c r="B140" s="37"/>
      <c r="C140" s="61"/>
      <c r="D140" s="61"/>
      <c r="E140" s="38" t="s">
        <v>932</v>
      </c>
      <c r="F140" s="39" t="s">
        <v>933</v>
      </c>
      <c r="G140" s="39">
        <v>45</v>
      </c>
      <c r="H140" s="39"/>
      <c r="I140" s="40" t="s">
        <v>274</v>
      </c>
      <c r="J140" s="41">
        <v>74081</v>
      </c>
      <c r="K140" s="496">
        <v>0</v>
      </c>
      <c r="L140" s="41"/>
      <c r="M140" s="42"/>
      <c r="N140" s="42"/>
      <c r="O140" s="43">
        <v>0</v>
      </c>
      <c r="P140" s="44">
        <v>0</v>
      </c>
      <c r="Q140" s="44">
        <v>0</v>
      </c>
      <c r="R140" s="45">
        <v>0</v>
      </c>
      <c r="S140" s="46">
        <v>0</v>
      </c>
      <c r="T140" s="39">
        <f t="shared" si="57"/>
        <v>45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0</v>
      </c>
      <c r="Z140" s="44">
        <f t="shared" si="63"/>
        <v>0</v>
      </c>
      <c r="AA140" s="50">
        <f t="shared" si="64"/>
        <v>0</v>
      </c>
      <c r="AB140" s="51">
        <f t="shared" si="65"/>
        <v>0</v>
      </c>
      <c r="AC140" s="44">
        <f t="shared" si="66"/>
        <v>0</v>
      </c>
      <c r="AD140" s="44">
        <f t="shared" si="67"/>
        <v>0</v>
      </c>
      <c r="AE140" s="44">
        <f t="shared" si="68"/>
        <v>0</v>
      </c>
      <c r="AF140" s="52">
        <f>HLOOKUP(I140,ElecAvoidedCostsWOCC!$A$5:$Q$50,G140+1,FALSE)</f>
        <v>3.2695302314196475</v>
      </c>
      <c r="AG140" s="44">
        <f t="shared" si="69"/>
        <v>0</v>
      </c>
      <c r="AH140" s="52">
        <f>HLOOKUP(I140,ElecAvoidedCostsWOCC!$A$5:$Q$50,T140+1,FALSE)</f>
        <v>3.2695302314196475</v>
      </c>
      <c r="AI140" s="44">
        <f t="shared" si="70"/>
        <v>0</v>
      </c>
      <c r="AJ140" s="44">
        <f t="shared" si="71"/>
        <v>0</v>
      </c>
      <c r="AK140" s="44">
        <f>HLOOKUP(I140,ElecAvoidedCostsWOCC!$A$5:$Q$50,G140+1,FALSE)*J140*L140</f>
        <v>0</v>
      </c>
      <c r="AL140" s="44">
        <f t="shared" si="72"/>
        <v>0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 t="e">
        <f t="shared" si="75"/>
        <v>#DIV/0!</v>
      </c>
    </row>
    <row r="141" spans="2:42" x14ac:dyDescent="0.35">
      <c r="B141" s="37"/>
      <c r="C141" s="61"/>
      <c r="D141" s="61"/>
      <c r="E141" s="38" t="s">
        <v>934</v>
      </c>
      <c r="F141" s="39" t="s">
        <v>935</v>
      </c>
      <c r="G141" s="39">
        <v>45</v>
      </c>
      <c r="H141" s="39"/>
      <c r="I141" s="40" t="s">
        <v>274</v>
      </c>
      <c r="J141" s="41">
        <v>15820</v>
      </c>
      <c r="K141" s="496">
        <v>0</v>
      </c>
      <c r="L141" s="41"/>
      <c r="M141" s="42"/>
      <c r="N141" s="42"/>
      <c r="O141" s="43">
        <v>0</v>
      </c>
      <c r="P141" s="44">
        <v>0</v>
      </c>
      <c r="Q141" s="44">
        <v>0</v>
      </c>
      <c r="R141" s="45">
        <v>0</v>
      </c>
      <c r="S141" s="46">
        <v>0</v>
      </c>
      <c r="T141" s="39">
        <f t="shared" si="57"/>
        <v>45</v>
      </c>
      <c r="U141" s="47">
        <f t="shared" si="58"/>
        <v>0</v>
      </c>
      <c r="V141" s="48">
        <f t="shared" si="59"/>
        <v>0</v>
      </c>
      <c r="W141" s="49">
        <f t="shared" si="60"/>
        <v>0</v>
      </c>
      <c r="X141" s="44">
        <f t="shared" si="61"/>
        <v>0</v>
      </c>
      <c r="Y141" s="44">
        <f t="shared" si="62"/>
        <v>0</v>
      </c>
      <c r="Z141" s="44">
        <f t="shared" si="63"/>
        <v>0</v>
      </c>
      <c r="AA141" s="50">
        <f t="shared" si="64"/>
        <v>0</v>
      </c>
      <c r="AB141" s="51">
        <f t="shared" si="65"/>
        <v>0</v>
      </c>
      <c r="AC141" s="44">
        <f t="shared" si="66"/>
        <v>0</v>
      </c>
      <c r="AD141" s="44">
        <f t="shared" si="67"/>
        <v>0</v>
      </c>
      <c r="AE141" s="44">
        <f t="shared" si="68"/>
        <v>0</v>
      </c>
      <c r="AF141" s="52">
        <f>HLOOKUP(I141,ElecAvoidedCostsWOCC!$A$5:$Q$50,G141+1,FALSE)</f>
        <v>3.2695302314196475</v>
      </c>
      <c r="AG141" s="44">
        <f t="shared" si="69"/>
        <v>0</v>
      </c>
      <c r="AH141" s="52">
        <f>HLOOKUP(I141,ElecAvoidedCostsWOCC!$A$5:$Q$50,T141+1,FALSE)</f>
        <v>3.2695302314196475</v>
      </c>
      <c r="AI141" s="44">
        <f t="shared" si="70"/>
        <v>0</v>
      </c>
      <c r="AJ141" s="44">
        <f t="shared" si="71"/>
        <v>0</v>
      </c>
      <c r="AK141" s="44">
        <f>HLOOKUP(I141,ElecAvoidedCostsWOCC!$A$5:$Q$50,G141+1,FALSE)*J141*L141</f>
        <v>0</v>
      </c>
      <c r="AL141" s="44">
        <f t="shared" si="72"/>
        <v>0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3"/>
        <v>0</v>
      </c>
      <c r="AO141" s="47">
        <f t="shared" si="74"/>
        <v>0</v>
      </c>
      <c r="AP141" s="47" t="e">
        <f t="shared" si="75"/>
        <v>#DIV/0!</v>
      </c>
    </row>
    <row r="142" spans="2:42" x14ac:dyDescent="0.35">
      <c r="B142" s="37"/>
      <c r="C142" s="61"/>
      <c r="D142" s="61"/>
      <c r="E142" s="38" t="s">
        <v>936</v>
      </c>
      <c r="F142" s="39" t="s">
        <v>937</v>
      </c>
      <c r="G142" s="39">
        <v>45</v>
      </c>
      <c r="H142" s="39"/>
      <c r="I142" s="40" t="s">
        <v>274</v>
      </c>
      <c r="J142" s="41">
        <v>29516</v>
      </c>
      <c r="K142" s="496">
        <v>0.15</v>
      </c>
      <c r="L142" s="41"/>
      <c r="M142" s="42">
        <v>0.15</v>
      </c>
      <c r="N142" s="42">
        <v>0.2</v>
      </c>
      <c r="O142" s="43">
        <v>4427.3999999999996</v>
      </c>
      <c r="P142" s="44">
        <v>4357.12</v>
      </c>
      <c r="Q142" s="44">
        <v>5903.2</v>
      </c>
      <c r="R142" s="45">
        <v>8.0000000000000004E-4</v>
      </c>
      <c r="S142" s="46">
        <v>0</v>
      </c>
      <c r="T142" s="39">
        <f t="shared" si="57"/>
        <v>45</v>
      </c>
      <c r="U142" s="47">
        <f t="shared" si="58"/>
        <v>0.14690062595476494</v>
      </c>
      <c r="V142" s="48">
        <f t="shared" si="59"/>
        <v>5.0000000000000017E-2</v>
      </c>
      <c r="W142" s="49">
        <f t="shared" si="60"/>
        <v>3.2644583545503318E-3</v>
      </c>
      <c r="X142" s="44">
        <f t="shared" si="61"/>
        <v>768.60669769172728</v>
      </c>
      <c r="Y142" s="44">
        <f t="shared" si="62"/>
        <v>1546.08</v>
      </c>
      <c r="Z142" s="44">
        <f t="shared" si="63"/>
        <v>3840.9536367517849</v>
      </c>
      <c r="AA142" s="50">
        <f t="shared" si="64"/>
        <v>6671.8066976917271</v>
      </c>
      <c r="AB142" s="51">
        <f t="shared" si="65"/>
        <v>3596.3985362844423</v>
      </c>
      <c r="AC142" s="44">
        <f t="shared" si="66"/>
        <v>6247.0100165652875</v>
      </c>
      <c r="AD142" s="44">
        <f t="shared" si="67"/>
        <v>329.26115756665956</v>
      </c>
      <c r="AE142" s="44">
        <f t="shared" si="68"/>
        <v>0</v>
      </c>
      <c r="AF142" s="52">
        <f>HLOOKUP(I142,ElecAvoidedCostsWOCC!$A$5:$Q$50,G142+1,FALSE)</f>
        <v>3.2695302314196475</v>
      </c>
      <c r="AG142" s="44">
        <f t="shared" si="69"/>
        <v>14475.518146587347</v>
      </c>
      <c r="AH142" s="52">
        <f>HLOOKUP(I142,ElecAvoidedCostsWOCC!$A$5:$Q$50,T142+1,FALSE)</f>
        <v>3.2695302314196475</v>
      </c>
      <c r="AI142" s="44">
        <f t="shared" si="70"/>
        <v>0</v>
      </c>
      <c r="AJ142" s="44">
        <f t="shared" si="71"/>
        <v>14475.518146587347</v>
      </c>
      <c r="AK142" s="44">
        <f>HLOOKUP(I142,ElecAvoidedCostsWOCC!$A$5:$Q$50,G142+1,FALSE)*J142*L142</f>
        <v>0</v>
      </c>
      <c r="AL142" s="44">
        <f t="shared" si="72"/>
        <v>14475.518146587347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14475.518146587347</v>
      </c>
      <c r="AN142" s="48">
        <f t="shared" si="73"/>
        <v>16252.331118812743</v>
      </c>
      <c r="AO142" s="47">
        <f t="shared" si="74"/>
        <v>4.0250039033611884</v>
      </c>
      <c r="AP142" s="47">
        <f t="shared" si="75"/>
        <v>2.6016175859677189</v>
      </c>
    </row>
    <row r="143" spans="2:42" x14ac:dyDescent="0.35">
      <c r="B143" s="37"/>
      <c r="C143" s="61"/>
      <c r="D143" s="61"/>
      <c r="E143" s="38" t="s">
        <v>938</v>
      </c>
      <c r="F143" s="39" t="s">
        <v>939</v>
      </c>
      <c r="G143" s="39">
        <v>45</v>
      </c>
      <c r="H143" s="39"/>
      <c r="I143" s="40" t="s">
        <v>274</v>
      </c>
      <c r="J143" s="41">
        <v>2962</v>
      </c>
      <c r="K143" s="496">
        <v>0.15</v>
      </c>
      <c r="L143" s="41"/>
      <c r="M143" s="42">
        <v>0.3</v>
      </c>
      <c r="N143" s="42">
        <v>0.2</v>
      </c>
      <c r="O143" s="43">
        <v>444.3</v>
      </c>
      <c r="P143" s="44">
        <v>479.35</v>
      </c>
      <c r="Q143" s="44">
        <v>592.4</v>
      </c>
      <c r="R143" s="45">
        <v>8.0000000000000004E-4</v>
      </c>
      <c r="S143" s="46">
        <v>0</v>
      </c>
      <c r="T143" s="39">
        <f t="shared" si="57"/>
        <v>45</v>
      </c>
      <c r="U143" s="47">
        <f t="shared" si="58"/>
        <v>1.4741823217170815E-2</v>
      </c>
      <c r="V143" s="48">
        <f t="shared" si="59"/>
        <v>-9.9999999999999978E-2</v>
      </c>
      <c r="W143" s="49">
        <f t="shared" si="60"/>
        <v>3.275960714926848E-4</v>
      </c>
      <c r="X143" s="44">
        <f t="shared" si="61"/>
        <v>77.131489313013176</v>
      </c>
      <c r="Y143" s="44">
        <f t="shared" si="62"/>
        <v>113.04999999999995</v>
      </c>
      <c r="Z143" s="44">
        <f t="shared" si="63"/>
        <v>385.44872855599635</v>
      </c>
      <c r="AA143" s="50">
        <f t="shared" si="64"/>
        <v>669.53148931301314</v>
      </c>
      <c r="AB143" s="51">
        <f t="shared" si="65"/>
        <v>360.9070492097344</v>
      </c>
      <c r="AC143" s="44">
        <f t="shared" si="66"/>
        <v>626.90214355151045</v>
      </c>
      <c r="AD143" s="44">
        <f t="shared" si="67"/>
        <v>33.042131342744469</v>
      </c>
      <c r="AE143" s="44">
        <f t="shared" si="68"/>
        <v>0</v>
      </c>
      <c r="AF143" s="52">
        <f>HLOOKUP(I143,ElecAvoidedCostsWOCC!$A$5:$Q$50,G143+1,FALSE)</f>
        <v>3.2695302314196475</v>
      </c>
      <c r="AG143" s="44">
        <f t="shared" si="69"/>
        <v>1452.6522818197493</v>
      </c>
      <c r="AH143" s="52">
        <f>HLOOKUP(I143,ElecAvoidedCostsWOCC!$A$5:$Q$50,T143+1,FALSE)</f>
        <v>3.2695302314196475</v>
      </c>
      <c r="AI143" s="44">
        <f t="shared" si="70"/>
        <v>0</v>
      </c>
      <c r="AJ143" s="44">
        <f t="shared" si="71"/>
        <v>1452.6522818197493</v>
      </c>
      <c r="AK143" s="44">
        <f>HLOOKUP(I143,ElecAvoidedCostsWOCC!$A$5:$Q$50,G143+1,FALSE)*J143*L143</f>
        <v>0</v>
      </c>
      <c r="AL143" s="44">
        <f t="shared" si="72"/>
        <v>1452.6522818197493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1452.6522818197493</v>
      </c>
      <c r="AN143" s="48">
        <f t="shared" si="73"/>
        <v>1630.9596413444688</v>
      </c>
      <c r="AO143" s="47">
        <f t="shared" si="74"/>
        <v>4.0250039033611884</v>
      </c>
      <c r="AP143" s="47">
        <f t="shared" si="75"/>
        <v>2.6016175859677184</v>
      </c>
    </row>
    <row r="144" spans="2:42" x14ac:dyDescent="0.35">
      <c r="B144" s="37"/>
      <c r="C144" s="61"/>
      <c r="D144" s="61"/>
      <c r="E144" s="38" t="s">
        <v>940</v>
      </c>
      <c r="F144" s="39" t="s">
        <v>941</v>
      </c>
      <c r="G144" s="39">
        <v>45</v>
      </c>
      <c r="H144" s="39"/>
      <c r="I144" s="40" t="s">
        <v>274</v>
      </c>
      <c r="J144" s="41">
        <v>77340</v>
      </c>
      <c r="K144" s="496">
        <v>0</v>
      </c>
      <c r="L144" s="41"/>
      <c r="M144" s="42"/>
      <c r="N144" s="42"/>
      <c r="O144" s="43">
        <v>0</v>
      </c>
      <c r="P144" s="44">
        <v>0</v>
      </c>
      <c r="Q144" s="44">
        <v>0</v>
      </c>
      <c r="R144" s="45">
        <v>0</v>
      </c>
      <c r="S144" s="46">
        <v>0</v>
      </c>
      <c r="T144" s="39">
        <f t="shared" si="57"/>
        <v>45</v>
      </c>
      <c r="U144" s="47">
        <f t="shared" si="58"/>
        <v>0</v>
      </c>
      <c r="V144" s="48">
        <f t="shared" si="59"/>
        <v>0</v>
      </c>
      <c r="W144" s="49">
        <f t="shared" si="60"/>
        <v>0</v>
      </c>
      <c r="X144" s="44">
        <f t="shared" si="61"/>
        <v>0</v>
      </c>
      <c r="Y144" s="44">
        <f t="shared" si="62"/>
        <v>0</v>
      </c>
      <c r="Z144" s="44">
        <f t="shared" si="63"/>
        <v>0</v>
      </c>
      <c r="AA144" s="50">
        <f t="shared" si="64"/>
        <v>0</v>
      </c>
      <c r="AB144" s="51">
        <f t="shared" si="65"/>
        <v>0</v>
      </c>
      <c r="AC144" s="44">
        <f t="shared" si="66"/>
        <v>0</v>
      </c>
      <c r="AD144" s="44">
        <f t="shared" si="67"/>
        <v>0</v>
      </c>
      <c r="AE144" s="44">
        <f t="shared" si="68"/>
        <v>0</v>
      </c>
      <c r="AF144" s="52">
        <f>HLOOKUP(I144,ElecAvoidedCostsWOCC!$A$5:$Q$50,G144+1,FALSE)</f>
        <v>3.2695302314196475</v>
      </c>
      <c r="AG144" s="44">
        <f t="shared" si="69"/>
        <v>0</v>
      </c>
      <c r="AH144" s="52">
        <f>HLOOKUP(I144,ElecAvoidedCostsWOCC!$A$5:$Q$50,T144+1,FALSE)</f>
        <v>3.2695302314196475</v>
      </c>
      <c r="AI144" s="44">
        <f t="shared" si="70"/>
        <v>0</v>
      </c>
      <c r="AJ144" s="44">
        <f t="shared" si="71"/>
        <v>0</v>
      </c>
      <c r="AK144" s="44">
        <f>HLOOKUP(I144,ElecAvoidedCostsWOCC!$A$5:$Q$50,G144+1,FALSE)*J144*L144</f>
        <v>0</v>
      </c>
      <c r="AL144" s="44">
        <f t="shared" si="72"/>
        <v>0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3"/>
        <v>0</v>
      </c>
      <c r="AO144" s="47">
        <f t="shared" si="74"/>
        <v>0</v>
      </c>
      <c r="AP144" s="47" t="e">
        <f t="shared" si="75"/>
        <v>#DIV/0!</v>
      </c>
    </row>
    <row r="145" spans="2:42" x14ac:dyDescent="0.35">
      <c r="B145" s="37"/>
      <c r="C145" s="61"/>
      <c r="D145" s="61"/>
      <c r="E145" s="38" t="s">
        <v>942</v>
      </c>
      <c r="F145" s="39" t="s">
        <v>943</v>
      </c>
      <c r="G145" s="39">
        <v>45</v>
      </c>
      <c r="H145" s="39"/>
      <c r="I145" s="40" t="s">
        <v>274</v>
      </c>
      <c r="J145" s="41">
        <v>15320</v>
      </c>
      <c r="K145" s="496">
        <v>0</v>
      </c>
      <c r="L145" s="41"/>
      <c r="M145" s="42"/>
      <c r="N145" s="42"/>
      <c r="O145" s="43">
        <v>0</v>
      </c>
      <c r="P145" s="44">
        <v>0</v>
      </c>
      <c r="Q145" s="44">
        <v>0</v>
      </c>
      <c r="R145" s="45">
        <v>0</v>
      </c>
      <c r="S145" s="46">
        <v>0</v>
      </c>
      <c r="T145" s="39">
        <f t="shared" si="57"/>
        <v>45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0</v>
      </c>
      <c r="AB145" s="51">
        <f t="shared" si="65"/>
        <v>0</v>
      </c>
      <c r="AC145" s="44">
        <f t="shared" si="66"/>
        <v>0</v>
      </c>
      <c r="AD145" s="44">
        <f t="shared" si="67"/>
        <v>0</v>
      </c>
      <c r="AE145" s="44">
        <f t="shared" si="68"/>
        <v>0</v>
      </c>
      <c r="AF145" s="52">
        <f>HLOOKUP(I145,ElecAvoidedCostsWOCC!$A$5:$Q$50,G145+1,FALSE)</f>
        <v>3.2695302314196475</v>
      </c>
      <c r="AG145" s="44">
        <f t="shared" si="69"/>
        <v>0</v>
      </c>
      <c r="AH145" s="52">
        <f>HLOOKUP(I145,ElecAvoidedCostsWOCC!$A$5:$Q$50,T145+1,FALSE)</f>
        <v>3.2695302314196475</v>
      </c>
      <c r="AI145" s="44">
        <f t="shared" si="70"/>
        <v>0</v>
      </c>
      <c r="AJ145" s="44">
        <f t="shared" si="71"/>
        <v>0</v>
      </c>
      <c r="AK145" s="44">
        <f>HLOOKUP(I145,ElecAvoidedCostsWOCC!$A$5:$Q$50,G145+1,FALSE)*J145*L145</f>
        <v>0</v>
      </c>
      <c r="AL145" s="44">
        <f t="shared" si="72"/>
        <v>0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 t="e">
        <f t="shared" si="75"/>
        <v>#DIV/0!</v>
      </c>
    </row>
    <row r="146" spans="2:42" x14ac:dyDescent="0.35">
      <c r="B146" s="37"/>
      <c r="C146" s="61"/>
      <c r="D146" s="61"/>
      <c r="E146" s="38" t="s">
        <v>944</v>
      </c>
      <c r="F146" s="39" t="s">
        <v>945</v>
      </c>
      <c r="G146" s="39">
        <v>20</v>
      </c>
      <c r="H146" s="39"/>
      <c r="I146" s="40" t="s">
        <v>274</v>
      </c>
      <c r="J146" s="41">
        <v>1</v>
      </c>
      <c r="K146" s="496">
        <v>0</v>
      </c>
      <c r="L146" s="41"/>
      <c r="M146" s="42"/>
      <c r="N146" s="42"/>
      <c r="O146" s="43">
        <v>0</v>
      </c>
      <c r="P146" s="44">
        <v>0</v>
      </c>
      <c r="Q146" s="44">
        <v>0</v>
      </c>
      <c r="R146" s="45">
        <v>0</v>
      </c>
      <c r="S146" s="46">
        <v>0</v>
      </c>
      <c r="T146" s="39">
        <f t="shared" si="57"/>
        <v>20</v>
      </c>
      <c r="U146" s="47">
        <f t="shared" si="58"/>
        <v>0</v>
      </c>
      <c r="V146" s="48">
        <f t="shared" si="59"/>
        <v>0</v>
      </c>
      <c r="W146" s="49">
        <f t="shared" si="60"/>
        <v>0</v>
      </c>
      <c r="X146" s="44">
        <f t="shared" si="61"/>
        <v>0</v>
      </c>
      <c r="Y146" s="44">
        <f t="shared" si="62"/>
        <v>0</v>
      </c>
      <c r="Z146" s="44">
        <f t="shared" si="63"/>
        <v>0</v>
      </c>
      <c r="AA146" s="50">
        <f t="shared" si="64"/>
        <v>0</v>
      </c>
      <c r="AB146" s="51">
        <f t="shared" si="65"/>
        <v>0</v>
      </c>
      <c r="AC146" s="44">
        <f t="shared" si="66"/>
        <v>0</v>
      </c>
      <c r="AD146" s="44">
        <f t="shared" si="67"/>
        <v>0</v>
      </c>
      <c r="AE146" s="44">
        <f t="shared" si="68"/>
        <v>0</v>
      </c>
      <c r="AF146" s="52">
        <f>HLOOKUP(I146,ElecAvoidedCostsWOCC!$A$5:$Q$50,G146+1,FALSE)</f>
        <v>1.6314674491379657</v>
      </c>
      <c r="AG146" s="44">
        <f t="shared" si="69"/>
        <v>0</v>
      </c>
      <c r="AH146" s="52">
        <f>HLOOKUP(I146,ElecAvoidedCostsWOCC!$A$5:$Q$50,T146+1,FALSE)</f>
        <v>1.6314674491379657</v>
      </c>
      <c r="AI146" s="44">
        <f t="shared" si="70"/>
        <v>0</v>
      </c>
      <c r="AJ146" s="44">
        <f t="shared" si="71"/>
        <v>0</v>
      </c>
      <c r="AK146" s="44">
        <f>HLOOKUP(I146,ElecAvoidedCostsWOCC!$A$5:$Q$50,G146+1,FALSE)*J146*L146</f>
        <v>0</v>
      </c>
      <c r="AL146" s="44">
        <f t="shared" si="72"/>
        <v>0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3"/>
        <v>0</v>
      </c>
      <c r="AO146" s="47">
        <f t="shared" si="74"/>
        <v>0</v>
      </c>
      <c r="AP146" s="47" t="e">
        <f t="shared" si="75"/>
        <v>#DIV/0!</v>
      </c>
    </row>
    <row r="147" spans="2:42" x14ac:dyDescent="0.35">
      <c r="B147" s="37"/>
      <c r="C147" s="61"/>
      <c r="D147" s="61"/>
      <c r="E147" s="38" t="s">
        <v>946</v>
      </c>
      <c r="F147" s="39" t="s">
        <v>947</v>
      </c>
      <c r="G147" s="39">
        <v>45</v>
      </c>
      <c r="H147" s="39"/>
      <c r="I147" s="40" t="s">
        <v>274</v>
      </c>
      <c r="J147" s="41">
        <v>2904</v>
      </c>
      <c r="K147" s="496">
        <v>1.8601997245179065</v>
      </c>
      <c r="L147" s="41"/>
      <c r="M147" s="42">
        <v>0.75</v>
      </c>
      <c r="N147" s="42">
        <v>1.49</v>
      </c>
      <c r="O147" s="43">
        <v>5402.02</v>
      </c>
      <c r="P147" s="44">
        <v>2178</v>
      </c>
      <c r="Q147" s="44">
        <v>4326.96</v>
      </c>
      <c r="R147" s="45">
        <v>1.78E-2</v>
      </c>
      <c r="S147" s="46">
        <v>0</v>
      </c>
      <c r="T147" s="39">
        <f t="shared" si="57"/>
        <v>45</v>
      </c>
      <c r="U147" s="47">
        <f t="shared" si="58"/>
        <v>0.17923840615714853</v>
      </c>
      <c r="V147" s="48">
        <f t="shared" si="59"/>
        <v>0.74</v>
      </c>
      <c r="W147" s="49">
        <f t="shared" si="60"/>
        <v>3.9830756923810787E-3</v>
      </c>
      <c r="X147" s="44">
        <f t="shared" si="61"/>
        <v>937.8029437287496</v>
      </c>
      <c r="Y147" s="44">
        <f t="shared" si="62"/>
        <v>2148.96</v>
      </c>
      <c r="Z147" s="44">
        <f t="shared" si="63"/>
        <v>4686.4770214586169</v>
      </c>
      <c r="AA147" s="50">
        <f t="shared" si="64"/>
        <v>5264.7629437287496</v>
      </c>
      <c r="AB147" s="51">
        <f t="shared" si="65"/>
        <v>4388.087098744023</v>
      </c>
      <c r="AC147" s="44">
        <f t="shared" si="66"/>
        <v>4929.5533180980801</v>
      </c>
      <c r="AD147" s="44">
        <f t="shared" si="67"/>
        <v>720.79144989199551</v>
      </c>
      <c r="AE147" s="44">
        <f t="shared" si="68"/>
        <v>0</v>
      </c>
      <c r="AF147" s="52">
        <f>HLOOKUP(I147,ElecAvoidedCostsWOCC!$A$5:$Q$50,G147+1,FALSE)</f>
        <v>3.2695302314196475</v>
      </c>
      <c r="AG147" s="44">
        <f t="shared" si="69"/>
        <v>17662.067700733565</v>
      </c>
      <c r="AH147" s="52">
        <f>HLOOKUP(I147,ElecAvoidedCostsWOCC!$A$5:$Q$50,T147+1,FALSE)</f>
        <v>3.2695302314196475</v>
      </c>
      <c r="AI147" s="44">
        <f t="shared" si="70"/>
        <v>0</v>
      </c>
      <c r="AJ147" s="44">
        <f t="shared" si="71"/>
        <v>17662.067700733565</v>
      </c>
      <c r="AK147" s="44">
        <f>HLOOKUP(I147,ElecAvoidedCostsWOCC!$A$5:$Q$50,G147+1,FALSE)*J147*L147</f>
        <v>0</v>
      </c>
      <c r="AL147" s="44">
        <f t="shared" si="72"/>
        <v>17662.067700733565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17662.067700733565</v>
      </c>
      <c r="AN147" s="48">
        <f t="shared" si="73"/>
        <v>20149.065920698918</v>
      </c>
      <c r="AO147" s="47">
        <f t="shared" si="74"/>
        <v>4.0250039033611884</v>
      </c>
      <c r="AP147" s="47">
        <f t="shared" si="75"/>
        <v>4.0874019653514626</v>
      </c>
    </row>
    <row r="148" spans="2:42" x14ac:dyDescent="0.35">
      <c r="B148" s="37"/>
      <c r="C148" s="61"/>
      <c r="D148" s="61"/>
      <c r="E148" s="38" t="s">
        <v>948</v>
      </c>
      <c r="F148" s="39" t="s">
        <v>949</v>
      </c>
      <c r="G148" s="39">
        <v>45</v>
      </c>
      <c r="H148" s="39"/>
      <c r="I148" s="40" t="s">
        <v>274</v>
      </c>
      <c r="J148" s="41">
        <v>20952</v>
      </c>
      <c r="K148" s="496">
        <v>7.9500286368843071E-2</v>
      </c>
      <c r="L148" s="41"/>
      <c r="M148" s="42">
        <v>0</v>
      </c>
      <c r="N148" s="42">
        <v>0</v>
      </c>
      <c r="O148" s="43">
        <v>1665.69</v>
      </c>
      <c r="P148" s="44">
        <v>0</v>
      </c>
      <c r="Q148" s="44">
        <v>0</v>
      </c>
      <c r="R148" s="45">
        <v>4.3299999999999998E-2</v>
      </c>
      <c r="S148" s="46">
        <v>0</v>
      </c>
      <c r="T148" s="39">
        <f t="shared" si="57"/>
        <v>45</v>
      </c>
      <c r="U148" s="47">
        <f t="shared" si="58"/>
        <v>5.5267403814110418E-2</v>
      </c>
      <c r="V148" s="48">
        <f t="shared" si="59"/>
        <v>0</v>
      </c>
      <c r="W148" s="49">
        <f t="shared" si="60"/>
        <v>1.2281645292024537E-3</v>
      </c>
      <c r="X148" s="44">
        <f t="shared" si="61"/>
        <v>289.16756793561314</v>
      </c>
      <c r="Y148" s="44">
        <f t="shared" si="62"/>
        <v>0</v>
      </c>
      <c r="Z148" s="44">
        <f t="shared" si="63"/>
        <v>1445.0553514932199</v>
      </c>
      <c r="AA148" s="50">
        <f t="shared" si="64"/>
        <v>289.16756793561314</v>
      </c>
      <c r="AB148" s="51">
        <f t="shared" si="65"/>
        <v>1353.0480819224904</v>
      </c>
      <c r="AC148" s="44">
        <f t="shared" si="66"/>
        <v>270.75614975244673</v>
      </c>
      <c r="AD148" s="44">
        <f t="shared" si="67"/>
        <v>12650.462214793542</v>
      </c>
      <c r="AE148" s="44">
        <f t="shared" si="68"/>
        <v>0</v>
      </c>
      <c r="AF148" s="52">
        <f>HLOOKUP(I148,ElecAvoidedCostsWOCC!$A$5:$Q$50,G148+1,FALSE)</f>
        <v>3.2695302314196475</v>
      </c>
      <c r="AG148" s="44">
        <f t="shared" si="69"/>
        <v>5446.0238111733925</v>
      </c>
      <c r="AH148" s="52">
        <f>HLOOKUP(I148,ElecAvoidedCostsWOCC!$A$5:$Q$50,T148+1,FALSE)</f>
        <v>3.2695302314196475</v>
      </c>
      <c r="AI148" s="44">
        <f t="shared" si="70"/>
        <v>0</v>
      </c>
      <c r="AJ148" s="44">
        <f t="shared" si="71"/>
        <v>5446.0238111733925</v>
      </c>
      <c r="AK148" s="44">
        <f>HLOOKUP(I148,ElecAvoidedCostsWOCC!$A$5:$Q$50,G148+1,FALSE)*J148*L148</f>
        <v>0</v>
      </c>
      <c r="AL148" s="44">
        <f t="shared" si="72"/>
        <v>5446.0238111733925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5446.0238111733925</v>
      </c>
      <c r="AN148" s="48">
        <f t="shared" si="73"/>
        <v>18641.088407084273</v>
      </c>
      <c r="AO148" s="47">
        <f t="shared" si="74"/>
        <v>4.0250039033611884</v>
      </c>
      <c r="AP148" s="47">
        <f t="shared" si="75"/>
        <v>68.848254874830673</v>
      </c>
    </row>
    <row r="149" spans="2:42" x14ac:dyDescent="0.35">
      <c r="B149" s="37"/>
      <c r="C149" s="61"/>
      <c r="D149" s="61"/>
      <c r="E149" s="38" t="s">
        <v>950</v>
      </c>
      <c r="F149" s="39" t="s">
        <v>951</v>
      </c>
      <c r="G149" s="39">
        <v>45</v>
      </c>
      <c r="H149" s="39"/>
      <c r="I149" s="40" t="s">
        <v>274</v>
      </c>
      <c r="J149" s="41">
        <v>6609</v>
      </c>
      <c r="K149" s="496">
        <v>1.3010985020426689</v>
      </c>
      <c r="L149" s="41"/>
      <c r="M149" s="42">
        <v>0.75</v>
      </c>
      <c r="N149" s="42">
        <v>1.49</v>
      </c>
      <c r="O149" s="43">
        <v>8598.9599999999991</v>
      </c>
      <c r="P149" s="44">
        <v>4956.75</v>
      </c>
      <c r="Q149" s="44">
        <v>9847.41</v>
      </c>
      <c r="R149" s="45">
        <v>1.24E-2</v>
      </c>
      <c r="S149" s="46">
        <v>0</v>
      </c>
      <c r="T149" s="39">
        <f t="shared" si="57"/>
        <v>45</v>
      </c>
      <c r="U149" s="47">
        <f t="shared" si="58"/>
        <v>0.28531250995166135</v>
      </c>
      <c r="V149" s="48">
        <f t="shared" si="59"/>
        <v>0.74</v>
      </c>
      <c r="W149" s="49">
        <f t="shared" si="60"/>
        <v>6.3402779989258076E-3</v>
      </c>
      <c r="X149" s="44">
        <f t="shared" si="61"/>
        <v>1492.7989901936251</v>
      </c>
      <c r="Y149" s="44">
        <f t="shared" si="62"/>
        <v>4890.66</v>
      </c>
      <c r="Z149" s="44">
        <f t="shared" si="63"/>
        <v>7459.9554330494484</v>
      </c>
      <c r="AA149" s="50">
        <f t="shared" si="64"/>
        <v>11340.208990193625</v>
      </c>
      <c r="AB149" s="51">
        <f t="shared" si="65"/>
        <v>6984.9769972373106</v>
      </c>
      <c r="AC149" s="44">
        <f t="shared" si="66"/>
        <v>10618.173211791784</v>
      </c>
      <c r="AD149" s="44">
        <f t="shared" si="67"/>
        <v>1142.747945200902</v>
      </c>
      <c r="AE149" s="44">
        <f t="shared" si="68"/>
        <v>0</v>
      </c>
      <c r="AF149" s="52">
        <f>HLOOKUP(I149,ElecAvoidedCostsWOCC!$A$5:$Q$50,G149+1,FALSE)</f>
        <v>3.2695302314196475</v>
      </c>
      <c r="AG149" s="44">
        <f t="shared" si="69"/>
        <v>28114.559678768288</v>
      </c>
      <c r="AH149" s="52">
        <f>HLOOKUP(I149,ElecAvoidedCostsWOCC!$A$5:$Q$50,T149+1,FALSE)</f>
        <v>3.2695302314196475</v>
      </c>
      <c r="AI149" s="44">
        <f t="shared" si="70"/>
        <v>0</v>
      </c>
      <c r="AJ149" s="44">
        <f t="shared" si="71"/>
        <v>28114.559678768288</v>
      </c>
      <c r="AK149" s="44">
        <f>HLOOKUP(I149,ElecAvoidedCostsWOCC!$A$5:$Q$50,G149+1,FALSE)*J149*L149</f>
        <v>0</v>
      </c>
      <c r="AL149" s="44">
        <f t="shared" si="72"/>
        <v>28114.559678768288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28114.559678768284</v>
      </c>
      <c r="AN149" s="48">
        <f t="shared" si="73"/>
        <v>32068.763591846018</v>
      </c>
      <c r="AO149" s="47">
        <f t="shared" si="74"/>
        <v>4.0250039033611875</v>
      </c>
      <c r="AP149" s="47">
        <f t="shared" si="75"/>
        <v>3.0201771012957996</v>
      </c>
    </row>
    <row r="150" spans="2:42" x14ac:dyDescent="0.35">
      <c r="B150" s="37"/>
      <c r="C150" s="61"/>
      <c r="D150" s="61"/>
      <c r="E150" s="38" t="s">
        <v>952</v>
      </c>
      <c r="F150" s="39" t="s">
        <v>953</v>
      </c>
      <c r="G150" s="39">
        <v>45</v>
      </c>
      <c r="H150" s="39"/>
      <c r="I150" s="40" t="s">
        <v>274</v>
      </c>
      <c r="J150" s="41">
        <v>4128</v>
      </c>
      <c r="K150" s="496">
        <v>1.2032994186046513</v>
      </c>
      <c r="L150" s="41"/>
      <c r="M150" s="42">
        <v>0.75</v>
      </c>
      <c r="N150" s="42">
        <v>1.49</v>
      </c>
      <c r="O150" s="43">
        <v>4967.22</v>
      </c>
      <c r="P150" s="44">
        <v>3096</v>
      </c>
      <c r="Q150" s="44">
        <v>6150.72</v>
      </c>
      <c r="R150" s="45">
        <v>1.15E-2</v>
      </c>
      <c r="S150" s="46">
        <v>0</v>
      </c>
      <c r="T150" s="39">
        <f t="shared" si="57"/>
        <v>45</v>
      </c>
      <c r="U150" s="47">
        <f t="shared" si="58"/>
        <v>0.16481179185414183</v>
      </c>
      <c r="V150" s="48">
        <f t="shared" si="59"/>
        <v>0.74</v>
      </c>
      <c r="W150" s="49">
        <f t="shared" si="60"/>
        <v>3.6624842634253741E-3</v>
      </c>
      <c r="X150" s="44">
        <f t="shared" si="61"/>
        <v>862.32067599681579</v>
      </c>
      <c r="Y150" s="44">
        <f t="shared" si="62"/>
        <v>3054.7200000000003</v>
      </c>
      <c r="Z150" s="44">
        <f t="shared" si="63"/>
        <v>4309.2699380101649</v>
      </c>
      <c r="AA150" s="50">
        <f t="shared" si="64"/>
        <v>7013.0406759968164</v>
      </c>
      <c r="AB150" s="51">
        <f t="shared" si="65"/>
        <v>4034.8969457024014</v>
      </c>
      <c r="AC150" s="44">
        <f t="shared" si="66"/>
        <v>6566.5174868884042</v>
      </c>
      <c r="AD150" s="44">
        <f t="shared" si="67"/>
        <v>661.95816133641335</v>
      </c>
      <c r="AE150" s="44">
        <f t="shared" si="68"/>
        <v>0</v>
      </c>
      <c r="AF150" s="52">
        <f>HLOOKUP(I150,ElecAvoidedCostsWOCC!$A$5:$Q$50,G150+1,FALSE)</f>
        <v>3.2695302314196475</v>
      </c>
      <c r="AG150" s="44">
        <f t="shared" si="69"/>
        <v>16240.475956112303</v>
      </c>
      <c r="AH150" s="52">
        <f>HLOOKUP(I150,ElecAvoidedCostsWOCC!$A$5:$Q$50,T150+1,FALSE)</f>
        <v>3.2695302314196475</v>
      </c>
      <c r="AI150" s="44">
        <f t="shared" si="70"/>
        <v>0</v>
      </c>
      <c r="AJ150" s="44">
        <f t="shared" si="71"/>
        <v>16240.475956112303</v>
      </c>
      <c r="AK150" s="44">
        <f>HLOOKUP(I150,ElecAvoidedCostsWOCC!$A$5:$Q$50,G150+1,FALSE)*J150*L150</f>
        <v>0</v>
      </c>
      <c r="AL150" s="44">
        <f t="shared" si="72"/>
        <v>16240.475956112303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16240.475956112303</v>
      </c>
      <c r="AN150" s="48">
        <f t="shared" si="73"/>
        <v>18526.481713059948</v>
      </c>
      <c r="AO150" s="47">
        <f t="shared" si="74"/>
        <v>4.0250039033611884</v>
      </c>
      <c r="AP150" s="47">
        <f t="shared" si="75"/>
        <v>2.8213557262357747</v>
      </c>
    </row>
    <row r="151" spans="2:42" x14ac:dyDescent="0.35">
      <c r="B151" s="37"/>
      <c r="C151" s="61"/>
      <c r="D151" s="61"/>
      <c r="E151" s="38" t="s">
        <v>954</v>
      </c>
      <c r="F151" s="39" t="s">
        <v>955</v>
      </c>
      <c r="G151" s="39">
        <v>45</v>
      </c>
      <c r="H151" s="39"/>
      <c r="I151" s="40" t="s">
        <v>274</v>
      </c>
      <c r="J151" s="41">
        <v>6707</v>
      </c>
      <c r="K151" s="496">
        <v>0.44230058148203372</v>
      </c>
      <c r="L151" s="41"/>
      <c r="M151" s="42">
        <v>0.75</v>
      </c>
      <c r="N151" s="42">
        <v>1.24</v>
      </c>
      <c r="O151" s="43">
        <v>2966.51</v>
      </c>
      <c r="P151" s="44">
        <v>5030.25</v>
      </c>
      <c r="Q151" s="44">
        <v>8316.68</v>
      </c>
      <c r="R151" s="45">
        <v>4.1999999999999997E-3</v>
      </c>
      <c r="S151" s="46">
        <v>0</v>
      </c>
      <c r="T151" s="39">
        <f t="shared" si="57"/>
        <v>45</v>
      </c>
      <c r="U151" s="47">
        <f t="shared" si="58"/>
        <v>9.8428462732319144E-2</v>
      </c>
      <c r="V151" s="48">
        <f t="shared" si="59"/>
        <v>0.49</v>
      </c>
      <c r="W151" s="49">
        <f t="shared" si="60"/>
        <v>2.1872991718293144E-3</v>
      </c>
      <c r="X151" s="44">
        <f t="shared" si="61"/>
        <v>514.9928749987547</v>
      </c>
      <c r="Y151" s="44">
        <f t="shared" si="62"/>
        <v>3286.4300000000003</v>
      </c>
      <c r="Z151" s="44">
        <f t="shared" si="63"/>
        <v>2573.5708029454172</v>
      </c>
      <c r="AA151" s="50">
        <f t="shared" si="64"/>
        <v>8831.6728749987542</v>
      </c>
      <c r="AB151" s="51">
        <f t="shared" si="65"/>
        <v>2409.7104896492669</v>
      </c>
      <c r="AC151" s="44">
        <f t="shared" si="66"/>
        <v>8269.3566245306683</v>
      </c>
      <c r="AD151" s="44">
        <f t="shared" si="67"/>
        <v>392.79921279806968</v>
      </c>
      <c r="AE151" s="44">
        <f t="shared" si="68"/>
        <v>0</v>
      </c>
      <c r="AF151" s="52">
        <f>HLOOKUP(I151,ElecAvoidedCostsWOCC!$A$5:$Q$50,G151+1,FALSE)</f>
        <v>3.2695302314196475</v>
      </c>
      <c r="AG151" s="44">
        <f t="shared" si="69"/>
        <v>9699.094126808699</v>
      </c>
      <c r="AH151" s="52">
        <f>HLOOKUP(I151,ElecAvoidedCostsWOCC!$A$5:$Q$50,T151+1,FALSE)</f>
        <v>3.2695302314196475</v>
      </c>
      <c r="AI151" s="44">
        <f t="shared" si="70"/>
        <v>0</v>
      </c>
      <c r="AJ151" s="44">
        <f t="shared" si="71"/>
        <v>9699.094126808699</v>
      </c>
      <c r="AK151" s="44">
        <f>HLOOKUP(I151,ElecAvoidedCostsWOCC!$A$5:$Q$50,G151+1,FALSE)*J151*L151</f>
        <v>0</v>
      </c>
      <c r="AL151" s="44">
        <f t="shared" si="72"/>
        <v>9699.094126808699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9699.094126808699</v>
      </c>
      <c r="AN151" s="48">
        <f t="shared" si="73"/>
        <v>11061.80275228764</v>
      </c>
      <c r="AO151" s="47">
        <f t="shared" si="74"/>
        <v>4.0250039033611884</v>
      </c>
      <c r="AP151" s="47">
        <f t="shared" si="75"/>
        <v>1.3376860201521976</v>
      </c>
    </row>
    <row r="152" spans="2:42" x14ac:dyDescent="0.35">
      <c r="B152" s="37"/>
      <c r="C152" s="61"/>
      <c r="D152" s="61"/>
      <c r="E152" s="38" t="s">
        <v>956</v>
      </c>
      <c r="F152" s="39" t="s">
        <v>957</v>
      </c>
      <c r="G152" s="39">
        <v>45</v>
      </c>
      <c r="H152" s="39"/>
      <c r="I152" s="40" t="s">
        <v>274</v>
      </c>
      <c r="J152" s="41">
        <v>51100</v>
      </c>
      <c r="K152" s="496">
        <v>2.8699804305283756E-2</v>
      </c>
      <c r="L152" s="41"/>
      <c r="M152" s="42">
        <v>0</v>
      </c>
      <c r="N152" s="42">
        <v>0</v>
      </c>
      <c r="O152" s="43">
        <v>1466.56</v>
      </c>
      <c r="P152" s="44">
        <v>0</v>
      </c>
      <c r="Q152" s="44">
        <v>0</v>
      </c>
      <c r="R152" s="45">
        <v>4.8099999999999997E-2</v>
      </c>
      <c r="S152" s="46">
        <v>0</v>
      </c>
      <c r="T152" s="39">
        <f t="shared" si="57"/>
        <v>45</v>
      </c>
      <c r="U152" s="47">
        <f t="shared" si="58"/>
        <v>4.8660293174373238E-2</v>
      </c>
      <c r="V152" s="48">
        <f t="shared" si="59"/>
        <v>0</v>
      </c>
      <c r="W152" s="49">
        <f t="shared" si="60"/>
        <v>1.0813398483194053E-3</v>
      </c>
      <c r="X152" s="44">
        <f t="shared" si="61"/>
        <v>254.5981475734697</v>
      </c>
      <c r="Y152" s="44">
        <f t="shared" si="62"/>
        <v>0</v>
      </c>
      <c r="Z152" s="44">
        <f t="shared" si="63"/>
        <v>1272.3017946231871</v>
      </c>
      <c r="AA152" s="50">
        <f t="shared" si="64"/>
        <v>254.5981475734697</v>
      </c>
      <c r="AB152" s="51">
        <f t="shared" si="65"/>
        <v>1191.2938151902501</v>
      </c>
      <c r="AC152" s="44">
        <f t="shared" si="66"/>
        <v>238.38777862684427</v>
      </c>
      <c r="AD152" s="44">
        <f t="shared" si="67"/>
        <v>34273.541968536898</v>
      </c>
      <c r="AE152" s="44">
        <f t="shared" si="68"/>
        <v>0</v>
      </c>
      <c r="AF152" s="52">
        <f>HLOOKUP(I152,ElecAvoidedCostsWOCC!$A$5:$Q$50,G152+1,FALSE)</f>
        <v>3.2695302314196475</v>
      </c>
      <c r="AG152" s="44">
        <f t="shared" si="69"/>
        <v>4794.9622561907981</v>
      </c>
      <c r="AH152" s="52">
        <f>HLOOKUP(I152,ElecAvoidedCostsWOCC!$A$5:$Q$50,T152+1,FALSE)</f>
        <v>3.2695302314196475</v>
      </c>
      <c r="AI152" s="44">
        <f t="shared" si="70"/>
        <v>0</v>
      </c>
      <c r="AJ152" s="44">
        <f t="shared" si="71"/>
        <v>4794.9622561907981</v>
      </c>
      <c r="AK152" s="44">
        <f>HLOOKUP(I152,ElecAvoidedCostsWOCC!$A$5:$Q$50,G152+1,FALSE)*J152*L152</f>
        <v>0</v>
      </c>
      <c r="AL152" s="44">
        <f t="shared" si="72"/>
        <v>4794.9622561907981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4794.9622561907981</v>
      </c>
      <c r="AN152" s="48">
        <f t="shared" si="73"/>
        <v>39548.000450346779</v>
      </c>
      <c r="AO152" s="47">
        <f t="shared" si="74"/>
        <v>4.0250039033611875</v>
      </c>
      <c r="AP152" s="47">
        <f t="shared" si="75"/>
        <v>165.89776824193862</v>
      </c>
    </row>
    <row r="153" spans="2:42" x14ac:dyDescent="0.35">
      <c r="B153" s="37"/>
      <c r="C153" s="61"/>
      <c r="D153" s="61"/>
      <c r="E153" s="38" t="s">
        <v>958</v>
      </c>
      <c r="F153" s="39" t="s">
        <v>959</v>
      </c>
      <c r="G153" s="39">
        <v>45</v>
      </c>
      <c r="H153" s="39"/>
      <c r="I153" s="40" t="s">
        <v>274</v>
      </c>
      <c r="J153" s="41">
        <v>5906</v>
      </c>
      <c r="K153" s="496">
        <v>0.3311005756857433</v>
      </c>
      <c r="L153" s="41"/>
      <c r="M153" s="42">
        <v>0.75</v>
      </c>
      <c r="N153" s="42">
        <v>1.24</v>
      </c>
      <c r="O153" s="43">
        <v>1955.48</v>
      </c>
      <c r="P153" s="44">
        <v>4429.5</v>
      </c>
      <c r="Q153" s="44">
        <v>7323.44</v>
      </c>
      <c r="R153" s="45">
        <v>3.2000000000000002E-3</v>
      </c>
      <c r="S153" s="46">
        <v>0</v>
      </c>
      <c r="T153" s="39">
        <f t="shared" si="57"/>
        <v>45</v>
      </c>
      <c r="U153" s="47">
        <f t="shared" si="58"/>
        <v>6.4882602891544419E-2</v>
      </c>
      <c r="V153" s="48">
        <f t="shared" si="59"/>
        <v>0.49</v>
      </c>
      <c r="W153" s="49">
        <f t="shared" si="60"/>
        <v>1.4418356198120982E-3</v>
      </c>
      <c r="X153" s="44">
        <f t="shared" si="61"/>
        <v>339.47577024940574</v>
      </c>
      <c r="Y153" s="44">
        <f t="shared" si="62"/>
        <v>2893.9399999999996</v>
      </c>
      <c r="Z153" s="44">
        <f t="shared" si="63"/>
        <v>1696.4602289369338</v>
      </c>
      <c r="AA153" s="50">
        <f t="shared" si="64"/>
        <v>7662.9157702494049</v>
      </c>
      <c r="AB153" s="51">
        <f t="shared" si="65"/>
        <v>1588.4459072443201</v>
      </c>
      <c r="AC153" s="44">
        <f t="shared" si="66"/>
        <v>7175.0147661511273</v>
      </c>
      <c r="AD153" s="44">
        <f t="shared" si="67"/>
        <v>263.53386591525839</v>
      </c>
      <c r="AE153" s="44">
        <f t="shared" si="68"/>
        <v>0</v>
      </c>
      <c r="AF153" s="52">
        <f>HLOOKUP(I153,ElecAvoidedCostsWOCC!$A$5:$Q$50,G153+1,FALSE)</f>
        <v>3.2695302314196475</v>
      </c>
      <c r="AG153" s="44">
        <f t="shared" si="69"/>
        <v>6393.5009769364924</v>
      </c>
      <c r="AH153" s="52">
        <f>HLOOKUP(I153,ElecAvoidedCostsWOCC!$A$5:$Q$50,T153+1,FALSE)</f>
        <v>3.2695302314196475</v>
      </c>
      <c r="AI153" s="44">
        <f t="shared" si="70"/>
        <v>0</v>
      </c>
      <c r="AJ153" s="44">
        <f t="shared" si="71"/>
        <v>6393.5009769364924</v>
      </c>
      <c r="AK153" s="44">
        <f>HLOOKUP(I153,ElecAvoidedCostsWOCC!$A$5:$Q$50,G153+1,FALSE)*J153*L153</f>
        <v>0</v>
      </c>
      <c r="AL153" s="44">
        <f t="shared" si="72"/>
        <v>6393.5009769364924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6393.5009769364924</v>
      </c>
      <c r="AN153" s="48">
        <f t="shared" si="73"/>
        <v>7296.3849405454012</v>
      </c>
      <c r="AO153" s="47">
        <f t="shared" si="74"/>
        <v>4.0250039033611884</v>
      </c>
      <c r="AP153" s="47">
        <f t="shared" si="75"/>
        <v>1.0169156689358816</v>
      </c>
    </row>
    <row r="154" spans="2:42" x14ac:dyDescent="0.35">
      <c r="B154" s="37"/>
      <c r="C154" s="61"/>
      <c r="D154" s="61"/>
      <c r="E154" s="38" t="s">
        <v>960</v>
      </c>
      <c r="F154" s="39" t="s">
        <v>961</v>
      </c>
      <c r="G154" s="39">
        <v>45</v>
      </c>
      <c r="H154" s="39"/>
      <c r="I154" s="40" t="s">
        <v>274</v>
      </c>
      <c r="J154" s="41">
        <v>2078</v>
      </c>
      <c r="K154" s="496">
        <v>0.43389797882579401</v>
      </c>
      <c r="L154" s="41"/>
      <c r="M154" s="42">
        <v>0.75</v>
      </c>
      <c r="N154" s="42">
        <v>1.24</v>
      </c>
      <c r="O154" s="43">
        <v>901.64</v>
      </c>
      <c r="P154" s="44">
        <v>1558.5</v>
      </c>
      <c r="Q154" s="44">
        <v>2576.7199999999998</v>
      </c>
      <c r="R154" s="45">
        <v>4.1000000000000003E-3</v>
      </c>
      <c r="S154" s="46">
        <v>0</v>
      </c>
      <c r="T154" s="39">
        <f t="shared" si="57"/>
        <v>45</v>
      </c>
      <c r="U154" s="47">
        <f t="shared" si="58"/>
        <v>2.9916312143889023E-2</v>
      </c>
      <c r="V154" s="48">
        <f t="shared" si="59"/>
        <v>0.49</v>
      </c>
      <c r="W154" s="49">
        <f t="shared" si="60"/>
        <v>6.6480693653086717E-4</v>
      </c>
      <c r="X154" s="44">
        <f t="shared" si="61"/>
        <v>156.52675224889757</v>
      </c>
      <c r="Y154" s="44">
        <f t="shared" si="62"/>
        <v>1018.2199999999998</v>
      </c>
      <c r="Z154" s="44">
        <f t="shared" si="63"/>
        <v>782.21019944908505</v>
      </c>
      <c r="AA154" s="50">
        <f t="shared" si="64"/>
        <v>2733.2467522488973</v>
      </c>
      <c r="AB154" s="51">
        <f t="shared" si="65"/>
        <v>732.40655379127804</v>
      </c>
      <c r="AC154" s="44">
        <f t="shared" si="66"/>
        <v>2559.2198054764954</v>
      </c>
      <c r="AD154" s="44">
        <f t="shared" si="67"/>
        <v>118.80163344611509</v>
      </c>
      <c r="AE154" s="44">
        <f t="shared" si="68"/>
        <v>0</v>
      </c>
      <c r="AF154" s="52">
        <f>HLOOKUP(I154,ElecAvoidedCostsWOCC!$A$5:$Q$50,G154+1,FALSE)</f>
        <v>3.2695302314196475</v>
      </c>
      <c r="AG154" s="44">
        <f t="shared" si="69"/>
        <v>2947.9392378572111</v>
      </c>
      <c r="AH154" s="52">
        <f>HLOOKUP(I154,ElecAvoidedCostsWOCC!$A$5:$Q$50,T154+1,FALSE)</f>
        <v>3.2695302314196475</v>
      </c>
      <c r="AI154" s="44">
        <f t="shared" si="70"/>
        <v>0</v>
      </c>
      <c r="AJ154" s="44">
        <f t="shared" si="71"/>
        <v>2947.9392378572111</v>
      </c>
      <c r="AK154" s="44">
        <f>HLOOKUP(I154,ElecAvoidedCostsWOCC!$A$5:$Q$50,G154+1,FALSE)*J154*L154</f>
        <v>0</v>
      </c>
      <c r="AL154" s="44">
        <f t="shared" si="72"/>
        <v>2947.9392378572111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2947.9392378572106</v>
      </c>
      <c r="AN154" s="48">
        <f t="shared" si="73"/>
        <v>3361.5347950890468</v>
      </c>
      <c r="AO154" s="47">
        <f t="shared" si="74"/>
        <v>4.0250039033611884</v>
      </c>
      <c r="AP154" s="47">
        <f t="shared" si="75"/>
        <v>1.313499836120239</v>
      </c>
    </row>
    <row r="155" spans="2:42" x14ac:dyDescent="0.35">
      <c r="B155" s="37"/>
      <c r="C155" s="61"/>
      <c r="D155" s="61"/>
      <c r="E155" s="38" t="s">
        <v>962</v>
      </c>
      <c r="F155" s="39" t="s">
        <v>963</v>
      </c>
      <c r="G155" s="39">
        <v>25</v>
      </c>
      <c r="H155" s="39"/>
      <c r="I155" s="40" t="s">
        <v>274</v>
      </c>
      <c r="J155" s="41">
        <v>1512</v>
      </c>
      <c r="K155" s="496">
        <v>0.8034986772486773</v>
      </c>
      <c r="L155" s="41"/>
      <c r="M155" s="42">
        <v>1.5</v>
      </c>
      <c r="N155" s="42">
        <v>2.3199999999999998</v>
      </c>
      <c r="O155" s="43">
        <v>1214.8900000000001</v>
      </c>
      <c r="P155" s="44">
        <v>2268</v>
      </c>
      <c r="Q155" s="44">
        <v>3507.84</v>
      </c>
      <c r="R155" s="45">
        <v>7.7000000000000002E-3</v>
      </c>
      <c r="S155" s="46">
        <v>0</v>
      </c>
      <c r="T155" s="39">
        <f t="shared" si="57"/>
        <v>25</v>
      </c>
      <c r="U155" s="47">
        <f t="shared" si="58"/>
        <v>2.2394395188822185E-2</v>
      </c>
      <c r="V155" s="48">
        <f t="shared" si="59"/>
        <v>0.81999999999999984</v>
      </c>
      <c r="W155" s="49">
        <f t="shared" si="60"/>
        <v>8.9577580755288732E-4</v>
      </c>
      <c r="X155" s="44">
        <f t="shared" si="61"/>
        <v>210.90766385659819</v>
      </c>
      <c r="Y155" s="44">
        <f t="shared" si="62"/>
        <v>1239.8400000000001</v>
      </c>
      <c r="Z155" s="44">
        <f t="shared" si="63"/>
        <v>1053.9676026004827</v>
      </c>
      <c r="AA155" s="50">
        <f t="shared" si="64"/>
        <v>3718.7476638565981</v>
      </c>
      <c r="AB155" s="51">
        <f t="shared" si="65"/>
        <v>986.86105112404744</v>
      </c>
      <c r="AC155" s="44">
        <f t="shared" si="66"/>
        <v>3481.9734680305223</v>
      </c>
      <c r="AD155" s="44">
        <f t="shared" si="67"/>
        <v>138.15561350621235</v>
      </c>
      <c r="AE155" s="44">
        <f t="shared" si="68"/>
        <v>0</v>
      </c>
      <c r="AF155" s="52">
        <f>HLOOKUP(I155,ElecAvoidedCostsWOCC!$A$5:$Q$50,G155+1,FALSE)</f>
        <v>1.9455570023927977</v>
      </c>
      <c r="AG155" s="44">
        <f t="shared" si="69"/>
        <v>2363.6377466369863</v>
      </c>
      <c r="AH155" s="52">
        <f>HLOOKUP(I155,ElecAvoidedCostsWOCC!$A$5:$Q$50,T155+1,FALSE)</f>
        <v>1.9455570023927977</v>
      </c>
      <c r="AI155" s="44">
        <f t="shared" si="70"/>
        <v>0</v>
      </c>
      <c r="AJ155" s="44">
        <f t="shared" si="71"/>
        <v>2363.6377466369863</v>
      </c>
      <c r="AK155" s="44">
        <f>HLOOKUP(I155,ElecAvoidedCostsWOCC!$A$5:$Q$50,G155+1,FALSE)*J155*L155</f>
        <v>0</v>
      </c>
      <c r="AL155" s="44">
        <f t="shared" si="72"/>
        <v>2363.6377466369863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2363.6377466369863</v>
      </c>
      <c r="AN155" s="48">
        <f t="shared" si="73"/>
        <v>2738.1571348068974</v>
      </c>
      <c r="AO155" s="47">
        <f t="shared" si="74"/>
        <v>2.3951069341978513</v>
      </c>
      <c r="AP155" s="47">
        <f t="shared" si="75"/>
        <v>0.78638081534712467</v>
      </c>
    </row>
    <row r="156" spans="2:42" x14ac:dyDescent="0.35">
      <c r="B156" s="37"/>
      <c r="C156" s="61"/>
      <c r="D156" s="61"/>
      <c r="E156" s="38" t="s">
        <v>964</v>
      </c>
      <c r="F156" s="39" t="s">
        <v>965</v>
      </c>
      <c r="G156" s="39">
        <v>45</v>
      </c>
      <c r="H156" s="39"/>
      <c r="I156" s="40" t="s">
        <v>274</v>
      </c>
      <c r="J156" s="41">
        <v>7715</v>
      </c>
      <c r="K156" s="496">
        <v>0.34009980557355801</v>
      </c>
      <c r="L156" s="41"/>
      <c r="M156" s="42">
        <v>0.38</v>
      </c>
      <c r="N156" s="42">
        <v>1.41</v>
      </c>
      <c r="O156" s="43">
        <v>2623.87</v>
      </c>
      <c r="P156" s="44">
        <v>2931.7</v>
      </c>
      <c r="Q156" s="44">
        <v>10878.15</v>
      </c>
      <c r="R156" s="45">
        <v>3.2000000000000002E-3</v>
      </c>
      <c r="S156" s="46">
        <v>0</v>
      </c>
      <c r="T156" s="39">
        <f t="shared" si="57"/>
        <v>45</v>
      </c>
      <c r="U156" s="47">
        <f t="shared" si="58"/>
        <v>8.7059706695561526E-2</v>
      </c>
      <c r="V156" s="48">
        <f t="shared" si="59"/>
        <v>1.0299999999999998</v>
      </c>
      <c r="W156" s="49">
        <f t="shared" si="60"/>
        <v>1.9346601487902561E-3</v>
      </c>
      <c r="X156" s="44">
        <f t="shared" si="61"/>
        <v>455.50979262600913</v>
      </c>
      <c r="Y156" s="44">
        <f t="shared" si="62"/>
        <v>7946.45</v>
      </c>
      <c r="Z156" s="44">
        <f t="shared" si="63"/>
        <v>2276.3163524560478</v>
      </c>
      <c r="AA156" s="50">
        <f t="shared" si="64"/>
        <v>11333.659792626009</v>
      </c>
      <c r="AB156" s="51">
        <f t="shared" si="65"/>
        <v>2131.3823524869358</v>
      </c>
      <c r="AC156" s="44">
        <f t="shared" si="66"/>
        <v>10612.04100433147</v>
      </c>
      <c r="AD156" s="44">
        <f t="shared" si="67"/>
        <v>344.25394099834375</v>
      </c>
      <c r="AE156" s="44">
        <f t="shared" si="68"/>
        <v>0</v>
      </c>
      <c r="AF156" s="52">
        <f>HLOOKUP(I156,ElecAvoidedCostsWOCC!$A$5:$Q$50,G156+1,FALSE)</f>
        <v>3.2695302314196475</v>
      </c>
      <c r="AG156" s="44">
        <f t="shared" si="69"/>
        <v>8578.8222883150702</v>
      </c>
      <c r="AH156" s="52">
        <f>HLOOKUP(I156,ElecAvoidedCostsWOCC!$A$5:$Q$50,T156+1,FALSE)</f>
        <v>3.2695302314196475</v>
      </c>
      <c r="AI156" s="44">
        <f t="shared" si="70"/>
        <v>0</v>
      </c>
      <c r="AJ156" s="44">
        <f t="shared" si="71"/>
        <v>8578.8222883150702</v>
      </c>
      <c r="AK156" s="44">
        <f>HLOOKUP(I156,ElecAvoidedCostsWOCC!$A$5:$Q$50,G156+1,FALSE)*J156*L156</f>
        <v>0</v>
      </c>
      <c r="AL156" s="44">
        <f t="shared" si="72"/>
        <v>8578.8222883150702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8578.822288315072</v>
      </c>
      <c r="AN156" s="48">
        <f t="shared" si="73"/>
        <v>9780.9584581449235</v>
      </c>
      <c r="AO156" s="47">
        <f t="shared" si="74"/>
        <v>4.0250039033611902</v>
      </c>
      <c r="AP156" s="47">
        <f t="shared" si="75"/>
        <v>0.92168494770729525</v>
      </c>
    </row>
    <row r="157" spans="2:42" x14ac:dyDescent="0.35">
      <c r="B157" s="37"/>
      <c r="C157" s="61"/>
      <c r="D157" s="61"/>
      <c r="E157" s="38" t="s">
        <v>966</v>
      </c>
      <c r="F157" s="39" t="s">
        <v>967</v>
      </c>
      <c r="G157" s="39">
        <v>45</v>
      </c>
      <c r="H157" s="39"/>
      <c r="I157" s="40" t="s">
        <v>274</v>
      </c>
      <c r="J157" s="41">
        <v>62316</v>
      </c>
      <c r="K157" s="496">
        <v>3.3600359458245077E-2</v>
      </c>
      <c r="L157" s="41"/>
      <c r="M157" s="42">
        <v>0</v>
      </c>
      <c r="N157" s="42">
        <v>0</v>
      </c>
      <c r="O157" s="43">
        <v>2093.84</v>
      </c>
      <c r="P157" s="44">
        <v>0</v>
      </c>
      <c r="Q157" s="44">
        <v>0</v>
      </c>
      <c r="R157" s="45">
        <v>4.0300000000000002E-2</v>
      </c>
      <c r="S157" s="46">
        <v>0</v>
      </c>
      <c r="T157" s="39">
        <f t="shared" si="57"/>
        <v>45</v>
      </c>
      <c r="U157" s="47">
        <f t="shared" si="58"/>
        <v>6.9473371877202206E-2</v>
      </c>
      <c r="V157" s="48">
        <f t="shared" si="59"/>
        <v>0</v>
      </c>
      <c r="W157" s="49">
        <f t="shared" si="60"/>
        <v>1.5438527083822713E-3</v>
      </c>
      <c r="X157" s="44">
        <f t="shared" si="61"/>
        <v>363.49538056079115</v>
      </c>
      <c r="Y157" s="44">
        <f t="shared" si="62"/>
        <v>0</v>
      </c>
      <c r="Z157" s="44">
        <f t="shared" si="63"/>
        <v>1816.4932833663906</v>
      </c>
      <c r="AA157" s="50">
        <f t="shared" si="64"/>
        <v>363.49538056079115</v>
      </c>
      <c r="AB157" s="51">
        <f t="shared" si="65"/>
        <v>1700.8364076464331</v>
      </c>
      <c r="AC157" s="44">
        <f t="shared" si="66"/>
        <v>340.35147992583438</v>
      </c>
      <c r="AD157" s="44">
        <f t="shared" si="67"/>
        <v>35018.507050643522</v>
      </c>
      <c r="AE157" s="44">
        <f t="shared" si="68"/>
        <v>0</v>
      </c>
      <c r="AF157" s="52">
        <f>HLOOKUP(I157,ElecAvoidedCostsWOCC!$A$5:$Q$50,G157+1,FALSE)</f>
        <v>3.2695302314196475</v>
      </c>
      <c r="AG157" s="44">
        <f t="shared" si="69"/>
        <v>6845.8731797557148</v>
      </c>
      <c r="AH157" s="52">
        <f>HLOOKUP(I157,ElecAvoidedCostsWOCC!$A$5:$Q$50,T157+1,FALSE)</f>
        <v>3.2695302314196475</v>
      </c>
      <c r="AI157" s="44">
        <f t="shared" si="70"/>
        <v>0</v>
      </c>
      <c r="AJ157" s="44">
        <f t="shared" si="71"/>
        <v>6845.8731797557148</v>
      </c>
      <c r="AK157" s="44">
        <f>HLOOKUP(I157,ElecAvoidedCostsWOCC!$A$5:$Q$50,G157+1,FALSE)*J157*L157</f>
        <v>0</v>
      </c>
      <c r="AL157" s="44">
        <f t="shared" si="72"/>
        <v>6845.8731797557148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6845.8731797557157</v>
      </c>
      <c r="AN157" s="48">
        <f t="shared" si="73"/>
        <v>42548.967548374807</v>
      </c>
      <c r="AO157" s="47">
        <f t="shared" si="74"/>
        <v>4.0250039033611893</v>
      </c>
      <c r="AP157" s="47">
        <f t="shared" si="75"/>
        <v>125.01478635452564</v>
      </c>
    </row>
    <row r="158" spans="2:42" x14ac:dyDescent="0.35">
      <c r="B158" s="37"/>
      <c r="C158" s="61"/>
      <c r="D158" s="61"/>
      <c r="E158" s="38" t="s">
        <v>968</v>
      </c>
      <c r="F158" s="39" t="s">
        <v>969</v>
      </c>
      <c r="G158" s="39">
        <v>45</v>
      </c>
      <c r="H158" s="39"/>
      <c r="I158" s="40" t="s">
        <v>274</v>
      </c>
      <c r="J158" s="41">
        <v>9943</v>
      </c>
      <c r="K158" s="496">
        <v>0.18360052298099164</v>
      </c>
      <c r="L158" s="41"/>
      <c r="M158" s="42">
        <v>0.38</v>
      </c>
      <c r="N158" s="42">
        <v>1.41</v>
      </c>
      <c r="O158" s="43">
        <v>1825.54</v>
      </c>
      <c r="P158" s="44">
        <v>3778.34</v>
      </c>
      <c r="Q158" s="44">
        <v>14019.63</v>
      </c>
      <c r="R158" s="45">
        <v>1.8E-3</v>
      </c>
      <c r="S158" s="46">
        <v>0</v>
      </c>
      <c r="T158" s="39">
        <f t="shared" si="57"/>
        <v>45</v>
      </c>
      <c r="U158" s="47">
        <f t="shared" si="58"/>
        <v>6.0571208543493162E-2</v>
      </c>
      <c r="V158" s="48">
        <f t="shared" si="59"/>
        <v>1.0299999999999998</v>
      </c>
      <c r="W158" s="49">
        <f t="shared" si="60"/>
        <v>1.3460268565220702E-3</v>
      </c>
      <c r="X158" s="44">
        <f t="shared" si="61"/>
        <v>316.91789106567199</v>
      </c>
      <c r="Y158" s="44">
        <f t="shared" si="62"/>
        <v>10241.289999999999</v>
      </c>
      <c r="Z158" s="44">
        <f t="shared" si="63"/>
        <v>1583.7318746975322</v>
      </c>
      <c r="AA158" s="50">
        <f t="shared" si="64"/>
        <v>14336.547891065671</v>
      </c>
      <c r="AB158" s="51">
        <f t="shared" si="65"/>
        <v>1482.8950137617342</v>
      </c>
      <c r="AC158" s="44">
        <f t="shared" si="66"/>
        <v>13423.733980398567</v>
      </c>
      <c r="AD158" s="44">
        <f t="shared" si="67"/>
        <v>249.56458537037255</v>
      </c>
      <c r="AE158" s="44">
        <f t="shared" si="68"/>
        <v>0</v>
      </c>
      <c r="AF158" s="52">
        <f>HLOOKUP(I158,ElecAvoidedCostsWOCC!$A$5:$Q$50,G158+1,FALSE)</f>
        <v>3.2695302314196475</v>
      </c>
      <c r="AG158" s="44">
        <f t="shared" si="69"/>
        <v>5968.6582186658225</v>
      </c>
      <c r="AH158" s="52">
        <f>HLOOKUP(I158,ElecAvoidedCostsWOCC!$A$5:$Q$50,T158+1,FALSE)</f>
        <v>3.2695302314196475</v>
      </c>
      <c r="AI158" s="44">
        <f t="shared" si="70"/>
        <v>0</v>
      </c>
      <c r="AJ158" s="44">
        <f t="shared" si="71"/>
        <v>5968.6582186658225</v>
      </c>
      <c r="AK158" s="44">
        <f>HLOOKUP(I158,ElecAvoidedCostsWOCC!$A$5:$Q$50,G158+1,FALSE)*J158*L158</f>
        <v>0</v>
      </c>
      <c r="AL158" s="44">
        <f t="shared" si="72"/>
        <v>5968.6582186658225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5968.6582186658234</v>
      </c>
      <c r="AN158" s="48">
        <f t="shared" si="73"/>
        <v>6815.0886259027793</v>
      </c>
      <c r="AO158" s="47">
        <f t="shared" si="74"/>
        <v>4.0250039033611884</v>
      </c>
      <c r="AP158" s="47">
        <f t="shared" si="75"/>
        <v>0.50768948757880783</v>
      </c>
    </row>
    <row r="159" spans="2:42" x14ac:dyDescent="0.35">
      <c r="B159" s="37"/>
      <c r="C159" s="61"/>
      <c r="D159" s="61"/>
      <c r="E159" s="38" t="s">
        <v>970</v>
      </c>
      <c r="F159" s="39" t="s">
        <v>971</v>
      </c>
      <c r="G159" s="39">
        <v>45</v>
      </c>
      <c r="H159" s="39"/>
      <c r="I159" s="40" t="s">
        <v>274</v>
      </c>
      <c r="J159" s="41">
        <v>7442</v>
      </c>
      <c r="K159" s="496">
        <v>0.62310131685030901</v>
      </c>
      <c r="L159" s="41"/>
      <c r="M159" s="42">
        <v>0.38</v>
      </c>
      <c r="N159" s="42">
        <v>1.41</v>
      </c>
      <c r="O159" s="43">
        <v>4637.12</v>
      </c>
      <c r="P159" s="44">
        <v>2823.16</v>
      </c>
      <c r="Q159" s="44">
        <v>10493.22</v>
      </c>
      <c r="R159" s="45">
        <v>5.8999999999999999E-3</v>
      </c>
      <c r="S159" s="46">
        <v>0</v>
      </c>
      <c r="T159" s="39">
        <f t="shared" si="57"/>
        <v>45</v>
      </c>
      <c r="U159" s="47">
        <f t="shared" si="58"/>
        <v>0.15385911158408086</v>
      </c>
      <c r="V159" s="48">
        <f t="shared" si="59"/>
        <v>1.0299999999999998</v>
      </c>
      <c r="W159" s="49">
        <f t="shared" si="60"/>
        <v>3.4190913685351303E-3</v>
      </c>
      <c r="X159" s="44">
        <f t="shared" si="61"/>
        <v>805.01456611109518</v>
      </c>
      <c r="Y159" s="44">
        <f t="shared" si="62"/>
        <v>7670.0599999999995</v>
      </c>
      <c r="Z159" s="44">
        <f t="shared" si="63"/>
        <v>4022.8944590627539</v>
      </c>
      <c r="AA159" s="50">
        <f t="shared" si="64"/>
        <v>11298.234566111094</v>
      </c>
      <c r="AB159" s="51">
        <f t="shared" si="65"/>
        <v>3766.7551114819789</v>
      </c>
      <c r="AC159" s="44">
        <f t="shared" si="66"/>
        <v>10578.871316583422</v>
      </c>
      <c r="AD159" s="44">
        <f t="shared" si="67"/>
        <v>612.25831134830992</v>
      </c>
      <c r="AE159" s="44">
        <f t="shared" si="68"/>
        <v>0</v>
      </c>
      <c r="AF159" s="52">
        <f>HLOOKUP(I159,ElecAvoidedCostsWOCC!$A$5:$Q$50,G159+1,FALSE)</f>
        <v>3.2695302314196475</v>
      </c>
      <c r="AG159" s="44">
        <f t="shared" si="69"/>
        <v>15161.204026720676</v>
      </c>
      <c r="AH159" s="52">
        <f>HLOOKUP(I159,ElecAvoidedCostsWOCC!$A$5:$Q$50,T159+1,FALSE)</f>
        <v>3.2695302314196475</v>
      </c>
      <c r="AI159" s="44">
        <f t="shared" si="70"/>
        <v>0</v>
      </c>
      <c r="AJ159" s="44">
        <f t="shared" si="71"/>
        <v>15161.204026720676</v>
      </c>
      <c r="AK159" s="44">
        <f>HLOOKUP(I159,ElecAvoidedCostsWOCC!$A$5:$Q$50,G159+1,FALSE)*J159*L159</f>
        <v>0</v>
      </c>
      <c r="AL159" s="44">
        <f t="shared" si="72"/>
        <v>15161.204026720676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15161.204026720674</v>
      </c>
      <c r="AN159" s="48">
        <f t="shared" si="73"/>
        <v>17289.582740741051</v>
      </c>
      <c r="AO159" s="47">
        <f t="shared" si="74"/>
        <v>4.0250039033611884</v>
      </c>
      <c r="AP159" s="47">
        <f t="shared" si="75"/>
        <v>1.6343504163471512</v>
      </c>
    </row>
    <row r="160" spans="2:42" x14ac:dyDescent="0.35">
      <c r="B160" s="37"/>
      <c r="C160" s="61"/>
      <c r="D160" s="61"/>
      <c r="E160" s="38" t="s">
        <v>972</v>
      </c>
      <c r="F160" s="39" t="s">
        <v>973</v>
      </c>
      <c r="G160" s="39">
        <v>45</v>
      </c>
      <c r="H160" s="39"/>
      <c r="I160" s="40" t="s">
        <v>274</v>
      </c>
      <c r="J160" s="41">
        <v>1184</v>
      </c>
      <c r="K160" s="496">
        <v>1.0428969594594595</v>
      </c>
      <c r="L160" s="41"/>
      <c r="M160" s="42">
        <v>1.1299999999999999</v>
      </c>
      <c r="N160" s="42">
        <v>1.56</v>
      </c>
      <c r="O160" s="43">
        <v>1234.79</v>
      </c>
      <c r="P160" s="44">
        <v>1337.92</v>
      </c>
      <c r="Q160" s="44">
        <v>1847.04</v>
      </c>
      <c r="R160" s="45">
        <v>0.01</v>
      </c>
      <c r="S160" s="46">
        <v>0</v>
      </c>
      <c r="T160" s="39">
        <f t="shared" si="57"/>
        <v>45</v>
      </c>
      <c r="U160" s="47">
        <f t="shared" si="58"/>
        <v>4.0970191065339522E-2</v>
      </c>
      <c r="V160" s="48">
        <f t="shared" si="59"/>
        <v>0.43000000000000016</v>
      </c>
      <c r="W160" s="49">
        <f t="shared" si="60"/>
        <v>9.1044869034087833E-4</v>
      </c>
      <c r="X160" s="44">
        <f t="shared" si="61"/>
        <v>214.3623490632805</v>
      </c>
      <c r="Y160" s="44">
        <f t="shared" si="62"/>
        <v>509.11999999999989</v>
      </c>
      <c r="Z160" s="44">
        <f t="shared" si="63"/>
        <v>1071.2316802468124</v>
      </c>
      <c r="AA160" s="50">
        <f t="shared" si="64"/>
        <v>2061.4023490632803</v>
      </c>
      <c r="AB160" s="51">
        <f t="shared" si="65"/>
        <v>1003.025917834094</v>
      </c>
      <c r="AC160" s="44">
        <f t="shared" si="66"/>
        <v>1930.1520122315358</v>
      </c>
      <c r="AD160" s="44">
        <f t="shared" si="67"/>
        <v>165.09910326556991</v>
      </c>
      <c r="AE160" s="44">
        <f t="shared" si="68"/>
        <v>0</v>
      </c>
      <c r="AF160" s="52">
        <f>HLOOKUP(I160,ElecAvoidedCostsWOCC!$A$5:$Q$50,G160+1,FALSE)</f>
        <v>3.2695302314196475</v>
      </c>
      <c r="AG160" s="44">
        <f t="shared" si="69"/>
        <v>4037.1832344546669</v>
      </c>
      <c r="AH160" s="52">
        <f>HLOOKUP(I160,ElecAvoidedCostsWOCC!$A$5:$Q$50,T160+1,FALSE)</f>
        <v>3.2695302314196475</v>
      </c>
      <c r="AI160" s="44">
        <f t="shared" si="70"/>
        <v>0</v>
      </c>
      <c r="AJ160" s="44">
        <f t="shared" si="71"/>
        <v>4037.1832344546669</v>
      </c>
      <c r="AK160" s="44">
        <f>HLOOKUP(I160,ElecAvoidedCostsWOCC!$A$5:$Q$50,G160+1,FALSE)*J160*L160</f>
        <v>0</v>
      </c>
      <c r="AL160" s="44">
        <f t="shared" si="72"/>
        <v>4037.1832344546669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4037.1832344546665</v>
      </c>
      <c r="AN160" s="48">
        <f t="shared" si="73"/>
        <v>4606.0006611657036</v>
      </c>
      <c r="AO160" s="47">
        <f t="shared" si="74"/>
        <v>4.0250039033611875</v>
      </c>
      <c r="AP160" s="47">
        <f t="shared" si="75"/>
        <v>2.3863408850583219</v>
      </c>
    </row>
    <row r="161" spans="2:42" x14ac:dyDescent="0.35">
      <c r="B161" s="37"/>
      <c r="C161" s="61"/>
      <c r="D161" s="61"/>
      <c r="E161" s="38" t="s">
        <v>974</v>
      </c>
      <c r="F161" s="39" t="s">
        <v>975</v>
      </c>
      <c r="G161" s="39">
        <v>45</v>
      </c>
      <c r="H161" s="39"/>
      <c r="I161" s="40" t="s">
        <v>274</v>
      </c>
      <c r="J161" s="41">
        <v>10760</v>
      </c>
      <c r="K161" s="496">
        <v>6.2699814126394054E-2</v>
      </c>
      <c r="L161" s="41"/>
      <c r="M161" s="42">
        <v>0</v>
      </c>
      <c r="N161" s="42">
        <v>0</v>
      </c>
      <c r="O161" s="43">
        <v>674.65</v>
      </c>
      <c r="P161" s="44">
        <v>0</v>
      </c>
      <c r="Q161" s="44">
        <v>0</v>
      </c>
      <c r="R161" s="45">
        <v>4.1700000000000001E-2</v>
      </c>
      <c r="S161" s="46">
        <v>0</v>
      </c>
      <c r="T161" s="39">
        <f t="shared" si="57"/>
        <v>45</v>
      </c>
      <c r="U161" s="47">
        <f t="shared" si="58"/>
        <v>2.2384809888508418E-2</v>
      </c>
      <c r="V161" s="48">
        <f t="shared" si="59"/>
        <v>0</v>
      </c>
      <c r="W161" s="49">
        <f t="shared" si="60"/>
        <v>4.9744021974463149E-4</v>
      </c>
      <c r="X161" s="44">
        <f t="shared" si="61"/>
        <v>117.1207725973989</v>
      </c>
      <c r="Y161" s="44">
        <f t="shared" si="62"/>
        <v>0</v>
      </c>
      <c r="Z161" s="44">
        <f t="shared" si="63"/>
        <v>585.28693387419059</v>
      </c>
      <c r="AA161" s="50">
        <f t="shared" si="64"/>
        <v>117.1207725973989</v>
      </c>
      <c r="AB161" s="51">
        <f t="shared" si="65"/>
        <v>548.0214736649724</v>
      </c>
      <c r="AC161" s="44">
        <f t="shared" si="66"/>
        <v>109.66364475411881</v>
      </c>
      <c r="AD161" s="44">
        <f t="shared" si="67"/>
        <v>6256.6424698002611</v>
      </c>
      <c r="AE161" s="44">
        <f t="shared" si="68"/>
        <v>0</v>
      </c>
      <c r="AF161" s="52">
        <f>HLOOKUP(I161,ElecAvoidedCostsWOCC!$A$5:$Q$50,G161+1,FALSE)</f>
        <v>3.2695302314196475</v>
      </c>
      <c r="AG161" s="44">
        <f t="shared" si="69"/>
        <v>2205.7885706272655</v>
      </c>
      <c r="AH161" s="52">
        <f>HLOOKUP(I161,ElecAvoidedCostsWOCC!$A$5:$Q$50,T161+1,FALSE)</f>
        <v>3.2695302314196475</v>
      </c>
      <c r="AI161" s="44">
        <f t="shared" si="70"/>
        <v>0</v>
      </c>
      <c r="AJ161" s="44">
        <f t="shared" si="71"/>
        <v>2205.7885706272655</v>
      </c>
      <c r="AK161" s="44">
        <f>HLOOKUP(I161,ElecAvoidedCostsWOCC!$A$5:$Q$50,G161+1,FALSE)*J161*L161</f>
        <v>0</v>
      </c>
      <c r="AL161" s="44">
        <f t="shared" si="72"/>
        <v>2205.7885706272655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2205.7885706272655</v>
      </c>
      <c r="AN161" s="48">
        <f t="shared" si="73"/>
        <v>8683.0098974902539</v>
      </c>
      <c r="AO161" s="47">
        <f t="shared" si="74"/>
        <v>4.0250039033611902</v>
      </c>
      <c r="AP161" s="47">
        <f t="shared" si="75"/>
        <v>79.178563843640006</v>
      </c>
    </row>
    <row r="162" spans="2:42" x14ac:dyDescent="0.35">
      <c r="B162" s="37"/>
      <c r="C162" s="61"/>
      <c r="D162" s="61"/>
      <c r="E162" s="38" t="s">
        <v>976</v>
      </c>
      <c r="F162" s="39" t="s">
        <v>977</v>
      </c>
      <c r="G162" s="39">
        <v>45</v>
      </c>
      <c r="H162" s="39"/>
      <c r="I162" s="40" t="s">
        <v>274</v>
      </c>
      <c r="J162" s="41">
        <v>2496</v>
      </c>
      <c r="K162" s="496">
        <v>0.59489983974358973</v>
      </c>
      <c r="L162" s="41"/>
      <c r="M162" s="42">
        <v>1.1299999999999999</v>
      </c>
      <c r="N162" s="42">
        <v>1.56</v>
      </c>
      <c r="O162" s="43">
        <v>1484.87</v>
      </c>
      <c r="P162" s="44">
        <v>2820.48</v>
      </c>
      <c r="Q162" s="44">
        <v>3893.76</v>
      </c>
      <c r="R162" s="45">
        <v>5.7000000000000002E-3</v>
      </c>
      <c r="S162" s="46">
        <v>0</v>
      </c>
      <c r="T162" s="39">
        <f t="shared" si="57"/>
        <v>45</v>
      </c>
      <c r="U162" s="47">
        <f t="shared" si="58"/>
        <v>4.9267816881567471E-2</v>
      </c>
      <c r="V162" s="48">
        <f t="shared" si="59"/>
        <v>0.43000000000000016</v>
      </c>
      <c r="W162" s="49">
        <f t="shared" si="60"/>
        <v>1.0948403751459437E-3</v>
      </c>
      <c r="X162" s="44">
        <f t="shared" si="61"/>
        <v>257.77680516816082</v>
      </c>
      <c r="Y162" s="44">
        <f t="shared" si="62"/>
        <v>1073.2800000000002</v>
      </c>
      <c r="Z162" s="44">
        <f t="shared" si="63"/>
        <v>1288.1864811409907</v>
      </c>
      <c r="AA162" s="50">
        <f t="shared" si="64"/>
        <v>4151.5368051681608</v>
      </c>
      <c r="AB162" s="51">
        <f t="shared" si="65"/>
        <v>1206.1671171732123</v>
      </c>
      <c r="AC162" s="44">
        <f t="shared" si="66"/>
        <v>3887.2067464121355</v>
      </c>
      <c r="AD162" s="44">
        <f t="shared" si="67"/>
        <v>198.38665219424968</v>
      </c>
      <c r="AE162" s="44">
        <f t="shared" si="68"/>
        <v>0</v>
      </c>
      <c r="AF162" s="52">
        <f>HLOOKUP(I162,ElecAvoidedCostsWOCC!$A$5:$Q$50,G162+1,FALSE)</f>
        <v>3.2695302314196475</v>
      </c>
      <c r="AG162" s="44">
        <f t="shared" si="69"/>
        <v>4854.8273547280914</v>
      </c>
      <c r="AH162" s="52">
        <f>HLOOKUP(I162,ElecAvoidedCostsWOCC!$A$5:$Q$50,T162+1,FALSE)</f>
        <v>3.2695302314196475</v>
      </c>
      <c r="AI162" s="44">
        <f t="shared" si="70"/>
        <v>0</v>
      </c>
      <c r="AJ162" s="44">
        <f t="shared" si="71"/>
        <v>4854.8273547280914</v>
      </c>
      <c r="AK162" s="44">
        <f>HLOOKUP(I162,ElecAvoidedCostsWOCC!$A$5:$Q$50,G162+1,FALSE)*J162*L162</f>
        <v>0</v>
      </c>
      <c r="AL162" s="44">
        <f t="shared" si="72"/>
        <v>4854.8273547280914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4854.8273547280914</v>
      </c>
      <c r="AN162" s="48">
        <f t="shared" si="73"/>
        <v>5538.696742395151</v>
      </c>
      <c r="AO162" s="47">
        <f t="shared" si="74"/>
        <v>4.0250039033611884</v>
      </c>
      <c r="AP162" s="47">
        <f t="shared" si="75"/>
        <v>1.4248526265054795</v>
      </c>
    </row>
    <row r="163" spans="2:42" x14ac:dyDescent="0.35">
      <c r="B163" s="37"/>
      <c r="C163" s="61"/>
      <c r="D163" s="61"/>
      <c r="E163" s="38" t="s">
        <v>978</v>
      </c>
      <c r="F163" s="39" t="s">
        <v>979</v>
      </c>
      <c r="G163" s="39">
        <v>45</v>
      </c>
      <c r="H163" s="39"/>
      <c r="I163" s="40" t="s">
        <v>274</v>
      </c>
      <c r="J163" s="41">
        <v>2115</v>
      </c>
      <c r="K163" s="496">
        <v>0.84260047281323869</v>
      </c>
      <c r="L163" s="41"/>
      <c r="M163" s="42">
        <v>1.1299999999999999</v>
      </c>
      <c r="N163" s="42">
        <v>1.56</v>
      </c>
      <c r="O163" s="43">
        <v>1782.1</v>
      </c>
      <c r="P163" s="44">
        <v>2389.9499999999998</v>
      </c>
      <c r="Q163" s="44">
        <v>3299.4</v>
      </c>
      <c r="R163" s="45">
        <v>8.0000000000000002E-3</v>
      </c>
      <c r="S163" s="46">
        <v>0</v>
      </c>
      <c r="T163" s="39">
        <f t="shared" si="57"/>
        <v>45</v>
      </c>
      <c r="U163" s="47">
        <f t="shared" si="58"/>
        <v>5.9129874308620538E-2</v>
      </c>
      <c r="V163" s="48">
        <f t="shared" si="59"/>
        <v>0.43000000000000016</v>
      </c>
      <c r="W163" s="49">
        <f t="shared" si="60"/>
        <v>1.3139972068582342E-3</v>
      </c>
      <c r="X163" s="44">
        <f t="shared" si="61"/>
        <v>309.37660838334625</v>
      </c>
      <c r="Y163" s="44">
        <f t="shared" si="62"/>
        <v>909.45000000000027</v>
      </c>
      <c r="Z163" s="44">
        <f t="shared" si="63"/>
        <v>1546.0458680162974</v>
      </c>
      <c r="AA163" s="50">
        <f t="shared" si="64"/>
        <v>3608.7766083833462</v>
      </c>
      <c r="AB163" s="51">
        <f t="shared" si="65"/>
        <v>1447.6084906519638</v>
      </c>
      <c r="AC163" s="44">
        <f t="shared" si="66"/>
        <v>3379.0043149656799</v>
      </c>
      <c r="AD163" s="44">
        <f t="shared" si="67"/>
        <v>235.93554284235159</v>
      </c>
      <c r="AE163" s="44">
        <f t="shared" si="68"/>
        <v>0</v>
      </c>
      <c r="AF163" s="52">
        <f>HLOOKUP(I163,ElecAvoidedCostsWOCC!$A$5:$Q$50,G163+1,FALSE)</f>
        <v>3.2695302314196475</v>
      </c>
      <c r="AG163" s="44">
        <f t="shared" si="69"/>
        <v>5826.6298254129533</v>
      </c>
      <c r="AH163" s="52">
        <f>HLOOKUP(I163,ElecAvoidedCostsWOCC!$A$5:$Q$50,T163+1,FALSE)</f>
        <v>3.2695302314196475</v>
      </c>
      <c r="AI163" s="44">
        <f t="shared" si="70"/>
        <v>0</v>
      </c>
      <c r="AJ163" s="44">
        <f t="shared" si="71"/>
        <v>5826.6298254129533</v>
      </c>
      <c r="AK163" s="44">
        <f>HLOOKUP(I163,ElecAvoidedCostsWOCC!$A$5:$Q$50,G163+1,FALSE)*J163*L163</f>
        <v>0</v>
      </c>
      <c r="AL163" s="44">
        <f t="shared" si="72"/>
        <v>5826.6298254129533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5826.6298254129533</v>
      </c>
      <c r="AN163" s="48">
        <f t="shared" si="73"/>
        <v>6645.2283507966004</v>
      </c>
      <c r="AO163" s="47">
        <f t="shared" si="74"/>
        <v>4.0250039033611884</v>
      </c>
      <c r="AP163" s="47">
        <f t="shared" si="75"/>
        <v>1.9666232213332036</v>
      </c>
    </row>
    <row r="164" spans="2:42" x14ac:dyDescent="0.35">
      <c r="B164" s="37"/>
      <c r="C164" s="61"/>
      <c r="D164" s="61"/>
      <c r="E164" s="38" t="s">
        <v>980</v>
      </c>
      <c r="F164" s="39" t="s">
        <v>981</v>
      </c>
      <c r="G164" s="39">
        <v>45</v>
      </c>
      <c r="H164" s="39"/>
      <c r="I164" s="40" t="s">
        <v>274</v>
      </c>
      <c r="J164" s="41">
        <v>1900</v>
      </c>
      <c r="K164" s="496">
        <v>1.8602000000000001</v>
      </c>
      <c r="L164" s="41"/>
      <c r="M164" s="42">
        <v>1.5</v>
      </c>
      <c r="N164" s="42">
        <v>1.49</v>
      </c>
      <c r="O164" s="43">
        <v>3534.38</v>
      </c>
      <c r="P164" s="44">
        <v>2850</v>
      </c>
      <c r="Q164" s="44">
        <v>2831</v>
      </c>
      <c r="R164" s="45">
        <v>1.78E-2</v>
      </c>
      <c r="S164" s="46">
        <v>0</v>
      </c>
      <c r="T164" s="39">
        <f t="shared" si="57"/>
        <v>45</v>
      </c>
      <c r="U164" s="47">
        <f t="shared" si="58"/>
        <v>0.11727032442562274</v>
      </c>
      <c r="V164" s="48">
        <f t="shared" si="59"/>
        <v>-1.0000000000000009E-2</v>
      </c>
      <c r="W164" s="49">
        <f t="shared" si="60"/>
        <v>2.6060072094582832E-3</v>
      </c>
      <c r="X164" s="44">
        <f t="shared" si="61"/>
        <v>613.57639702481993</v>
      </c>
      <c r="Y164" s="44">
        <f t="shared" si="62"/>
        <v>-19</v>
      </c>
      <c r="Z164" s="44">
        <f t="shared" si="63"/>
        <v>3066.2216458108087</v>
      </c>
      <c r="AA164" s="50">
        <f t="shared" si="64"/>
        <v>3444.5763970248199</v>
      </c>
      <c r="AB164" s="51">
        <f t="shared" si="65"/>
        <v>2870.9940503846524</v>
      </c>
      <c r="AC164" s="44">
        <f t="shared" si="66"/>
        <v>3225.2587987123779</v>
      </c>
      <c r="AD164" s="44">
        <f t="shared" si="67"/>
        <v>471.59220206432212</v>
      </c>
      <c r="AE164" s="44">
        <f t="shared" si="68"/>
        <v>0</v>
      </c>
      <c r="AF164" s="52">
        <f>HLOOKUP(I164,ElecAvoidedCostsWOCC!$A$5:$Q$50,G164+1,FALSE)</f>
        <v>3.2695302314196475</v>
      </c>
      <c r="AG164" s="44">
        <f t="shared" si="69"/>
        <v>11555.762259324974</v>
      </c>
      <c r="AH164" s="52">
        <f>HLOOKUP(I164,ElecAvoidedCostsWOCC!$A$5:$Q$50,T164+1,FALSE)</f>
        <v>3.2695302314196475</v>
      </c>
      <c r="AI164" s="44">
        <f t="shared" si="70"/>
        <v>0</v>
      </c>
      <c r="AJ164" s="44">
        <f t="shared" si="71"/>
        <v>11555.762259324974</v>
      </c>
      <c r="AK164" s="44">
        <f>HLOOKUP(I164,ElecAvoidedCostsWOCC!$A$5:$Q$50,G164+1,FALSE)*J164*L164</f>
        <v>0</v>
      </c>
      <c r="AL164" s="44">
        <f t="shared" si="72"/>
        <v>11555.762259324974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11555.762259324974</v>
      </c>
      <c r="AN164" s="48">
        <f t="shared" si="73"/>
        <v>13182.930687321796</v>
      </c>
      <c r="AO164" s="47">
        <f t="shared" si="74"/>
        <v>4.0250039033611884</v>
      </c>
      <c r="AP164" s="47">
        <f t="shared" si="75"/>
        <v>4.0874024411885417</v>
      </c>
    </row>
    <row r="165" spans="2:42" x14ac:dyDescent="0.35">
      <c r="B165" s="37"/>
      <c r="C165" s="61"/>
      <c r="D165" s="61"/>
      <c r="E165" s="38" t="s">
        <v>982</v>
      </c>
      <c r="F165" s="39" t="s">
        <v>983</v>
      </c>
      <c r="G165" s="39">
        <v>45</v>
      </c>
      <c r="H165" s="39"/>
      <c r="I165" s="40" t="s">
        <v>274</v>
      </c>
      <c r="J165" s="41">
        <v>4570</v>
      </c>
      <c r="K165" s="496">
        <v>7.9498905908096287E-2</v>
      </c>
      <c r="L165" s="41"/>
      <c r="M165" s="42">
        <v>0</v>
      </c>
      <c r="N165" s="42">
        <v>0</v>
      </c>
      <c r="O165" s="43">
        <v>363.31</v>
      </c>
      <c r="P165" s="44">
        <v>0</v>
      </c>
      <c r="Q165" s="44">
        <v>0</v>
      </c>
      <c r="R165" s="45">
        <v>0</v>
      </c>
      <c r="S165" s="46">
        <v>0</v>
      </c>
      <c r="T165" s="39">
        <f t="shared" si="57"/>
        <v>45</v>
      </c>
      <c r="U165" s="47">
        <f t="shared" si="58"/>
        <v>1.2054584274207358E-2</v>
      </c>
      <c r="V165" s="48">
        <f t="shared" si="59"/>
        <v>0</v>
      </c>
      <c r="W165" s="49">
        <f t="shared" si="60"/>
        <v>2.6787965053794128E-4</v>
      </c>
      <c r="X165" s="44">
        <f t="shared" si="61"/>
        <v>63.071441328631138</v>
      </c>
      <c r="Y165" s="44">
        <f t="shared" si="62"/>
        <v>0</v>
      </c>
      <c r="Z165" s="44">
        <f t="shared" si="63"/>
        <v>315.18653516020487</v>
      </c>
      <c r="AA165" s="50">
        <f t="shared" si="64"/>
        <v>63.071441328631138</v>
      </c>
      <c r="AB165" s="51">
        <f t="shared" si="65"/>
        <v>295.11847861442402</v>
      </c>
      <c r="AC165" s="44">
        <f t="shared" si="66"/>
        <v>59.055656674748256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3.2695302314196475</v>
      </c>
      <c r="AG165" s="44">
        <f t="shared" si="69"/>
        <v>1187.8530283770722</v>
      </c>
      <c r="AH165" s="52">
        <f>HLOOKUP(I165,ElecAvoidedCostsWOCC!$A$5:$Q$50,T165+1,FALSE)</f>
        <v>3.2695302314196475</v>
      </c>
      <c r="AI165" s="44">
        <f t="shared" si="70"/>
        <v>0</v>
      </c>
      <c r="AJ165" s="44">
        <f t="shared" si="71"/>
        <v>1187.8530283770722</v>
      </c>
      <c r="AK165" s="44">
        <f>HLOOKUP(I165,ElecAvoidedCostsWOCC!$A$5:$Q$50,G165+1,FALSE)*J165*L165</f>
        <v>0</v>
      </c>
      <c r="AL165" s="44">
        <f t="shared" si="72"/>
        <v>1187.8530283770722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1187.8530283770722</v>
      </c>
      <c r="AN165" s="48">
        <f t="shared" si="73"/>
        <v>1306.6383312147796</v>
      </c>
      <c r="AO165" s="47">
        <f t="shared" si="74"/>
        <v>4.0250039033611884</v>
      </c>
      <c r="AP165" s="47">
        <f t="shared" si="75"/>
        <v>22.12554063044545</v>
      </c>
    </row>
    <row r="166" spans="2:42" x14ac:dyDescent="0.35">
      <c r="B166" s="37"/>
      <c r="C166" s="61"/>
      <c r="D166" s="61"/>
      <c r="E166" s="38" t="s">
        <v>984</v>
      </c>
      <c r="F166" s="39" t="s">
        <v>985</v>
      </c>
      <c r="G166" s="39">
        <v>45</v>
      </c>
      <c r="H166" s="39"/>
      <c r="I166" s="40" t="s">
        <v>274</v>
      </c>
      <c r="J166" s="41">
        <v>1120</v>
      </c>
      <c r="K166" s="496">
        <v>1.3010982142857144</v>
      </c>
      <c r="L166" s="41"/>
      <c r="M166" s="42">
        <v>1.5</v>
      </c>
      <c r="N166" s="42">
        <v>1.49</v>
      </c>
      <c r="O166" s="43">
        <v>1457.23</v>
      </c>
      <c r="P166" s="44">
        <v>1680</v>
      </c>
      <c r="Q166" s="44">
        <v>1668.8</v>
      </c>
      <c r="R166" s="45">
        <v>1.24E-2</v>
      </c>
      <c r="S166" s="46">
        <v>0</v>
      </c>
      <c r="T166" s="39">
        <f t="shared" si="57"/>
        <v>45</v>
      </c>
      <c r="U166" s="47">
        <f t="shared" si="58"/>
        <v>4.8350724840778368E-2</v>
      </c>
      <c r="V166" s="48">
        <f t="shared" si="59"/>
        <v>-1.0000000000000009E-2</v>
      </c>
      <c r="W166" s="49">
        <f t="shared" si="60"/>
        <v>1.0744605520172971E-3</v>
      </c>
      <c r="X166" s="44">
        <f t="shared" si="61"/>
        <v>252.97843837857795</v>
      </c>
      <c r="Y166" s="44">
        <f t="shared" si="62"/>
        <v>-11.200000000000045</v>
      </c>
      <c r="Z166" s="44">
        <f t="shared" si="63"/>
        <v>1264.2076315859881</v>
      </c>
      <c r="AA166" s="50">
        <f t="shared" si="64"/>
        <v>1921.7784383785779</v>
      </c>
      <c r="AB166" s="51">
        <f t="shared" si="65"/>
        <v>1183.7150108483033</v>
      </c>
      <c r="AC166" s="44">
        <f t="shared" si="66"/>
        <v>1799.4180134630878</v>
      </c>
      <c r="AD166" s="44">
        <f t="shared" si="67"/>
        <v>193.6567859925874</v>
      </c>
      <c r="AE166" s="44">
        <f t="shared" si="68"/>
        <v>0</v>
      </c>
      <c r="AF166" s="52">
        <f>HLOOKUP(I166,ElecAvoidedCostsWOCC!$A$5:$Q$50,G166+1,FALSE)</f>
        <v>3.2695302314196475</v>
      </c>
      <c r="AG166" s="44">
        <f t="shared" si="69"/>
        <v>4764.457539131653</v>
      </c>
      <c r="AH166" s="52">
        <f>HLOOKUP(I166,ElecAvoidedCostsWOCC!$A$5:$Q$50,T166+1,FALSE)</f>
        <v>3.2695302314196475</v>
      </c>
      <c r="AI166" s="44">
        <f t="shared" si="70"/>
        <v>0</v>
      </c>
      <c r="AJ166" s="44">
        <f t="shared" si="71"/>
        <v>4764.457539131653</v>
      </c>
      <c r="AK166" s="44">
        <f>HLOOKUP(I166,ElecAvoidedCostsWOCC!$A$5:$Q$50,G166+1,FALSE)*J166*L166</f>
        <v>0</v>
      </c>
      <c r="AL166" s="44">
        <f t="shared" si="72"/>
        <v>4764.457539131653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4764.457539131653</v>
      </c>
      <c r="AN166" s="48">
        <f t="shared" si="73"/>
        <v>5434.5600790374056</v>
      </c>
      <c r="AO166" s="47">
        <f t="shared" si="74"/>
        <v>4.0250039033611893</v>
      </c>
      <c r="AP166" s="47">
        <f t="shared" si="75"/>
        <v>3.0201765450698521</v>
      </c>
    </row>
    <row r="167" spans="2:42" x14ac:dyDescent="0.35">
      <c r="B167" s="37"/>
      <c r="C167" s="61"/>
      <c r="D167" s="61"/>
      <c r="E167" s="38" t="s">
        <v>986</v>
      </c>
      <c r="F167" s="39" t="s">
        <v>987</v>
      </c>
      <c r="G167" s="39">
        <v>45</v>
      </c>
      <c r="H167" s="39"/>
      <c r="I167" s="40" t="s">
        <v>274</v>
      </c>
      <c r="J167" s="41">
        <v>12862</v>
      </c>
      <c r="K167" s="496">
        <v>2.8700046649043694E-2</v>
      </c>
      <c r="L167" s="41"/>
      <c r="M167" s="42">
        <v>0</v>
      </c>
      <c r="N167" s="42">
        <v>0</v>
      </c>
      <c r="O167" s="43">
        <v>369.14</v>
      </c>
      <c r="P167" s="44">
        <v>0</v>
      </c>
      <c r="Q167" s="44">
        <v>0</v>
      </c>
      <c r="R167" s="45">
        <v>4.8800000000000003E-2</v>
      </c>
      <c r="S167" s="46">
        <v>0</v>
      </c>
      <c r="T167" s="39">
        <f t="shared" si="57"/>
        <v>45</v>
      </c>
      <c r="U167" s="47">
        <f t="shared" si="58"/>
        <v>1.2248023007847027E-2</v>
      </c>
      <c r="V167" s="48">
        <f t="shared" si="59"/>
        <v>0</v>
      </c>
      <c r="W167" s="49">
        <f t="shared" si="60"/>
        <v>2.7217828906326728E-4</v>
      </c>
      <c r="X167" s="44">
        <f t="shared" si="61"/>
        <v>64.083542572598873</v>
      </c>
      <c r="Y167" s="44">
        <f t="shared" si="62"/>
        <v>0</v>
      </c>
      <c r="Z167" s="44">
        <f t="shared" si="63"/>
        <v>320.24430263146633</v>
      </c>
      <c r="AA167" s="50">
        <f t="shared" si="64"/>
        <v>64.083542572598873</v>
      </c>
      <c r="AB167" s="51">
        <f t="shared" si="65"/>
        <v>299.85421594706582</v>
      </c>
      <c r="AC167" s="44">
        <f t="shared" si="66"/>
        <v>60.003317015542009</v>
      </c>
      <c r="AD167" s="44">
        <f t="shared" si="67"/>
        <v>8752.2827458315805</v>
      </c>
      <c r="AE167" s="44">
        <f t="shared" si="68"/>
        <v>0</v>
      </c>
      <c r="AF167" s="52">
        <f>HLOOKUP(I167,ElecAvoidedCostsWOCC!$A$5:$Q$50,G167+1,FALSE)</f>
        <v>3.2695302314196475</v>
      </c>
      <c r="AG167" s="44">
        <f t="shared" si="69"/>
        <v>1206.9143896262485</v>
      </c>
      <c r="AH167" s="52">
        <f>HLOOKUP(I167,ElecAvoidedCostsWOCC!$A$5:$Q$50,T167+1,FALSE)</f>
        <v>3.2695302314196475</v>
      </c>
      <c r="AI167" s="44">
        <f t="shared" si="70"/>
        <v>0</v>
      </c>
      <c r="AJ167" s="44">
        <f t="shared" si="71"/>
        <v>1206.9143896262485</v>
      </c>
      <c r="AK167" s="44">
        <f>HLOOKUP(I167,ElecAvoidedCostsWOCC!$A$5:$Q$50,G167+1,FALSE)*J167*L167</f>
        <v>0</v>
      </c>
      <c r="AL167" s="44">
        <f t="shared" si="72"/>
        <v>1206.9143896262485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1206.9143896262487</v>
      </c>
      <c r="AN167" s="48">
        <f t="shared" si="73"/>
        <v>10079.888574420454</v>
      </c>
      <c r="AO167" s="47">
        <f t="shared" si="74"/>
        <v>4.0250039033611884</v>
      </c>
      <c r="AP167" s="47">
        <f t="shared" si="75"/>
        <v>167.98885587957696</v>
      </c>
    </row>
    <row r="168" spans="2:42" x14ac:dyDescent="0.35">
      <c r="B168" s="37"/>
      <c r="C168" s="61"/>
      <c r="D168" s="61"/>
      <c r="E168" s="38" t="s">
        <v>988</v>
      </c>
      <c r="F168" s="39" t="s">
        <v>989</v>
      </c>
      <c r="G168" s="39">
        <v>45</v>
      </c>
      <c r="H168" s="39"/>
      <c r="I168" s="40" t="s">
        <v>274</v>
      </c>
      <c r="J168" s="41">
        <v>550</v>
      </c>
      <c r="K168" s="496">
        <v>0.34010909090909092</v>
      </c>
      <c r="L168" s="41"/>
      <c r="M168" s="42">
        <v>1.5</v>
      </c>
      <c r="N168" s="42">
        <v>1.41</v>
      </c>
      <c r="O168" s="43">
        <v>187.06</v>
      </c>
      <c r="P168" s="44">
        <v>825</v>
      </c>
      <c r="Q168" s="44">
        <v>775.5</v>
      </c>
      <c r="R168" s="45">
        <v>3.2000000000000002E-3</v>
      </c>
      <c r="S168" s="46">
        <v>0</v>
      </c>
      <c r="T168" s="39">
        <f t="shared" si="57"/>
        <v>45</v>
      </c>
      <c r="U168" s="47">
        <f t="shared" si="58"/>
        <v>6.2066294193202174E-3</v>
      </c>
      <c r="V168" s="48">
        <f t="shared" si="59"/>
        <v>-9.000000000000008E-2</v>
      </c>
      <c r="W168" s="49">
        <f t="shared" si="60"/>
        <v>1.3792509820711595E-4</v>
      </c>
      <c r="X168" s="44">
        <f t="shared" si="61"/>
        <v>32.474040942813964</v>
      </c>
      <c r="Y168" s="44">
        <f t="shared" si="62"/>
        <v>-49.5</v>
      </c>
      <c r="Z168" s="44">
        <f t="shared" si="63"/>
        <v>162.28232987550004</v>
      </c>
      <c r="AA168" s="50">
        <f t="shared" si="64"/>
        <v>807.97404094281399</v>
      </c>
      <c r="AB168" s="51">
        <f t="shared" si="65"/>
        <v>151.94974707443822</v>
      </c>
      <c r="AC168" s="44">
        <f t="shared" si="66"/>
        <v>756.53000088278463</v>
      </c>
      <c r="AD168" s="44">
        <f t="shared" si="67"/>
        <v>24.541758593530663</v>
      </c>
      <c r="AE168" s="44">
        <f t="shared" si="68"/>
        <v>0</v>
      </c>
      <c r="AF168" s="52">
        <f>HLOOKUP(I168,ElecAvoidedCostsWOCC!$A$5:$Q$50,G168+1,FALSE)</f>
        <v>3.2695302314196475</v>
      </c>
      <c r="AG168" s="44">
        <f t="shared" si="69"/>
        <v>611.59832508935926</v>
      </c>
      <c r="AH168" s="52">
        <f>HLOOKUP(I168,ElecAvoidedCostsWOCC!$A$5:$Q$50,T168+1,FALSE)</f>
        <v>3.2695302314196475</v>
      </c>
      <c r="AI168" s="44">
        <f t="shared" si="70"/>
        <v>0</v>
      </c>
      <c r="AJ168" s="44">
        <f t="shared" si="71"/>
        <v>611.59832508935926</v>
      </c>
      <c r="AK168" s="44">
        <f>HLOOKUP(I168,ElecAvoidedCostsWOCC!$A$5:$Q$50,G168+1,FALSE)*J168*L168</f>
        <v>0</v>
      </c>
      <c r="AL168" s="44">
        <f t="shared" si="72"/>
        <v>611.59832508935926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611.59832508935926</v>
      </c>
      <c r="AN168" s="48">
        <f t="shared" si="73"/>
        <v>697.2999161918259</v>
      </c>
      <c r="AO168" s="47">
        <f t="shared" si="74"/>
        <v>4.0250039033611893</v>
      </c>
      <c r="AP168" s="47">
        <f t="shared" si="75"/>
        <v>0.92170821431821082</v>
      </c>
    </row>
    <row r="169" spans="2:42" x14ac:dyDescent="0.35">
      <c r="B169" s="37"/>
      <c r="C169" s="61"/>
      <c r="D169" s="61"/>
      <c r="E169" s="38" t="s">
        <v>990</v>
      </c>
      <c r="F169" s="39" t="s">
        <v>991</v>
      </c>
      <c r="G169" s="39">
        <v>45</v>
      </c>
      <c r="H169" s="39"/>
      <c r="I169" s="40" t="s">
        <v>274</v>
      </c>
      <c r="J169" s="41">
        <v>13990</v>
      </c>
      <c r="K169" s="496">
        <v>3.3600428877769838E-2</v>
      </c>
      <c r="L169" s="41"/>
      <c r="M169" s="42">
        <v>0</v>
      </c>
      <c r="N169" s="42">
        <v>0</v>
      </c>
      <c r="O169" s="43">
        <v>470.07</v>
      </c>
      <c r="P169" s="44">
        <v>0</v>
      </c>
      <c r="Q169" s="44">
        <v>0</v>
      </c>
      <c r="R169" s="45">
        <v>3.9300000000000002E-2</v>
      </c>
      <c r="S169" s="46">
        <v>0</v>
      </c>
      <c r="T169" s="39">
        <f t="shared" si="57"/>
        <v>45</v>
      </c>
      <c r="U169" s="47">
        <f t="shared" si="58"/>
        <v>1.5596868871698144E-2</v>
      </c>
      <c r="V169" s="48">
        <f t="shared" si="59"/>
        <v>0</v>
      </c>
      <c r="W169" s="49">
        <f t="shared" si="60"/>
        <v>3.4659708603773653E-4</v>
      </c>
      <c r="X169" s="44">
        <f t="shared" si="61"/>
        <v>81.605219854530944</v>
      </c>
      <c r="Y169" s="44">
        <f t="shared" si="62"/>
        <v>0</v>
      </c>
      <c r="Z169" s="44">
        <f t="shared" si="63"/>
        <v>407.80527533719834</v>
      </c>
      <c r="AA169" s="50">
        <f t="shared" si="64"/>
        <v>81.605219854530944</v>
      </c>
      <c r="AB169" s="51">
        <f t="shared" si="65"/>
        <v>381.84014544681492</v>
      </c>
      <c r="AC169" s="44">
        <f t="shared" si="66"/>
        <v>76.409381886264924</v>
      </c>
      <c r="AD169" s="44">
        <f t="shared" si="67"/>
        <v>7666.6083335416552</v>
      </c>
      <c r="AE169" s="44">
        <f t="shared" si="68"/>
        <v>0</v>
      </c>
      <c r="AF169" s="52">
        <f>HLOOKUP(I169,ElecAvoidedCostsWOCC!$A$5:$Q$50,G169+1,FALSE)</f>
        <v>3.2695302314196475</v>
      </c>
      <c r="AG169" s="44">
        <f t="shared" si="69"/>
        <v>1536.9080758834339</v>
      </c>
      <c r="AH169" s="52">
        <f>HLOOKUP(I169,ElecAvoidedCostsWOCC!$A$5:$Q$50,T169+1,FALSE)</f>
        <v>3.2695302314196475</v>
      </c>
      <c r="AI169" s="44">
        <f t="shared" si="70"/>
        <v>0</v>
      </c>
      <c r="AJ169" s="44">
        <f t="shared" si="71"/>
        <v>1536.9080758834339</v>
      </c>
      <c r="AK169" s="44">
        <f>HLOOKUP(I169,ElecAvoidedCostsWOCC!$A$5:$Q$50,G169+1,FALSE)*J169*L169</f>
        <v>0</v>
      </c>
      <c r="AL169" s="44">
        <f t="shared" si="72"/>
        <v>1536.9080758834339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1536.9080758834339</v>
      </c>
      <c r="AN169" s="48">
        <f t="shared" si="73"/>
        <v>9357.2072170134325</v>
      </c>
      <c r="AO169" s="47">
        <f t="shared" si="74"/>
        <v>4.0250039033611884</v>
      </c>
      <c r="AP169" s="47">
        <f t="shared" si="75"/>
        <v>122.46149603646316</v>
      </c>
    </row>
    <row r="170" spans="2:42" x14ac:dyDescent="0.35">
      <c r="B170" s="37"/>
      <c r="C170" s="61"/>
      <c r="D170" s="61"/>
      <c r="E170" s="38" t="s">
        <v>992</v>
      </c>
      <c r="F170" s="39" t="s">
        <v>993</v>
      </c>
      <c r="G170" s="39">
        <v>45</v>
      </c>
      <c r="H170" s="39"/>
      <c r="I170" s="40" t="s">
        <v>274</v>
      </c>
      <c r="J170" s="41">
        <v>2412</v>
      </c>
      <c r="K170" s="496">
        <v>0.18360281923714761</v>
      </c>
      <c r="L170" s="41"/>
      <c r="M170" s="42">
        <v>1.5</v>
      </c>
      <c r="N170" s="42">
        <v>1.41</v>
      </c>
      <c r="O170" s="43">
        <v>442.85</v>
      </c>
      <c r="P170" s="44">
        <v>3618</v>
      </c>
      <c r="Q170" s="44">
        <v>3400.92</v>
      </c>
      <c r="R170" s="45">
        <v>1.8E-3</v>
      </c>
      <c r="S170" s="46">
        <v>0</v>
      </c>
      <c r="T170" s="39">
        <f t="shared" si="57"/>
        <v>45</v>
      </c>
      <c r="U170" s="47">
        <f t="shared" si="58"/>
        <v>1.4693712382903658E-2</v>
      </c>
      <c r="V170" s="48">
        <f t="shared" si="59"/>
        <v>-9.000000000000008E-2</v>
      </c>
      <c r="W170" s="49">
        <f t="shared" si="60"/>
        <v>3.2652694184230353E-4</v>
      </c>
      <c r="X170" s="44">
        <f t="shared" si="61"/>
        <v>76.87976601905892</v>
      </c>
      <c r="Y170" s="44">
        <f t="shared" si="62"/>
        <v>-217.07999999999993</v>
      </c>
      <c r="Z170" s="44">
        <f t="shared" si="63"/>
        <v>384.19079325010802</v>
      </c>
      <c r="AA170" s="50">
        <f t="shared" si="64"/>
        <v>3477.799766019059</v>
      </c>
      <c r="AB170" s="51">
        <f t="shared" si="65"/>
        <v>359.72920716302247</v>
      </c>
      <c r="AC170" s="44">
        <f t="shared" si="66"/>
        <v>3256.3668221152234</v>
      </c>
      <c r="AD170" s="44">
        <f t="shared" si="67"/>
        <v>60.54005631231405</v>
      </c>
      <c r="AE170" s="44">
        <f t="shared" si="68"/>
        <v>0</v>
      </c>
      <c r="AF170" s="52">
        <f>HLOOKUP(I170,ElecAvoidedCostsWOCC!$A$5:$Q$50,G170+1,FALSE)</f>
        <v>3.2695302314196475</v>
      </c>
      <c r="AG170" s="44">
        <f t="shared" si="69"/>
        <v>1447.9114629841908</v>
      </c>
      <c r="AH170" s="52">
        <f>HLOOKUP(I170,ElecAvoidedCostsWOCC!$A$5:$Q$50,T170+1,FALSE)</f>
        <v>3.2695302314196475</v>
      </c>
      <c r="AI170" s="44">
        <f t="shared" si="70"/>
        <v>0</v>
      </c>
      <c r="AJ170" s="44">
        <f t="shared" si="71"/>
        <v>1447.9114629841908</v>
      </c>
      <c r="AK170" s="44">
        <f>HLOOKUP(I170,ElecAvoidedCostsWOCC!$A$5:$Q$50,G170+1,FALSE)*J170*L170</f>
        <v>0</v>
      </c>
      <c r="AL170" s="44">
        <f t="shared" si="72"/>
        <v>1447.9114629841908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1447.9114629841911</v>
      </c>
      <c r="AN170" s="48">
        <f t="shared" si="73"/>
        <v>1653.2426655949243</v>
      </c>
      <c r="AO170" s="47">
        <f t="shared" si="74"/>
        <v>4.0250039033611884</v>
      </c>
      <c r="AP170" s="47">
        <f t="shared" si="75"/>
        <v>0.50769546427236811</v>
      </c>
    </row>
    <row r="171" spans="2:42" x14ac:dyDescent="0.35">
      <c r="B171" s="37"/>
      <c r="C171" s="61"/>
      <c r="D171" s="61"/>
      <c r="E171" s="38" t="s">
        <v>994</v>
      </c>
      <c r="F171" s="39" t="s">
        <v>995</v>
      </c>
      <c r="G171" s="39">
        <v>45</v>
      </c>
      <c r="H171" s="39"/>
      <c r="I171" s="40" t="s">
        <v>274</v>
      </c>
      <c r="J171" s="41">
        <v>5200</v>
      </c>
      <c r="K171" s="496">
        <v>6.2700000000000006E-2</v>
      </c>
      <c r="L171" s="41"/>
      <c r="M171" s="42">
        <v>0</v>
      </c>
      <c r="N171" s="42">
        <v>0</v>
      </c>
      <c r="O171" s="43">
        <v>326.04000000000002</v>
      </c>
      <c r="P171" s="44">
        <v>0</v>
      </c>
      <c r="Q171" s="44">
        <v>0</v>
      </c>
      <c r="R171" s="45">
        <v>0</v>
      </c>
      <c r="S171" s="46">
        <v>0</v>
      </c>
      <c r="T171" s="39">
        <f t="shared" si="57"/>
        <v>45</v>
      </c>
      <c r="U171" s="47">
        <f t="shared" si="58"/>
        <v>1.0817969934112926E-2</v>
      </c>
      <c r="V171" s="48">
        <f t="shared" si="59"/>
        <v>0</v>
      </c>
      <c r="W171" s="49">
        <f t="shared" si="60"/>
        <v>2.4039933186917613E-4</v>
      </c>
      <c r="X171" s="44">
        <f t="shared" si="61"/>
        <v>56.601284662648695</v>
      </c>
      <c r="Y171" s="44">
        <f t="shared" si="62"/>
        <v>0</v>
      </c>
      <c r="Z171" s="44">
        <f t="shared" si="63"/>
        <v>282.8532600909229</v>
      </c>
      <c r="AA171" s="50">
        <f t="shared" si="64"/>
        <v>56.601284662648695</v>
      </c>
      <c r="AB171" s="51">
        <f t="shared" si="65"/>
        <v>264.84387648962814</v>
      </c>
      <c r="AC171" s="44">
        <f t="shared" si="66"/>
        <v>52.997457549296527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3.2695302314196475</v>
      </c>
      <c r="AG171" s="44">
        <f t="shared" si="69"/>
        <v>1065.9976366520618</v>
      </c>
      <c r="AH171" s="52">
        <f>HLOOKUP(I171,ElecAvoidedCostsWOCC!$A$5:$Q$50,T171+1,FALSE)</f>
        <v>3.2695302314196475</v>
      </c>
      <c r="AI171" s="44">
        <f t="shared" si="70"/>
        <v>0</v>
      </c>
      <c r="AJ171" s="44">
        <f t="shared" si="71"/>
        <v>1065.9976366520618</v>
      </c>
      <c r="AK171" s="44">
        <f>HLOOKUP(I171,ElecAvoidedCostsWOCC!$A$5:$Q$50,G171+1,FALSE)*J171*L171</f>
        <v>0</v>
      </c>
      <c r="AL171" s="44">
        <f t="shared" si="72"/>
        <v>1065.9976366520618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1065.9976366520621</v>
      </c>
      <c r="AN171" s="48">
        <f t="shared" si="73"/>
        <v>1172.5974003172685</v>
      </c>
      <c r="AO171" s="47">
        <f t="shared" si="74"/>
        <v>4.0250039033611893</v>
      </c>
      <c r="AP171" s="47">
        <f t="shared" si="75"/>
        <v>22.125540630445453</v>
      </c>
    </row>
    <row r="172" spans="2:42" x14ac:dyDescent="0.35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 x14ac:dyDescent="0.35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 x14ac:dyDescent="0.35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 x14ac:dyDescent="0.35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 x14ac:dyDescent="0.35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 x14ac:dyDescent="0.35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 x14ac:dyDescent="0.35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 x14ac:dyDescent="0.35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 x14ac:dyDescent="0.35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 x14ac:dyDescent="0.35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 x14ac:dyDescent="0.35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 x14ac:dyDescent="0.35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 x14ac:dyDescent="0.35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 x14ac:dyDescent="0.35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 x14ac:dyDescent="0.35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 x14ac:dyDescent="0.35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 x14ac:dyDescent="0.35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 x14ac:dyDescent="0.35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 x14ac:dyDescent="0.35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 x14ac:dyDescent="0.35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 x14ac:dyDescent="0.35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 x14ac:dyDescent="0.35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 x14ac:dyDescent="0.35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 x14ac:dyDescent="0.35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 x14ac:dyDescent="0.35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 x14ac:dyDescent="0.35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 x14ac:dyDescent="0.35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 x14ac:dyDescent="0.35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 x14ac:dyDescent="0.35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 x14ac:dyDescent="0.35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 x14ac:dyDescent="0.35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 x14ac:dyDescent="0.35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 x14ac:dyDescent="0.35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 x14ac:dyDescent="0.35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 x14ac:dyDescent="0.35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 x14ac:dyDescent="0.35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 x14ac:dyDescent="0.35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 x14ac:dyDescent="0.35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 x14ac:dyDescent="0.35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 x14ac:dyDescent="0.35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 x14ac:dyDescent="0.35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 x14ac:dyDescent="0.35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 x14ac:dyDescent="0.35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 x14ac:dyDescent="0.35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 x14ac:dyDescent="0.35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 x14ac:dyDescent="0.35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 x14ac:dyDescent="0.35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 x14ac:dyDescent="0.35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 x14ac:dyDescent="0.35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 x14ac:dyDescent="0.35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 x14ac:dyDescent="0.35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 x14ac:dyDescent="0.35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 x14ac:dyDescent="0.35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 x14ac:dyDescent="0.35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 x14ac:dyDescent="0.35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 x14ac:dyDescent="0.35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 x14ac:dyDescent="0.35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 x14ac:dyDescent="0.35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 x14ac:dyDescent="0.35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 x14ac:dyDescent="0.35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 x14ac:dyDescent="0.35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 x14ac:dyDescent="0.35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 x14ac:dyDescent="0.35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 x14ac:dyDescent="0.35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 x14ac:dyDescent="0.35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 x14ac:dyDescent="0.35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 x14ac:dyDescent="0.35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 x14ac:dyDescent="0.35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 x14ac:dyDescent="0.35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 x14ac:dyDescent="0.35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 x14ac:dyDescent="0.35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 x14ac:dyDescent="0.35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 x14ac:dyDescent="0.35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 x14ac:dyDescent="0.35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 x14ac:dyDescent="0.35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 x14ac:dyDescent="0.35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 x14ac:dyDescent="0.35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 x14ac:dyDescent="0.35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 x14ac:dyDescent="0.35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 x14ac:dyDescent="0.35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 x14ac:dyDescent="0.35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 x14ac:dyDescent="0.35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 x14ac:dyDescent="0.35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 x14ac:dyDescent="0.35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 x14ac:dyDescent="0.35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 x14ac:dyDescent="0.35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 x14ac:dyDescent="0.35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 x14ac:dyDescent="0.35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 x14ac:dyDescent="0.35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 x14ac:dyDescent="0.35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 x14ac:dyDescent="0.35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 x14ac:dyDescent="0.35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 x14ac:dyDescent="0.35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 x14ac:dyDescent="0.35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 x14ac:dyDescent="0.35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 x14ac:dyDescent="0.35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 x14ac:dyDescent="0.35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 x14ac:dyDescent="0.35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 x14ac:dyDescent="0.35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 x14ac:dyDescent="0.35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 x14ac:dyDescent="0.35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 x14ac:dyDescent="0.35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 x14ac:dyDescent="0.35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 x14ac:dyDescent="0.35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 x14ac:dyDescent="0.35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 x14ac:dyDescent="0.35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 x14ac:dyDescent="0.35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 x14ac:dyDescent="0.35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 x14ac:dyDescent="0.35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 x14ac:dyDescent="0.35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 x14ac:dyDescent="0.35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 x14ac:dyDescent="0.35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 x14ac:dyDescent="0.35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 x14ac:dyDescent="0.35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 x14ac:dyDescent="0.35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 x14ac:dyDescent="0.35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 x14ac:dyDescent="0.35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 x14ac:dyDescent="0.35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 x14ac:dyDescent="0.35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 x14ac:dyDescent="0.35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 x14ac:dyDescent="0.35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 x14ac:dyDescent="0.35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 x14ac:dyDescent="0.35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 x14ac:dyDescent="0.35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 x14ac:dyDescent="0.35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 x14ac:dyDescent="0.35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 x14ac:dyDescent="0.35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 x14ac:dyDescent="0.35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 x14ac:dyDescent="0.35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 x14ac:dyDescent="0.35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 x14ac:dyDescent="0.35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 x14ac:dyDescent="0.35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 x14ac:dyDescent="0.35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 x14ac:dyDescent="0.35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 x14ac:dyDescent="0.35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 x14ac:dyDescent="0.35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 x14ac:dyDescent="0.35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 x14ac:dyDescent="0.35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 x14ac:dyDescent="0.35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 x14ac:dyDescent="0.35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 x14ac:dyDescent="0.35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 x14ac:dyDescent="0.35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 x14ac:dyDescent="0.35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 x14ac:dyDescent="0.35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 x14ac:dyDescent="0.35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 x14ac:dyDescent="0.35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 x14ac:dyDescent="0.35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 x14ac:dyDescent="0.35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 x14ac:dyDescent="0.35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 x14ac:dyDescent="0.35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 x14ac:dyDescent="0.35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 x14ac:dyDescent="0.35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 x14ac:dyDescent="0.35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 x14ac:dyDescent="0.35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 x14ac:dyDescent="0.35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 x14ac:dyDescent="0.35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 x14ac:dyDescent="0.35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 x14ac:dyDescent="0.35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 x14ac:dyDescent="0.35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 x14ac:dyDescent="0.35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 x14ac:dyDescent="0.35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 x14ac:dyDescent="0.35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 x14ac:dyDescent="0.35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 x14ac:dyDescent="0.35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 x14ac:dyDescent="0.35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 x14ac:dyDescent="0.35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 x14ac:dyDescent="0.35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 x14ac:dyDescent="0.35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 x14ac:dyDescent="0.35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 x14ac:dyDescent="0.35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 x14ac:dyDescent="0.35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 x14ac:dyDescent="0.35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 x14ac:dyDescent="0.35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 x14ac:dyDescent="0.35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 x14ac:dyDescent="0.35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 x14ac:dyDescent="0.35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 x14ac:dyDescent="0.35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 x14ac:dyDescent="0.35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 x14ac:dyDescent="0.35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 x14ac:dyDescent="0.35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 x14ac:dyDescent="0.35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 x14ac:dyDescent="0.35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 x14ac:dyDescent="0.35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 x14ac:dyDescent="0.35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 x14ac:dyDescent="0.35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 x14ac:dyDescent="0.35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 x14ac:dyDescent="0.35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 x14ac:dyDescent="0.35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 x14ac:dyDescent="0.35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 x14ac:dyDescent="0.35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 x14ac:dyDescent="0.35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 x14ac:dyDescent="0.35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 x14ac:dyDescent="0.35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 x14ac:dyDescent="0.35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 x14ac:dyDescent="0.35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 x14ac:dyDescent="0.35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 x14ac:dyDescent="0.35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 x14ac:dyDescent="0.35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 x14ac:dyDescent="0.35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 x14ac:dyDescent="0.35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 x14ac:dyDescent="0.35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 x14ac:dyDescent="0.35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 x14ac:dyDescent="0.35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 x14ac:dyDescent="0.35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 x14ac:dyDescent="0.35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 x14ac:dyDescent="0.35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 x14ac:dyDescent="0.35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 x14ac:dyDescent="0.35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 x14ac:dyDescent="0.35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 x14ac:dyDescent="0.35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 x14ac:dyDescent="0.35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 x14ac:dyDescent="0.35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 x14ac:dyDescent="0.35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 x14ac:dyDescent="0.35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 x14ac:dyDescent="0.35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 x14ac:dyDescent="0.35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 x14ac:dyDescent="0.35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 x14ac:dyDescent="0.35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 x14ac:dyDescent="0.35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 x14ac:dyDescent="0.35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 x14ac:dyDescent="0.35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 x14ac:dyDescent="0.35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 x14ac:dyDescent="0.35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 x14ac:dyDescent="0.35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 x14ac:dyDescent="0.35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 x14ac:dyDescent="0.35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 x14ac:dyDescent="0.35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 x14ac:dyDescent="0.35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 x14ac:dyDescent="0.35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 x14ac:dyDescent="0.35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 x14ac:dyDescent="0.35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 x14ac:dyDescent="0.35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 x14ac:dyDescent="0.35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 x14ac:dyDescent="0.35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 x14ac:dyDescent="0.35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 x14ac:dyDescent="0.35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 x14ac:dyDescent="0.35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 x14ac:dyDescent="0.35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 x14ac:dyDescent="0.35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 x14ac:dyDescent="0.35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 x14ac:dyDescent="0.35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 x14ac:dyDescent="0.35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 x14ac:dyDescent="0.35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 x14ac:dyDescent="0.35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 x14ac:dyDescent="0.35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 x14ac:dyDescent="0.35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 x14ac:dyDescent="0.35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 x14ac:dyDescent="0.35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 x14ac:dyDescent="0.35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 x14ac:dyDescent="0.35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 x14ac:dyDescent="0.35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 x14ac:dyDescent="0.35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 x14ac:dyDescent="0.35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 x14ac:dyDescent="0.35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 x14ac:dyDescent="0.35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 x14ac:dyDescent="0.35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 x14ac:dyDescent="0.35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 x14ac:dyDescent="0.35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 x14ac:dyDescent="0.35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 x14ac:dyDescent="0.35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 x14ac:dyDescent="0.35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 x14ac:dyDescent="0.35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 x14ac:dyDescent="0.35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 x14ac:dyDescent="0.35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 x14ac:dyDescent="0.35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 x14ac:dyDescent="0.35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 x14ac:dyDescent="0.35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 x14ac:dyDescent="0.35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 x14ac:dyDescent="0.35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 x14ac:dyDescent="0.35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 x14ac:dyDescent="0.35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 x14ac:dyDescent="0.35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 x14ac:dyDescent="0.35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 x14ac:dyDescent="0.35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 x14ac:dyDescent="0.35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 x14ac:dyDescent="0.35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 x14ac:dyDescent="0.35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 x14ac:dyDescent="0.35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 x14ac:dyDescent="0.35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 x14ac:dyDescent="0.35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 x14ac:dyDescent="0.35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 x14ac:dyDescent="0.35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 x14ac:dyDescent="0.35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 x14ac:dyDescent="0.35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 x14ac:dyDescent="0.35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 x14ac:dyDescent="0.35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 x14ac:dyDescent="0.35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 x14ac:dyDescent="0.35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 x14ac:dyDescent="0.35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 x14ac:dyDescent="0.35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 x14ac:dyDescent="0.35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 x14ac:dyDescent="0.35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 x14ac:dyDescent="0.35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 x14ac:dyDescent="0.35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 x14ac:dyDescent="0.35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 x14ac:dyDescent="0.35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 x14ac:dyDescent="0.35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 x14ac:dyDescent="0.35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 x14ac:dyDescent="0.35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 x14ac:dyDescent="0.35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 x14ac:dyDescent="0.35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 x14ac:dyDescent="0.35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 x14ac:dyDescent="0.35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 x14ac:dyDescent="0.35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 x14ac:dyDescent="0.35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 x14ac:dyDescent="0.35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 x14ac:dyDescent="0.35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 x14ac:dyDescent="0.35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 x14ac:dyDescent="0.35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 x14ac:dyDescent="0.35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 x14ac:dyDescent="0.35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 x14ac:dyDescent="0.35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 x14ac:dyDescent="0.35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 x14ac:dyDescent="0.35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 x14ac:dyDescent="0.35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 x14ac:dyDescent="0.35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 x14ac:dyDescent="0.35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 x14ac:dyDescent="0.35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 x14ac:dyDescent="0.35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 x14ac:dyDescent="0.35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 x14ac:dyDescent="0.35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 x14ac:dyDescent="0.35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 x14ac:dyDescent="0.35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 x14ac:dyDescent="0.35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 x14ac:dyDescent="0.35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 x14ac:dyDescent="0.35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 x14ac:dyDescent="0.35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 x14ac:dyDescent="0.35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 x14ac:dyDescent="0.35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 x14ac:dyDescent="0.35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 x14ac:dyDescent="0.35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 x14ac:dyDescent="0.35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 x14ac:dyDescent="0.35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 x14ac:dyDescent="0.35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 x14ac:dyDescent="0.35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 x14ac:dyDescent="0.35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 x14ac:dyDescent="0.35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 x14ac:dyDescent="0.35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 x14ac:dyDescent="0.35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 x14ac:dyDescent="0.35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 x14ac:dyDescent="0.35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 x14ac:dyDescent="0.35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 x14ac:dyDescent="0.35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 x14ac:dyDescent="0.35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515 R5:S515">
    <cfRule type="expression" dxfId="297" priority="2">
      <formula>ISTEXT(M5)</formula>
    </cfRule>
  </conditionalFormatting>
  <conditionalFormatting sqref="M5:N515 R5:S515">
    <cfRule type="notContainsBlanks" dxfId="296" priority="3">
      <formula>LEN(TRIM(M5))&gt;0</formula>
    </cfRule>
  </conditionalFormatting>
  <conditionalFormatting sqref="R5:S515">
    <cfRule type="expression" dxfId="2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H1" zoomScale="85" zoomScaleNormal="85" workbookViewId="0">
      <selection activeCell="O6" sqref="O6:T6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495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18230461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18230461</v>
      </c>
      <c r="D5" s="61" t="s">
        <v>51</v>
      </c>
      <c r="E5" s="38" t="s">
        <v>996</v>
      </c>
      <c r="F5" s="39" t="s">
        <v>997</v>
      </c>
      <c r="G5" s="39">
        <v>2</v>
      </c>
      <c r="H5" s="39"/>
      <c r="I5" s="40" t="s">
        <v>239</v>
      </c>
      <c r="J5" s="41">
        <v>2112216</v>
      </c>
      <c r="K5" s="496">
        <v>23.75</v>
      </c>
      <c r="L5" s="41"/>
      <c r="M5" s="42">
        <v>0.46</v>
      </c>
      <c r="N5" s="42">
        <v>0.46</v>
      </c>
      <c r="O5" s="43">
        <v>50165130</v>
      </c>
      <c r="P5" s="44">
        <v>971619.36</v>
      </c>
      <c r="Q5" s="44">
        <v>971619.36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846370.84</v>
      </c>
      <c r="Y5" s="44">
        <f t="shared" ref="Y5:Y24" si="5">Q5-P5</f>
        <v>0</v>
      </c>
      <c r="Z5" s="44">
        <f t="shared" ref="Z5:Z24" si="6">X5+(A$6*W5)</f>
        <v>1577453.42</v>
      </c>
      <c r="AA5" s="50">
        <f t="shared" ref="AA5:AA24" si="7">Q5+X5</f>
        <v>1817990.2</v>
      </c>
      <c r="AB5" s="51">
        <f t="shared" ref="AB5:AC20" si="8">Z5/(1+ElecDiscountRate)^1</f>
        <v>1477016.3108614231</v>
      </c>
      <c r="AC5" s="44">
        <f t="shared" si="8"/>
        <v>1702238.0149812733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0.17813821146975017</v>
      </c>
      <c r="AG5" s="44">
        <f t="shared" ref="AG5:AG24" si="10">AF5*J5*K5</f>
        <v>8936326.5363475084</v>
      </c>
      <c r="AH5" s="52">
        <f>HLOOKUP(I5,ElecAvoidedCostsWOCC!$A$5:$Q$50,T5+1,FALSE)</f>
        <v>0.17813821146975017</v>
      </c>
      <c r="AI5" s="44">
        <f t="shared" ref="AI5:AI24" si="11">AH5*J5*L5</f>
        <v>0</v>
      </c>
      <c r="AJ5" s="44">
        <f>AG5+AI5</f>
        <v>8936326.5363475084</v>
      </c>
      <c r="AK5" s="44">
        <f>HLOOKUP(I5,ElecAvoidedCostsWOCC!$A$5:$Q$50,G5+1,FALSE)*J5*L5</f>
        <v>0</v>
      </c>
      <c r="AL5" s="44">
        <f>AG5+AI5-AK5</f>
        <v>8936326.5363475084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8936326.5363475084</v>
      </c>
      <c r="AN5" s="48">
        <f>AM5*1.1+AD5+AE5</f>
        <v>9829959.1899822596</v>
      </c>
      <c r="AO5" s="47">
        <f>IFERROR(AM5/AB5,0)</f>
        <v>6.0502558236040587</v>
      </c>
      <c r="AP5" s="47">
        <f>AN5/AC5</f>
        <v>5.7747266266347603</v>
      </c>
    </row>
    <row r="6" spans="1:42" ht="13.5" customHeight="1" x14ac:dyDescent="0.35">
      <c r="A6" s="53">
        <f>SUMIF('Program Costs'!D:D,C2,'Program Costs'!L:L)</f>
        <v>731082.58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/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846370.84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50165130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971619.36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1577453.42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1817990.2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6.0502558236040587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5.7747266266347603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24 R5:S24">
    <cfRule type="expression" dxfId="292" priority="2">
      <formula>ISTEXT(M5)</formula>
    </cfRule>
  </conditionalFormatting>
  <conditionalFormatting sqref="M5:N24 R5:S24">
    <cfRule type="notContainsBlanks" dxfId="291" priority="3">
      <formula>LEN(TRIM(M5))&gt;0</formula>
    </cfRule>
  </conditionalFormatting>
  <conditionalFormatting sqref="R5:S24">
    <cfRule type="expression" dxfId="29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18230751</v>
      </c>
      <c r="D2" s="20" t="s">
        <v>545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18230751</v>
      </c>
      <c r="D5" s="61" t="s">
        <v>545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67647.7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67647.7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67647.7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24 R5:S24">
    <cfRule type="expression" dxfId="287" priority="2">
      <formula>ISTEXT(M5)</formula>
    </cfRule>
  </conditionalFormatting>
  <conditionalFormatting sqref="M5:N24 R5:S24">
    <cfRule type="notContainsBlanks" dxfId="286" priority="3">
      <formula>LEN(TRIM(M5))&gt;0</formula>
    </cfRule>
  </conditionalFormatting>
  <conditionalFormatting sqref="R5:S24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18230162</v>
      </c>
      <c r="D2" s="20" t="s">
        <v>555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18230162</v>
      </c>
      <c r="D5" s="61" t="s">
        <v>555</v>
      </c>
      <c r="E5" s="38" t="s">
        <v>2136</v>
      </c>
      <c r="F5" s="39" t="s">
        <v>2137</v>
      </c>
      <c r="G5" s="39">
        <v>15</v>
      </c>
      <c r="H5" s="39"/>
      <c r="I5" s="40" t="s">
        <v>273</v>
      </c>
      <c r="J5" s="41">
        <v>389</v>
      </c>
      <c r="K5" s="496">
        <v>1109.2724935732647</v>
      </c>
      <c r="L5" s="41"/>
      <c r="M5" s="42">
        <v>400</v>
      </c>
      <c r="N5" s="42">
        <v>500</v>
      </c>
      <c r="O5" s="43">
        <v>431507</v>
      </c>
      <c r="P5" s="44">
        <v>155850</v>
      </c>
      <c r="Q5" s="44">
        <v>194500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0.35576019870581788</v>
      </c>
      <c r="V5" s="48">
        <f t="shared" ref="V5:V24" si="2">N5-M5</f>
        <v>100</v>
      </c>
      <c r="W5" s="49">
        <f t="shared" ref="W5:W24" si="3">(O5/A$10)</f>
        <v>2.371734658038786E-2</v>
      </c>
      <c r="X5" s="44">
        <f t="shared" ref="X5:X24" si="4">W5*A$8</f>
        <v>28643.793327945397</v>
      </c>
      <c r="Y5" s="44">
        <f t="shared" ref="Y5:Y24" si="5">Q5-P5</f>
        <v>38650</v>
      </c>
      <c r="Z5" s="44">
        <f t="shared" ref="Z5:Z24" si="6">X5+(A$6*W5)</f>
        <v>197901.91785176157</v>
      </c>
      <c r="AA5" s="50">
        <f t="shared" ref="AA5:AA24" si="7">Q5+X5</f>
        <v>223143.7933279454</v>
      </c>
      <c r="AB5" s="51">
        <f t="shared" ref="AB5:AC20" si="8">Z5/(1+ElecDiscountRate)^1</f>
        <v>185301.42120951458</v>
      </c>
      <c r="AC5" s="44">
        <f t="shared" si="8"/>
        <v>208936.13607485523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1.3071945815391408</v>
      </c>
      <c r="AG5" s="44">
        <f t="shared" ref="AG5:AG24" si="10">AF5*J5*K5</f>
        <v>564063.6122962099</v>
      </c>
      <c r="AH5" s="52">
        <f>HLOOKUP(I5,ElecAvoidedCostsWOCC!$A$5:$Q$50,T5+1,FALSE)</f>
        <v>1.3071945815391408</v>
      </c>
      <c r="AI5" s="44">
        <f t="shared" ref="AI5:AI24" si="11">AH5*J5*L5</f>
        <v>0</v>
      </c>
      <c r="AJ5" s="44">
        <f>AG5+AI5</f>
        <v>564063.6122962099</v>
      </c>
      <c r="AK5" s="44">
        <f>HLOOKUP(I5,ElecAvoidedCostsWOCC!$A$5:$Q$50,G5+1,FALSE)*J5*L5</f>
        <v>0</v>
      </c>
      <c r="AL5" s="44">
        <f>AG5+AI5-AK5</f>
        <v>564063.6122962099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564063.61229621002</v>
      </c>
      <c r="AN5" s="48">
        <f>AM5*1.1+AD5+AE5</f>
        <v>620469.97352583113</v>
      </c>
      <c r="AO5" s="47">
        <f>IFERROR(AM5/AB5,0)</f>
        <v>3.0440328445103546</v>
      </c>
      <c r="AP5" s="47">
        <f>AN5/AC5</f>
        <v>2.9696632912917291</v>
      </c>
    </row>
    <row r="6" spans="1:42" ht="13.5" customHeight="1" x14ac:dyDescent="0.35">
      <c r="A6" s="53">
        <f>SUMIF('Program Costs'!D:D,C2,'Program Costs'!L:L)</f>
        <v>7136469.6699999999</v>
      </c>
      <c r="B6" s="97" t="s">
        <v>15</v>
      </c>
      <c r="C6" s="61">
        <v>18230162</v>
      </c>
      <c r="D6" s="61" t="s">
        <v>555</v>
      </c>
      <c r="E6" s="38" t="s">
        <v>2138</v>
      </c>
      <c r="F6" s="39" t="s">
        <v>2137</v>
      </c>
      <c r="G6" s="39">
        <v>15</v>
      </c>
      <c r="H6" s="39"/>
      <c r="I6" s="40" t="s">
        <v>273</v>
      </c>
      <c r="J6" s="41">
        <v>810</v>
      </c>
      <c r="K6" s="41">
        <v>2297.4962962962964</v>
      </c>
      <c r="L6" s="41"/>
      <c r="M6" s="42">
        <v>400</v>
      </c>
      <c r="N6" s="42">
        <v>500</v>
      </c>
      <c r="O6" s="43">
        <v>1860972</v>
      </c>
      <c r="P6" s="44">
        <v>328150</v>
      </c>
      <c r="Q6" s="44">
        <v>405000</v>
      </c>
      <c r="R6" s="45">
        <v>0</v>
      </c>
      <c r="S6" s="46">
        <v>0</v>
      </c>
      <c r="T6" s="39">
        <f t="shared" si="0"/>
        <v>15</v>
      </c>
      <c r="U6" s="47">
        <f t="shared" si="1"/>
        <v>1.5342967055133829</v>
      </c>
      <c r="V6" s="48">
        <f t="shared" si="2"/>
        <v>100</v>
      </c>
      <c r="W6" s="49">
        <f t="shared" si="3"/>
        <v>0.10228644703422553</v>
      </c>
      <c r="X6" s="44">
        <f t="shared" si="4"/>
        <v>123532.86819702391</v>
      </c>
      <c r="Y6" s="44">
        <f t="shared" si="5"/>
        <v>76850</v>
      </c>
      <c r="Z6" s="44">
        <f t="shared" si="6"/>
        <v>853496.99510883575</v>
      </c>
      <c r="AA6" s="50">
        <f t="shared" si="7"/>
        <v>528532.86819702387</v>
      </c>
      <c r="AB6" s="51">
        <f t="shared" si="8"/>
        <v>799154.48980228067</v>
      </c>
      <c r="AC6" s="44">
        <f t="shared" si="8"/>
        <v>494880.96273129573</v>
      </c>
      <c r="AD6" s="44">
        <f t="shared" si="9"/>
        <v>0</v>
      </c>
      <c r="AE6" s="44">
        <v>0</v>
      </c>
      <c r="AF6" s="52">
        <f>HLOOKUP(I6,ElecAvoidedCostsWOCC!$A$5:$Q$50,G6+1,FALSE)</f>
        <v>1.3071945815391408</v>
      </c>
      <c r="AG6" s="44">
        <f t="shared" si="10"/>
        <v>2432652.5147960582</v>
      </c>
      <c r="AH6" s="52">
        <f>HLOOKUP(I6,ElecAvoidedCostsWOCC!$A$5:$Q$50,T6+1,FALSE)</f>
        <v>1.3071945815391408</v>
      </c>
      <c r="AI6" s="44">
        <f t="shared" si="11"/>
        <v>0</v>
      </c>
      <c r="AJ6" s="44">
        <f t="shared" ref="AJ6:AJ24" si="12">AG6+AI6</f>
        <v>2432652.5147960582</v>
      </c>
      <c r="AK6" s="44">
        <f>HLOOKUP(I6,ElecAvoidedCostsWOCC!$A$5:$Q$50,G6+1,FALSE)*J6*L6</f>
        <v>0</v>
      </c>
      <c r="AL6" s="44">
        <f t="shared" ref="AL6:AL24" si="13">AG6+AI6-AK6</f>
        <v>2432652.5147960582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2432652.5147960582</v>
      </c>
      <c r="AN6" s="48">
        <f t="shared" ref="AN6:AN24" si="14">AM6*1.1+AD6+AE6</f>
        <v>2675917.7662756643</v>
      </c>
      <c r="AO6" s="47">
        <f t="shared" ref="AO6:AO24" si="15">IFERROR(AM6/AB6,0)</f>
        <v>3.0440328445103555</v>
      </c>
      <c r="AP6" s="47">
        <f t="shared" ref="AP6:AP24" si="16">AN6/AC6</f>
        <v>5.4071947959101445</v>
      </c>
    </row>
    <row r="7" spans="1:42" ht="13.5" customHeight="1" x14ac:dyDescent="0.35">
      <c r="A7" s="36" t="s">
        <v>240</v>
      </c>
      <c r="B7" s="97" t="s">
        <v>15</v>
      </c>
      <c r="C7" s="61">
        <v>18230162</v>
      </c>
      <c r="D7" s="61" t="s">
        <v>555</v>
      </c>
      <c r="E7" s="38" t="s">
        <v>2139</v>
      </c>
      <c r="F7" s="39" t="s">
        <v>2140</v>
      </c>
      <c r="G7" s="39">
        <v>15</v>
      </c>
      <c r="H7" s="39"/>
      <c r="I7" s="40" t="s">
        <v>273</v>
      </c>
      <c r="J7" s="41">
        <v>334</v>
      </c>
      <c r="K7" s="41">
        <v>1065.0688622754492</v>
      </c>
      <c r="L7" s="41"/>
      <c r="M7" s="42">
        <v>400</v>
      </c>
      <c r="N7" s="42">
        <v>500</v>
      </c>
      <c r="O7" s="43">
        <v>355733</v>
      </c>
      <c r="P7" s="44">
        <v>138450</v>
      </c>
      <c r="Q7" s="44">
        <v>167000</v>
      </c>
      <c r="R7" s="45">
        <v>0</v>
      </c>
      <c r="S7" s="46">
        <v>0</v>
      </c>
      <c r="T7" s="39">
        <f t="shared" si="0"/>
        <v>15</v>
      </c>
      <c r="U7" s="47">
        <f t="shared" si="1"/>
        <v>0.29328757764350682</v>
      </c>
      <c r="V7" s="48">
        <f t="shared" si="2"/>
        <v>100</v>
      </c>
      <c r="W7" s="49">
        <f t="shared" si="3"/>
        <v>1.9552505176233789E-2</v>
      </c>
      <c r="X7" s="44">
        <f t="shared" si="4"/>
        <v>23613.852224714774</v>
      </c>
      <c r="Y7" s="44">
        <f t="shared" si="5"/>
        <v>28550</v>
      </c>
      <c r="Z7" s="44">
        <f t="shared" si="6"/>
        <v>163149.71238742521</v>
      </c>
      <c r="AA7" s="50">
        <f t="shared" si="7"/>
        <v>190613.85222471476</v>
      </c>
      <c r="AB7" s="51">
        <f t="shared" si="8"/>
        <v>152761.90298448052</v>
      </c>
      <c r="AC7" s="44">
        <f t="shared" si="8"/>
        <v>178477.38972351569</v>
      </c>
      <c r="AD7" s="44">
        <f t="shared" si="9"/>
        <v>0</v>
      </c>
      <c r="AE7" s="44">
        <v>0</v>
      </c>
      <c r="AF7" s="52">
        <f>HLOOKUP(I7,ElecAvoidedCostsWOCC!$A$5:$Q$50,G7+1,FALSE)</f>
        <v>1.3071945815391408</v>
      </c>
      <c r="AG7" s="44">
        <f t="shared" si="10"/>
        <v>465012.25007466326</v>
      </c>
      <c r="AH7" s="52">
        <f>HLOOKUP(I7,ElecAvoidedCostsWOCC!$A$5:$Q$50,T7+1,FALSE)</f>
        <v>1.3071945815391408</v>
      </c>
      <c r="AI7" s="44">
        <f t="shared" si="11"/>
        <v>0</v>
      </c>
      <c r="AJ7" s="44">
        <f t="shared" si="12"/>
        <v>465012.25007466326</v>
      </c>
      <c r="AK7" s="44">
        <f>HLOOKUP(I7,ElecAvoidedCostsWOCC!$A$5:$Q$50,G7+1,FALSE)*J7*L7</f>
        <v>0</v>
      </c>
      <c r="AL7" s="44">
        <f t="shared" si="13"/>
        <v>465012.25007466326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465012.25007466326</v>
      </c>
      <c r="AN7" s="48">
        <f t="shared" si="14"/>
        <v>511513.47508212965</v>
      </c>
      <c r="AO7" s="47">
        <f t="shared" si="15"/>
        <v>3.0440328445103559</v>
      </c>
      <c r="AP7" s="47">
        <f t="shared" si="16"/>
        <v>2.8659847383163179</v>
      </c>
    </row>
    <row r="8" spans="1:42" ht="13.5" customHeight="1" x14ac:dyDescent="0.35">
      <c r="A8" s="53">
        <f>SUMIF('Program Costs'!D:D,C2,'Program Costs'!O:O)</f>
        <v>1207714.92</v>
      </c>
      <c r="B8" s="97" t="s">
        <v>15</v>
      </c>
      <c r="C8" s="61">
        <v>18230162</v>
      </c>
      <c r="D8" s="61" t="s">
        <v>555</v>
      </c>
      <c r="E8" s="38" t="s">
        <v>2141</v>
      </c>
      <c r="F8" s="39" t="s">
        <v>2140</v>
      </c>
      <c r="G8" s="39">
        <v>15</v>
      </c>
      <c r="H8" s="39"/>
      <c r="I8" s="40" t="s">
        <v>273</v>
      </c>
      <c r="J8" s="41">
        <v>152</v>
      </c>
      <c r="K8" s="41">
        <v>470.2236842105263</v>
      </c>
      <c r="L8" s="41"/>
      <c r="M8" s="42">
        <v>400</v>
      </c>
      <c r="N8" s="42">
        <v>500</v>
      </c>
      <c r="O8" s="43">
        <v>71474</v>
      </c>
      <c r="P8" s="44">
        <v>61650</v>
      </c>
      <c r="Q8" s="44">
        <v>76000</v>
      </c>
      <c r="R8" s="45">
        <v>0</v>
      </c>
      <c r="S8" s="46">
        <v>0</v>
      </c>
      <c r="T8" s="39">
        <f t="shared" si="0"/>
        <v>15</v>
      </c>
      <c r="U8" s="47">
        <f t="shared" si="1"/>
        <v>5.8927443685269587E-2</v>
      </c>
      <c r="V8" s="48">
        <f t="shared" si="2"/>
        <v>100</v>
      </c>
      <c r="W8" s="49">
        <f t="shared" si="3"/>
        <v>3.9284962456846394E-3</v>
      </c>
      <c r="X8" s="44">
        <f t="shared" si="4"/>
        <v>4744.5035290773239</v>
      </c>
      <c r="Y8" s="44">
        <f t="shared" si="5"/>
        <v>14350</v>
      </c>
      <c r="Z8" s="44">
        <f t="shared" si="6"/>
        <v>32780.097835114619</v>
      </c>
      <c r="AA8" s="50">
        <f t="shared" si="7"/>
        <v>80744.503529077323</v>
      </c>
      <c r="AB8" s="51">
        <f t="shared" si="8"/>
        <v>30692.975501043649</v>
      </c>
      <c r="AC8" s="44">
        <f t="shared" si="8"/>
        <v>75603.467723855167</v>
      </c>
      <c r="AD8" s="44">
        <f t="shared" si="9"/>
        <v>0</v>
      </c>
      <c r="AE8" s="44">
        <v>0</v>
      </c>
      <c r="AF8" s="52">
        <f>HLOOKUP(I8,ElecAvoidedCostsWOCC!$A$5:$Q$50,G8+1,FALSE)</f>
        <v>1.3071945815391408</v>
      </c>
      <c r="AG8" s="44">
        <f t="shared" si="10"/>
        <v>93430.425520928547</v>
      </c>
      <c r="AH8" s="52">
        <f>HLOOKUP(I8,ElecAvoidedCostsWOCC!$A$5:$Q$50,T8+1,FALSE)</f>
        <v>1.3071945815391408</v>
      </c>
      <c r="AI8" s="44">
        <f t="shared" si="11"/>
        <v>0</v>
      </c>
      <c r="AJ8" s="44">
        <f t="shared" si="12"/>
        <v>93430.425520928547</v>
      </c>
      <c r="AK8" s="44">
        <f>HLOOKUP(I8,ElecAvoidedCostsWOCC!$A$5:$Q$50,G8+1,FALSE)*J8*L8</f>
        <v>0</v>
      </c>
      <c r="AL8" s="44">
        <f t="shared" si="13"/>
        <v>93430.425520928547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93430.425520928547</v>
      </c>
      <c r="AN8" s="48">
        <f t="shared" si="14"/>
        <v>102773.46807302142</v>
      </c>
      <c r="AO8" s="47">
        <f t="shared" si="15"/>
        <v>3.0440328445103555</v>
      </c>
      <c r="AP8" s="47">
        <f t="shared" si="16"/>
        <v>1.3593750547052394</v>
      </c>
    </row>
    <row r="9" spans="1:42" ht="13.5" customHeight="1" x14ac:dyDescent="0.35">
      <c r="A9" s="36" t="s">
        <v>242</v>
      </c>
      <c r="B9" s="97" t="s">
        <v>15</v>
      </c>
      <c r="C9" s="61">
        <v>18230162</v>
      </c>
      <c r="D9" s="61" t="s">
        <v>555</v>
      </c>
      <c r="E9" s="38" t="s">
        <v>2142</v>
      </c>
      <c r="F9" s="39" t="s">
        <v>2143</v>
      </c>
      <c r="G9" s="39">
        <v>15</v>
      </c>
      <c r="H9" s="39"/>
      <c r="I9" s="40" t="s">
        <v>273</v>
      </c>
      <c r="J9" s="41">
        <v>817</v>
      </c>
      <c r="K9" s="41">
        <v>1512.6646266829866</v>
      </c>
      <c r="L9" s="41"/>
      <c r="M9" s="42">
        <v>600</v>
      </c>
      <c r="N9" s="42">
        <v>840</v>
      </c>
      <c r="O9" s="43">
        <v>1235847</v>
      </c>
      <c r="P9" s="44">
        <v>490300</v>
      </c>
      <c r="Q9" s="44">
        <v>686280</v>
      </c>
      <c r="R9" s="45">
        <v>0</v>
      </c>
      <c r="S9" s="46">
        <v>0</v>
      </c>
      <c r="T9" s="39">
        <f t="shared" si="0"/>
        <v>15</v>
      </c>
      <c r="U9" s="47">
        <f t="shared" si="1"/>
        <v>1.0189062385777958</v>
      </c>
      <c r="V9" s="48">
        <f t="shared" si="2"/>
        <v>240</v>
      </c>
      <c r="W9" s="49">
        <f t="shared" si="3"/>
        <v>6.7927082571853051E-2</v>
      </c>
      <c r="X9" s="44">
        <f t="shared" si="4"/>
        <v>82036.55109409889</v>
      </c>
      <c r="Y9" s="44">
        <f t="shared" si="5"/>
        <v>195980</v>
      </c>
      <c r="Z9" s="44">
        <f t="shared" si="6"/>
        <v>566796.11563971383</v>
      </c>
      <c r="AA9" s="50">
        <f t="shared" si="7"/>
        <v>768316.55109409895</v>
      </c>
      <c r="AB9" s="51">
        <f t="shared" si="8"/>
        <v>530707.97344542493</v>
      </c>
      <c r="AC9" s="44">
        <f t="shared" si="8"/>
        <v>719397.51975102897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1.3071945815391408</v>
      </c>
      <c r="AG9" s="44">
        <f t="shared" si="10"/>
        <v>1615492.5020114027</v>
      </c>
      <c r="AH9" s="52">
        <f>HLOOKUP(I9,ElecAvoidedCostsWOCC!$A$5:$Q$50,T9+1,FALSE)</f>
        <v>1.3071945815391408</v>
      </c>
      <c r="AI9" s="44">
        <f t="shared" si="11"/>
        <v>0</v>
      </c>
      <c r="AJ9" s="44">
        <f t="shared" si="12"/>
        <v>1615492.5020114027</v>
      </c>
      <c r="AK9" s="44">
        <f>HLOOKUP(I9,ElecAvoidedCostsWOCC!$A$5:$Q$50,G9+1,FALSE)*J9*L9</f>
        <v>0</v>
      </c>
      <c r="AL9" s="44">
        <f t="shared" si="13"/>
        <v>1615492.5020114027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1615492.5020114027</v>
      </c>
      <c r="AN9" s="48">
        <f t="shared" si="14"/>
        <v>1777041.7522125433</v>
      </c>
      <c r="AO9" s="47">
        <f t="shared" si="15"/>
        <v>3.0440328445103551</v>
      </c>
      <c r="AP9" s="47">
        <f t="shared" si="16"/>
        <v>2.4701805377749242</v>
      </c>
    </row>
    <row r="10" spans="1:42" ht="13.5" customHeight="1" x14ac:dyDescent="0.35">
      <c r="A10" s="54">
        <f>SUM(O5:O999)</f>
        <v>18193730</v>
      </c>
      <c r="B10" s="97" t="s">
        <v>15</v>
      </c>
      <c r="C10" s="61">
        <v>18230162</v>
      </c>
      <c r="D10" s="61" t="s">
        <v>555</v>
      </c>
      <c r="E10" s="38" t="s">
        <v>2144</v>
      </c>
      <c r="F10" s="39" t="s">
        <v>2143</v>
      </c>
      <c r="G10" s="39">
        <v>15</v>
      </c>
      <c r="H10" s="39"/>
      <c r="I10" s="40" t="s">
        <v>273</v>
      </c>
      <c r="J10" s="41">
        <v>1625</v>
      </c>
      <c r="K10" s="41">
        <v>2761.8430769230768</v>
      </c>
      <c r="L10" s="41"/>
      <c r="M10" s="42">
        <v>600</v>
      </c>
      <c r="N10" s="42">
        <v>840</v>
      </c>
      <c r="O10" s="43">
        <v>4487995</v>
      </c>
      <c r="P10" s="44">
        <v>981400</v>
      </c>
      <c r="Q10" s="44">
        <v>1365000</v>
      </c>
      <c r="R10" s="45">
        <v>0</v>
      </c>
      <c r="S10" s="46">
        <v>0</v>
      </c>
      <c r="T10" s="39">
        <f t="shared" si="0"/>
        <v>15</v>
      </c>
      <c r="U10" s="47">
        <f t="shared" si="1"/>
        <v>3.7001717075058278</v>
      </c>
      <c r="V10" s="48">
        <f t="shared" si="2"/>
        <v>240</v>
      </c>
      <c r="W10" s="49">
        <f t="shared" si="3"/>
        <v>0.24667811383372185</v>
      </c>
      <c r="X10" s="44">
        <f t="shared" si="4"/>
        <v>297916.83851444424</v>
      </c>
      <c r="Y10" s="44">
        <f t="shared" si="5"/>
        <v>383600</v>
      </c>
      <c r="Z10" s="44">
        <f t="shared" si="6"/>
        <v>2058327.7161416076</v>
      </c>
      <c r="AA10" s="50">
        <f t="shared" si="7"/>
        <v>1662916.8385144442</v>
      </c>
      <c r="AB10" s="51">
        <f t="shared" si="8"/>
        <v>1927273.1424546887</v>
      </c>
      <c r="AC10" s="44">
        <f t="shared" si="8"/>
        <v>1557038.2383094046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1.3071945815391408</v>
      </c>
      <c r="AG10" s="44">
        <f t="shared" si="10"/>
        <v>5866682.7459747568</v>
      </c>
      <c r="AH10" s="52">
        <f>HLOOKUP(I10,ElecAvoidedCostsWOCC!$A$5:$Q$50,T10+1,FALSE)</f>
        <v>1.3071945815391408</v>
      </c>
      <c r="AI10" s="44">
        <f t="shared" si="11"/>
        <v>0</v>
      </c>
      <c r="AJ10" s="44">
        <f t="shared" si="12"/>
        <v>5866682.7459747568</v>
      </c>
      <c r="AK10" s="44">
        <f>HLOOKUP(I10,ElecAvoidedCostsWOCC!$A$5:$Q$50,G10+1,FALSE)*J10*L10</f>
        <v>0</v>
      </c>
      <c r="AL10" s="44">
        <f t="shared" si="13"/>
        <v>5866682.7459747568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5866682.7459747558</v>
      </c>
      <c r="AN10" s="48">
        <f t="shared" si="14"/>
        <v>6453351.0205722321</v>
      </c>
      <c r="AO10" s="47">
        <f t="shared" si="15"/>
        <v>3.0440328445103546</v>
      </c>
      <c r="AP10" s="47">
        <f t="shared" si="16"/>
        <v>4.1446323293762708</v>
      </c>
    </row>
    <row r="11" spans="1:42" ht="13.5" customHeight="1" x14ac:dyDescent="0.35">
      <c r="A11" s="36" t="s">
        <v>243</v>
      </c>
      <c r="B11" s="97" t="s">
        <v>15</v>
      </c>
      <c r="C11" s="61">
        <v>18230162</v>
      </c>
      <c r="D11" s="61" t="s">
        <v>555</v>
      </c>
      <c r="E11" s="38" t="s">
        <v>2145</v>
      </c>
      <c r="F11" s="39" t="s">
        <v>2146</v>
      </c>
      <c r="G11" s="39">
        <v>15</v>
      </c>
      <c r="H11" s="39"/>
      <c r="I11" s="40" t="s">
        <v>273</v>
      </c>
      <c r="J11" s="41">
        <v>177</v>
      </c>
      <c r="K11" s="41">
        <v>1732.9435028248588</v>
      </c>
      <c r="L11" s="41"/>
      <c r="M11" s="42">
        <v>600</v>
      </c>
      <c r="N11" s="42">
        <v>840</v>
      </c>
      <c r="O11" s="43">
        <v>306731</v>
      </c>
      <c r="P11" s="44">
        <v>106300</v>
      </c>
      <c r="Q11" s="44">
        <v>148680</v>
      </c>
      <c r="R11" s="45">
        <v>0</v>
      </c>
      <c r="S11" s="46">
        <v>0</v>
      </c>
      <c r="T11" s="39">
        <f t="shared" si="0"/>
        <v>15</v>
      </c>
      <c r="U11" s="47">
        <f t="shared" si="1"/>
        <v>0.25288739582262676</v>
      </c>
      <c r="V11" s="48">
        <f t="shared" si="2"/>
        <v>240</v>
      </c>
      <c r="W11" s="49">
        <f t="shared" si="3"/>
        <v>1.6859159721508452E-2</v>
      </c>
      <c r="X11" s="44">
        <f t="shared" si="4"/>
        <v>20361.058734328803</v>
      </c>
      <c r="Y11" s="44">
        <f t="shared" si="5"/>
        <v>42380</v>
      </c>
      <c r="Z11" s="44">
        <f t="shared" si="6"/>
        <v>140675.94074855951</v>
      </c>
      <c r="AA11" s="50">
        <f t="shared" si="7"/>
        <v>169041.05873432881</v>
      </c>
      <c r="AB11" s="51">
        <f t="shared" si="8"/>
        <v>131719.04564471863</v>
      </c>
      <c r="AC11" s="44">
        <f t="shared" si="8"/>
        <v>158278.14488233032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1.3071945815391408</v>
      </c>
      <c r="AG11" s="44">
        <f t="shared" si="10"/>
        <v>400957.1011900822</v>
      </c>
      <c r="AH11" s="52">
        <f>HLOOKUP(I11,ElecAvoidedCostsWOCC!$A$5:$Q$50,T11+1,FALSE)</f>
        <v>1.3071945815391408</v>
      </c>
      <c r="AI11" s="44">
        <f t="shared" si="11"/>
        <v>0</v>
      </c>
      <c r="AJ11" s="44">
        <f t="shared" si="12"/>
        <v>400957.1011900822</v>
      </c>
      <c r="AK11" s="44">
        <f>HLOOKUP(I11,ElecAvoidedCostsWOCC!$A$5:$Q$50,G11+1,FALSE)*J11*L11</f>
        <v>0</v>
      </c>
      <c r="AL11" s="44">
        <f t="shared" si="13"/>
        <v>400957.1011900822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400957.1011900822</v>
      </c>
      <c r="AN11" s="48">
        <f t="shared" si="14"/>
        <v>441052.81130909047</v>
      </c>
      <c r="AO11" s="47">
        <f t="shared" si="15"/>
        <v>3.0440328445103555</v>
      </c>
      <c r="AP11" s="47">
        <f t="shared" si="16"/>
        <v>2.7865679853462084</v>
      </c>
    </row>
    <row r="12" spans="1:42" ht="13.5" customHeight="1" x14ac:dyDescent="0.35">
      <c r="A12" s="55">
        <f>SUM(P5:P1000)</f>
        <v>4576700</v>
      </c>
      <c r="B12" s="97" t="s">
        <v>15</v>
      </c>
      <c r="C12" s="61">
        <v>18230162</v>
      </c>
      <c r="D12" s="61" t="s">
        <v>555</v>
      </c>
      <c r="E12" s="38" t="s">
        <v>2147</v>
      </c>
      <c r="F12" s="39" t="s">
        <v>2146</v>
      </c>
      <c r="G12" s="39">
        <v>15</v>
      </c>
      <c r="H12" s="39"/>
      <c r="I12" s="40" t="s">
        <v>273</v>
      </c>
      <c r="J12" s="41">
        <v>460</v>
      </c>
      <c r="K12" s="41">
        <v>1147.5347826086957</v>
      </c>
      <c r="L12" s="41"/>
      <c r="M12" s="42">
        <v>600</v>
      </c>
      <c r="N12" s="42">
        <v>840</v>
      </c>
      <c r="O12" s="43">
        <v>527866</v>
      </c>
      <c r="P12" s="44">
        <v>276500</v>
      </c>
      <c r="Q12" s="44">
        <v>386400</v>
      </c>
      <c r="R12" s="45">
        <v>0</v>
      </c>
      <c r="S12" s="46">
        <v>0</v>
      </c>
      <c r="T12" s="39">
        <f t="shared" si="0"/>
        <v>15</v>
      </c>
      <c r="U12" s="47">
        <f t="shared" si="1"/>
        <v>0.43520432588589586</v>
      </c>
      <c r="V12" s="48">
        <f t="shared" si="2"/>
        <v>240</v>
      </c>
      <c r="W12" s="49">
        <f t="shared" si="3"/>
        <v>2.9013621725726392E-2</v>
      </c>
      <c r="X12" s="44">
        <f t="shared" si="4"/>
        <v>35040.183841395912</v>
      </c>
      <c r="Y12" s="44">
        <f t="shared" si="5"/>
        <v>109900</v>
      </c>
      <c r="Z12" s="44">
        <f t="shared" si="6"/>
        <v>242095.01530389537</v>
      </c>
      <c r="AA12" s="50">
        <f t="shared" si="7"/>
        <v>421440.18384139589</v>
      </c>
      <c r="AB12" s="51">
        <f t="shared" si="8"/>
        <v>226680.72593997692</v>
      </c>
      <c r="AC12" s="44">
        <f t="shared" si="8"/>
        <v>394606.91370917216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1.3071945815391408</v>
      </c>
      <c r="AG12" s="44">
        <f t="shared" si="10"/>
        <v>690023.57497874019</v>
      </c>
      <c r="AH12" s="52">
        <f>HLOOKUP(I12,ElecAvoidedCostsWOCC!$A$5:$Q$50,T12+1,FALSE)</f>
        <v>1.3071945815391408</v>
      </c>
      <c r="AI12" s="44">
        <f t="shared" si="11"/>
        <v>0</v>
      </c>
      <c r="AJ12" s="44">
        <f t="shared" si="12"/>
        <v>690023.57497874019</v>
      </c>
      <c r="AK12" s="44">
        <f>HLOOKUP(I12,ElecAvoidedCostsWOCC!$A$5:$Q$50,G12+1,FALSE)*J12*L12</f>
        <v>0</v>
      </c>
      <c r="AL12" s="44">
        <f t="shared" si="13"/>
        <v>690023.57497874019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690023.57497874007</v>
      </c>
      <c r="AN12" s="48">
        <f t="shared" si="14"/>
        <v>759025.93247661414</v>
      </c>
      <c r="AO12" s="47">
        <f t="shared" si="15"/>
        <v>3.0440328445103546</v>
      </c>
      <c r="AP12" s="47">
        <f t="shared" si="16"/>
        <v>1.9234988189690492</v>
      </c>
    </row>
    <row r="13" spans="1:42" ht="13.5" customHeight="1" x14ac:dyDescent="0.35">
      <c r="A13" s="56" t="s">
        <v>246</v>
      </c>
      <c r="B13" s="97" t="s">
        <v>15</v>
      </c>
      <c r="C13" s="61">
        <v>18230162</v>
      </c>
      <c r="D13" s="61" t="s">
        <v>555</v>
      </c>
      <c r="E13" s="38" t="s">
        <v>2148</v>
      </c>
      <c r="F13" s="39" t="s">
        <v>2149</v>
      </c>
      <c r="G13" s="39">
        <v>15</v>
      </c>
      <c r="H13" s="39"/>
      <c r="I13" s="40" t="s">
        <v>273</v>
      </c>
      <c r="J13" s="41">
        <v>1</v>
      </c>
      <c r="K13" s="41">
        <v>3254</v>
      </c>
      <c r="L13" s="41"/>
      <c r="M13" s="42">
        <v>300</v>
      </c>
      <c r="N13" s="42">
        <v>450</v>
      </c>
      <c r="O13" s="43">
        <v>3254</v>
      </c>
      <c r="P13" s="44">
        <v>300</v>
      </c>
      <c r="Q13" s="44">
        <v>450</v>
      </c>
      <c r="R13" s="45">
        <v>0</v>
      </c>
      <c r="S13" s="46">
        <v>0</v>
      </c>
      <c r="T13" s="39">
        <f t="shared" si="0"/>
        <v>15</v>
      </c>
      <c r="U13" s="47">
        <f t="shared" si="1"/>
        <v>2.6827923685797252E-3</v>
      </c>
      <c r="V13" s="48">
        <f t="shared" si="2"/>
        <v>150</v>
      </c>
      <c r="W13" s="49">
        <f t="shared" si="3"/>
        <v>1.7885282457198167E-4</v>
      </c>
      <c r="X13" s="44">
        <f t="shared" si="4"/>
        <v>216.00322471972487</v>
      </c>
      <c r="Y13" s="44">
        <f t="shared" si="5"/>
        <v>150</v>
      </c>
      <c r="Z13" s="44">
        <f t="shared" si="6"/>
        <v>1492.3809826715028</v>
      </c>
      <c r="AA13" s="50">
        <f t="shared" si="7"/>
        <v>666.00322471972481</v>
      </c>
      <c r="AB13" s="51">
        <f t="shared" si="8"/>
        <v>1397.3604706662011</v>
      </c>
      <c r="AC13" s="44">
        <f t="shared" si="8"/>
        <v>623.59852501846888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1.3071945815391408</v>
      </c>
      <c r="AG13" s="44">
        <f t="shared" si="10"/>
        <v>4253.6111683283643</v>
      </c>
      <c r="AH13" s="52">
        <f>HLOOKUP(I13,ElecAvoidedCostsWOCC!$A$5:$Q$50,T13+1,FALSE)</f>
        <v>1.3071945815391408</v>
      </c>
      <c r="AI13" s="44">
        <f t="shared" si="11"/>
        <v>0</v>
      </c>
      <c r="AJ13" s="44">
        <f t="shared" si="12"/>
        <v>4253.6111683283643</v>
      </c>
      <c r="AK13" s="44">
        <f>HLOOKUP(I13,ElecAvoidedCostsWOCC!$A$5:$Q$50,G13+1,FALSE)*J13*L13</f>
        <v>0</v>
      </c>
      <c r="AL13" s="44">
        <f t="shared" si="13"/>
        <v>4253.6111683283643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4253.6111683283643</v>
      </c>
      <c r="AN13" s="48">
        <f t="shared" si="14"/>
        <v>4678.9722851612014</v>
      </c>
      <c r="AO13" s="47">
        <f t="shared" si="15"/>
        <v>3.0440328445103551</v>
      </c>
      <c r="AP13" s="47">
        <f t="shared" si="16"/>
        <v>7.5031804878349035</v>
      </c>
    </row>
    <row r="14" spans="1:42" ht="13.5" customHeight="1" x14ac:dyDescent="0.35">
      <c r="A14" s="55">
        <f>SUM(Y5:Y1000)</f>
        <v>1399498.7599999998</v>
      </c>
      <c r="B14" s="97" t="s">
        <v>15</v>
      </c>
      <c r="C14" s="61">
        <v>18230162</v>
      </c>
      <c r="D14" s="61" t="s">
        <v>555</v>
      </c>
      <c r="E14" s="38" t="s">
        <v>2150</v>
      </c>
      <c r="F14" s="39" t="s">
        <v>2151</v>
      </c>
      <c r="G14" s="39">
        <v>15</v>
      </c>
      <c r="H14" s="39"/>
      <c r="I14" s="40" t="s">
        <v>273</v>
      </c>
      <c r="J14" s="41">
        <v>294</v>
      </c>
      <c r="K14" s="41">
        <v>4442.8979591836733</v>
      </c>
      <c r="L14" s="41"/>
      <c r="M14" s="42">
        <v>300</v>
      </c>
      <c r="N14" s="42">
        <v>450</v>
      </c>
      <c r="O14" s="43">
        <v>1306212</v>
      </c>
      <c r="P14" s="44">
        <v>88200</v>
      </c>
      <c r="Q14" s="44">
        <v>132300</v>
      </c>
      <c r="R14" s="45">
        <v>0</v>
      </c>
      <c r="S14" s="46">
        <v>0</v>
      </c>
      <c r="T14" s="39">
        <f t="shared" si="0"/>
        <v>15</v>
      </c>
      <c r="U14" s="47">
        <f t="shared" si="1"/>
        <v>1.0769193562837307</v>
      </c>
      <c r="V14" s="48">
        <f t="shared" si="2"/>
        <v>150</v>
      </c>
      <c r="W14" s="49">
        <f t="shared" si="3"/>
        <v>7.179462375224871E-2</v>
      </c>
      <c r="X14" s="44">
        <f t="shared" si="4"/>
        <v>86707.438281377152</v>
      </c>
      <c r="Y14" s="44">
        <f t="shared" si="5"/>
        <v>44100</v>
      </c>
      <c r="Z14" s="44">
        <f t="shared" si="6"/>
        <v>599067.59315836162</v>
      </c>
      <c r="AA14" s="50">
        <f t="shared" si="7"/>
        <v>219007.43828137714</v>
      </c>
      <c r="AB14" s="51">
        <f t="shared" si="8"/>
        <v>560924.71269509511</v>
      </c>
      <c r="AC14" s="44">
        <f t="shared" si="8"/>
        <v>205063.14445821827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1.3071945815391408</v>
      </c>
      <c r="AG14" s="44">
        <f t="shared" si="10"/>
        <v>1707473.2487414042</v>
      </c>
      <c r="AH14" s="52">
        <f>HLOOKUP(I14,ElecAvoidedCostsWOCC!$A$5:$Q$50,T14+1,FALSE)</f>
        <v>1.3071945815391408</v>
      </c>
      <c r="AI14" s="44">
        <f t="shared" si="11"/>
        <v>0</v>
      </c>
      <c r="AJ14" s="44">
        <f t="shared" si="12"/>
        <v>1707473.2487414042</v>
      </c>
      <c r="AK14" s="44">
        <f>HLOOKUP(I14,ElecAvoidedCostsWOCC!$A$5:$Q$50,G14+1,FALSE)*J14*L14</f>
        <v>0</v>
      </c>
      <c r="AL14" s="44">
        <f t="shared" si="13"/>
        <v>1707473.2487414042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1707473.2487414042</v>
      </c>
      <c r="AN14" s="48">
        <f t="shared" si="14"/>
        <v>1878220.5736155447</v>
      </c>
      <c r="AO14" s="47">
        <f t="shared" si="15"/>
        <v>3.0440328445103555</v>
      </c>
      <c r="AP14" s="47">
        <f t="shared" si="16"/>
        <v>9.1592303364792755</v>
      </c>
    </row>
    <row r="15" spans="1:42" ht="13.5" customHeight="1" x14ac:dyDescent="0.35">
      <c r="A15" s="57" t="s">
        <v>249</v>
      </c>
      <c r="B15" s="97" t="s">
        <v>15</v>
      </c>
      <c r="C15" s="61">
        <v>18230162</v>
      </c>
      <c r="D15" s="61" t="s">
        <v>555</v>
      </c>
      <c r="E15" s="38" t="s">
        <v>2152</v>
      </c>
      <c r="F15" s="39" t="s">
        <v>2151</v>
      </c>
      <c r="G15" s="39">
        <v>15</v>
      </c>
      <c r="H15" s="39"/>
      <c r="I15" s="40" t="s">
        <v>273</v>
      </c>
      <c r="J15" s="41">
        <v>662</v>
      </c>
      <c r="K15" s="41">
        <v>3203.2552870090635</v>
      </c>
      <c r="L15" s="41"/>
      <c r="M15" s="42">
        <v>300</v>
      </c>
      <c r="N15" s="42">
        <v>450</v>
      </c>
      <c r="O15" s="43">
        <v>2120555</v>
      </c>
      <c r="P15" s="44">
        <v>200950</v>
      </c>
      <c r="Q15" s="44">
        <v>297900</v>
      </c>
      <c r="R15" s="45">
        <v>0</v>
      </c>
      <c r="S15" s="46">
        <v>0</v>
      </c>
      <c r="T15" s="39">
        <f t="shared" si="0"/>
        <v>15</v>
      </c>
      <c r="U15" s="47">
        <f t="shared" si="1"/>
        <v>1.7483124680865332</v>
      </c>
      <c r="V15" s="48">
        <f t="shared" si="2"/>
        <v>150</v>
      </c>
      <c r="W15" s="49">
        <f t="shared" si="3"/>
        <v>0.11655416453910221</v>
      </c>
      <c r="X15" s="44">
        <f t="shared" si="4"/>
        <v>140764.20350200866</v>
      </c>
      <c r="Y15" s="44">
        <f t="shared" si="5"/>
        <v>96950</v>
      </c>
      <c r="Z15" s="44">
        <f t="shared" si="6"/>
        <v>972549.46364750108</v>
      </c>
      <c r="AA15" s="50">
        <f t="shared" si="7"/>
        <v>438664.20350200869</v>
      </c>
      <c r="AB15" s="51">
        <f t="shared" si="8"/>
        <v>910626.83862125559</v>
      </c>
      <c r="AC15" s="44">
        <f t="shared" si="8"/>
        <v>410734.27294195566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1.3071945815391408</v>
      </c>
      <c r="AG15" s="44">
        <f t="shared" si="10"/>
        <v>2771978.0058557326</v>
      </c>
      <c r="AH15" s="52">
        <f>HLOOKUP(I15,ElecAvoidedCostsWOCC!$A$5:$Q$50,T15+1,FALSE)</f>
        <v>1.3071945815391408</v>
      </c>
      <c r="AI15" s="44">
        <f t="shared" si="11"/>
        <v>0</v>
      </c>
      <c r="AJ15" s="44">
        <f t="shared" si="12"/>
        <v>2771978.0058557326</v>
      </c>
      <c r="AK15" s="44">
        <f>HLOOKUP(I15,ElecAvoidedCostsWOCC!$A$5:$Q$50,G15+1,FALSE)*J15*L15</f>
        <v>0</v>
      </c>
      <c r="AL15" s="44">
        <f t="shared" si="13"/>
        <v>2771978.0058557326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2771978.0058557326</v>
      </c>
      <c r="AN15" s="48">
        <f t="shared" si="14"/>
        <v>3049175.8064413061</v>
      </c>
      <c r="AO15" s="47">
        <f t="shared" si="15"/>
        <v>3.0440328445103551</v>
      </c>
      <c r="AP15" s="47">
        <f t="shared" si="16"/>
        <v>7.4237189524045659</v>
      </c>
    </row>
    <row r="16" spans="1:42" ht="13.5" customHeight="1" x14ac:dyDescent="0.35">
      <c r="A16" s="54">
        <f>SUM(U5:U999)</f>
        <v>14.771184358567483</v>
      </c>
      <c r="B16" s="97" t="s">
        <v>15</v>
      </c>
      <c r="C16" s="61">
        <v>18230162</v>
      </c>
      <c r="D16" s="61" t="s">
        <v>555</v>
      </c>
      <c r="E16" s="38" t="s">
        <v>2153</v>
      </c>
      <c r="F16" s="39" t="s">
        <v>2154</v>
      </c>
      <c r="G16" s="39">
        <v>15</v>
      </c>
      <c r="H16" s="39"/>
      <c r="I16" s="40" t="s">
        <v>273</v>
      </c>
      <c r="J16" s="41">
        <v>32</v>
      </c>
      <c r="K16" s="41">
        <v>405.375</v>
      </c>
      <c r="L16" s="41"/>
      <c r="M16" s="42">
        <v>300</v>
      </c>
      <c r="N16" s="42">
        <v>450</v>
      </c>
      <c r="O16" s="43">
        <v>12972</v>
      </c>
      <c r="P16" s="44">
        <v>9600</v>
      </c>
      <c r="Q16" s="44">
        <v>14400</v>
      </c>
      <c r="R16" s="45">
        <v>0</v>
      </c>
      <c r="S16" s="46">
        <v>0</v>
      </c>
      <c r="T16" s="39">
        <f t="shared" si="0"/>
        <v>15</v>
      </c>
      <c r="U16" s="47">
        <f t="shared" si="1"/>
        <v>1.069489324069336E-2</v>
      </c>
      <c r="V16" s="48">
        <f t="shared" si="2"/>
        <v>150</v>
      </c>
      <c r="W16" s="49">
        <f t="shared" si="3"/>
        <v>7.129928827128907E-4</v>
      </c>
      <c r="X16" s="44">
        <f t="shared" si="4"/>
        <v>861.09214230616817</v>
      </c>
      <c r="Y16" s="44">
        <f t="shared" si="5"/>
        <v>4800</v>
      </c>
      <c r="Z16" s="44">
        <f t="shared" si="6"/>
        <v>5949.3442247125795</v>
      </c>
      <c r="AA16" s="50">
        <f t="shared" si="7"/>
        <v>15261.092142306168</v>
      </c>
      <c r="AB16" s="51">
        <f t="shared" si="8"/>
        <v>5570.5470268844374</v>
      </c>
      <c r="AC16" s="44">
        <f t="shared" si="8"/>
        <v>14289.412118264201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1.3071945815391408</v>
      </c>
      <c r="AG16" s="44">
        <f t="shared" si="10"/>
        <v>16956.928111725734</v>
      </c>
      <c r="AH16" s="52">
        <f>HLOOKUP(I16,ElecAvoidedCostsWOCC!$A$5:$Q$50,T16+1,FALSE)</f>
        <v>1.3071945815391408</v>
      </c>
      <c r="AI16" s="44">
        <f t="shared" si="11"/>
        <v>0</v>
      </c>
      <c r="AJ16" s="44">
        <f t="shared" si="12"/>
        <v>16956.928111725734</v>
      </c>
      <c r="AK16" s="44">
        <f>HLOOKUP(I16,ElecAvoidedCostsWOCC!$A$5:$Q$50,G16+1,FALSE)*J16*L16</f>
        <v>0</v>
      </c>
      <c r="AL16" s="44">
        <f t="shared" si="13"/>
        <v>16956.928111725734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16956.928111725734</v>
      </c>
      <c r="AN16" s="48">
        <f t="shared" si="14"/>
        <v>18652.62092289831</v>
      </c>
      <c r="AO16" s="47">
        <f t="shared" si="15"/>
        <v>3.0440328445103551</v>
      </c>
      <c r="AP16" s="47">
        <f t="shared" si="16"/>
        <v>1.3053455781471384</v>
      </c>
    </row>
    <row r="17" spans="1:42" ht="13.5" customHeight="1" x14ac:dyDescent="0.35">
      <c r="A17" s="58" t="s">
        <v>252</v>
      </c>
      <c r="B17" s="97" t="s">
        <v>15</v>
      </c>
      <c r="C17" s="61">
        <v>18230162</v>
      </c>
      <c r="D17" s="61" t="s">
        <v>555</v>
      </c>
      <c r="E17" s="38" t="s">
        <v>2155</v>
      </c>
      <c r="F17" s="39" t="s">
        <v>2156</v>
      </c>
      <c r="G17" s="39">
        <v>15</v>
      </c>
      <c r="H17" s="39"/>
      <c r="I17" s="40" t="s">
        <v>273</v>
      </c>
      <c r="J17" s="41">
        <v>163</v>
      </c>
      <c r="K17" s="41">
        <v>5830.3251533742332</v>
      </c>
      <c r="L17" s="41"/>
      <c r="M17" s="42">
        <v>500</v>
      </c>
      <c r="N17" s="42">
        <v>732</v>
      </c>
      <c r="O17" s="43">
        <v>950343</v>
      </c>
      <c r="P17" s="44">
        <v>81500</v>
      </c>
      <c r="Q17" s="44">
        <v>119316</v>
      </c>
      <c r="R17" s="45">
        <v>0</v>
      </c>
      <c r="S17" s="46">
        <v>0</v>
      </c>
      <c r="T17" s="39">
        <f t="shared" si="0"/>
        <v>15</v>
      </c>
      <c r="U17" s="47">
        <f t="shared" si="1"/>
        <v>0.7835196520999268</v>
      </c>
      <c r="V17" s="48">
        <f t="shared" si="2"/>
        <v>232</v>
      </c>
      <c r="W17" s="49">
        <f t="shared" si="3"/>
        <v>5.223464347332845E-2</v>
      </c>
      <c r="X17" s="44">
        <f t="shared" si="4"/>
        <v>63084.558263619387</v>
      </c>
      <c r="Y17" s="44">
        <f t="shared" si="5"/>
        <v>37816</v>
      </c>
      <c r="Z17" s="44">
        <f t="shared" si="6"/>
        <v>435855.50713429129</v>
      </c>
      <c r="AA17" s="50">
        <f t="shared" si="7"/>
        <v>182400.55826361937</v>
      </c>
      <c r="AB17" s="51">
        <f t="shared" si="8"/>
        <v>408104.40742911166</v>
      </c>
      <c r="AC17" s="44">
        <f t="shared" si="8"/>
        <v>170787.03957267731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1.3071945815391408</v>
      </c>
      <c r="AG17" s="44">
        <f t="shared" si="10"/>
        <v>1242283.2202036518</v>
      </c>
      <c r="AH17" s="52">
        <f>HLOOKUP(I17,ElecAvoidedCostsWOCC!$A$5:$Q$50,T17+1,FALSE)</f>
        <v>1.3071945815391408</v>
      </c>
      <c r="AI17" s="44">
        <f t="shared" si="11"/>
        <v>0</v>
      </c>
      <c r="AJ17" s="44">
        <f t="shared" si="12"/>
        <v>1242283.2202036518</v>
      </c>
      <c r="AK17" s="44">
        <f>HLOOKUP(I17,ElecAvoidedCostsWOCC!$A$5:$Q$50,G17+1,FALSE)*J17*L17</f>
        <v>0</v>
      </c>
      <c r="AL17" s="44">
        <f t="shared" si="13"/>
        <v>1242283.2202036518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1242283.2202036518</v>
      </c>
      <c r="AN17" s="48">
        <f t="shared" si="14"/>
        <v>1366511.5422240172</v>
      </c>
      <c r="AO17" s="47">
        <f t="shared" si="15"/>
        <v>3.0440328445103555</v>
      </c>
      <c r="AP17" s="47">
        <f t="shared" si="16"/>
        <v>8.0012601989187075</v>
      </c>
    </row>
    <row r="18" spans="1:42" ht="13.5" customHeight="1" x14ac:dyDescent="0.35">
      <c r="A18" s="59">
        <f>A6+A8</f>
        <v>8344184.5899999999</v>
      </c>
      <c r="B18" s="97" t="s">
        <v>15</v>
      </c>
      <c r="C18" s="61">
        <v>18230162</v>
      </c>
      <c r="D18" s="61" t="s">
        <v>555</v>
      </c>
      <c r="E18" s="38" t="s">
        <v>2157</v>
      </c>
      <c r="F18" s="39" t="s">
        <v>2156</v>
      </c>
      <c r="G18" s="39">
        <v>15</v>
      </c>
      <c r="H18" s="39"/>
      <c r="I18" s="40" t="s">
        <v>273</v>
      </c>
      <c r="J18" s="41">
        <v>416</v>
      </c>
      <c r="K18" s="41">
        <v>4366.8581730769229</v>
      </c>
      <c r="L18" s="41"/>
      <c r="M18" s="42">
        <v>500</v>
      </c>
      <c r="N18" s="42">
        <v>732</v>
      </c>
      <c r="O18" s="43">
        <v>1816613</v>
      </c>
      <c r="P18" s="44">
        <v>211050</v>
      </c>
      <c r="Q18" s="44">
        <v>304512</v>
      </c>
      <c r="R18" s="45">
        <v>0</v>
      </c>
      <c r="S18" s="46">
        <v>0</v>
      </c>
      <c r="T18" s="39">
        <f t="shared" si="0"/>
        <v>15</v>
      </c>
      <c r="U18" s="47">
        <f t="shared" si="1"/>
        <v>1.4977244907998526</v>
      </c>
      <c r="V18" s="48">
        <f t="shared" si="2"/>
        <v>232</v>
      </c>
      <c r="W18" s="49">
        <f t="shared" si="3"/>
        <v>9.9848299386656833E-2</v>
      </c>
      <c r="X18" s="44">
        <f t="shared" si="4"/>
        <v>120588.2809058923</v>
      </c>
      <c r="Y18" s="44">
        <f t="shared" si="5"/>
        <v>93462</v>
      </c>
      <c r="Z18" s="44">
        <f t="shared" si="6"/>
        <v>833152.6410798484</v>
      </c>
      <c r="AA18" s="50">
        <f t="shared" si="7"/>
        <v>425100.28090589232</v>
      </c>
      <c r="AB18" s="51">
        <f t="shared" si="8"/>
        <v>780105.46917588799</v>
      </c>
      <c r="AC18" s="44">
        <f t="shared" si="8"/>
        <v>398033.97088566696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1.3071945815391408</v>
      </c>
      <c r="AG18" s="44">
        <f t="shared" si="10"/>
        <v>2374666.670353563</v>
      </c>
      <c r="AH18" s="52">
        <f>HLOOKUP(I18,ElecAvoidedCostsWOCC!$A$5:$Q$50,T18+1,FALSE)</f>
        <v>1.3071945815391408</v>
      </c>
      <c r="AI18" s="44">
        <f t="shared" si="11"/>
        <v>0</v>
      </c>
      <c r="AJ18" s="44">
        <f t="shared" si="12"/>
        <v>2374666.670353563</v>
      </c>
      <c r="AK18" s="44">
        <f>HLOOKUP(I18,ElecAvoidedCostsWOCC!$A$5:$Q$50,G18+1,FALSE)*J18*L18</f>
        <v>0</v>
      </c>
      <c r="AL18" s="44">
        <f t="shared" si="13"/>
        <v>2374666.670353563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2374666.670353563</v>
      </c>
      <c r="AN18" s="48">
        <f t="shared" si="14"/>
        <v>2612133.3373889197</v>
      </c>
      <c r="AO18" s="47">
        <f t="shared" si="15"/>
        <v>3.0440328445103546</v>
      </c>
      <c r="AP18" s="47">
        <f t="shared" si="16"/>
        <v>6.5625889458044284</v>
      </c>
    </row>
    <row r="19" spans="1:42" ht="13.5" customHeight="1" x14ac:dyDescent="0.35">
      <c r="A19" s="58" t="s">
        <v>222</v>
      </c>
      <c r="B19" s="97" t="s">
        <v>15</v>
      </c>
      <c r="C19" s="61">
        <v>18230162</v>
      </c>
      <c r="D19" s="61" t="s">
        <v>555</v>
      </c>
      <c r="E19" s="38" t="s">
        <v>2158</v>
      </c>
      <c r="F19" s="39" t="s">
        <v>2159</v>
      </c>
      <c r="G19" s="39">
        <v>15</v>
      </c>
      <c r="H19" s="39"/>
      <c r="I19" s="40" t="s">
        <v>273</v>
      </c>
      <c r="J19" s="41">
        <v>60</v>
      </c>
      <c r="K19" s="41">
        <v>1487.5833333333333</v>
      </c>
      <c r="L19" s="41"/>
      <c r="M19" s="42">
        <v>500</v>
      </c>
      <c r="N19" s="42">
        <v>732</v>
      </c>
      <c r="O19" s="43">
        <v>89255</v>
      </c>
      <c r="P19" s="44">
        <v>30000</v>
      </c>
      <c r="Q19" s="44">
        <v>43920</v>
      </c>
      <c r="R19" s="45">
        <v>0</v>
      </c>
      <c r="S19" s="46">
        <v>0</v>
      </c>
      <c r="T19" s="39">
        <f t="shared" si="0"/>
        <v>15</v>
      </c>
      <c r="U19" s="47">
        <f t="shared" si="1"/>
        <v>7.3587164369263477E-2</v>
      </c>
      <c r="V19" s="48">
        <f t="shared" si="2"/>
        <v>232</v>
      </c>
      <c r="W19" s="49">
        <f t="shared" si="3"/>
        <v>4.9058109579508983E-3</v>
      </c>
      <c r="X19" s="44">
        <f t="shared" si="4"/>
        <v>5924.8210886167926</v>
      </c>
      <c r="Y19" s="44">
        <f t="shared" si="5"/>
        <v>13920</v>
      </c>
      <c r="Z19" s="44">
        <f t="shared" si="6"/>
        <v>40934.992196787025</v>
      </c>
      <c r="AA19" s="50">
        <f t="shared" si="7"/>
        <v>49844.821088616794</v>
      </c>
      <c r="AB19" s="51">
        <f t="shared" si="8"/>
        <v>38328.644379014069</v>
      </c>
      <c r="AC19" s="44">
        <f t="shared" si="8"/>
        <v>46671.180794585009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1.3071945815391408</v>
      </c>
      <c r="AG19" s="44">
        <f t="shared" si="10"/>
        <v>116673.65237527601</v>
      </c>
      <c r="AH19" s="52">
        <f>HLOOKUP(I19,ElecAvoidedCostsWOCC!$A$5:$Q$50,T19+1,FALSE)</f>
        <v>1.3071945815391408</v>
      </c>
      <c r="AI19" s="44">
        <f t="shared" si="11"/>
        <v>0</v>
      </c>
      <c r="AJ19" s="44">
        <f t="shared" si="12"/>
        <v>116673.65237527601</v>
      </c>
      <c r="AK19" s="44">
        <f>HLOOKUP(I19,ElecAvoidedCostsWOCC!$A$5:$Q$50,G19+1,FALSE)*J19*L19</f>
        <v>0</v>
      </c>
      <c r="AL19" s="44">
        <f t="shared" si="13"/>
        <v>116673.65237527601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116673.65237527601</v>
      </c>
      <c r="AN19" s="48">
        <f t="shared" si="14"/>
        <v>128341.01761280363</v>
      </c>
      <c r="AO19" s="47">
        <f t="shared" si="15"/>
        <v>3.0440328445103546</v>
      </c>
      <c r="AP19" s="47">
        <f t="shared" si="16"/>
        <v>2.7498986618246071</v>
      </c>
    </row>
    <row r="20" spans="1:42" ht="13.5" customHeight="1" x14ac:dyDescent="0.35">
      <c r="A20" s="59">
        <f>A8+SUM(Q5:Q906)</f>
        <v>7183913.6800000006</v>
      </c>
      <c r="B20" s="97" t="s">
        <v>15</v>
      </c>
      <c r="C20" s="61">
        <v>18230162</v>
      </c>
      <c r="D20" s="61" t="s">
        <v>555</v>
      </c>
      <c r="E20" s="38" t="s">
        <v>2160</v>
      </c>
      <c r="F20" s="39" t="s">
        <v>2159</v>
      </c>
      <c r="G20" s="39">
        <v>15</v>
      </c>
      <c r="H20" s="39"/>
      <c r="I20" s="40" t="s">
        <v>273</v>
      </c>
      <c r="J20" s="41">
        <v>560</v>
      </c>
      <c r="K20" s="41">
        <v>955.17142857142858</v>
      </c>
      <c r="L20" s="41"/>
      <c r="M20" s="42">
        <v>500</v>
      </c>
      <c r="N20" s="42">
        <v>732</v>
      </c>
      <c r="O20" s="43">
        <v>534896</v>
      </c>
      <c r="P20" s="44">
        <v>280050</v>
      </c>
      <c r="Q20" s="44">
        <v>409920</v>
      </c>
      <c r="R20" s="45">
        <v>0</v>
      </c>
      <c r="S20" s="46">
        <v>0</v>
      </c>
      <c r="T20" s="39">
        <f t="shared" si="0"/>
        <v>15</v>
      </c>
      <c r="U20" s="47">
        <f t="shared" si="1"/>
        <v>0.44100027866743102</v>
      </c>
      <c r="V20" s="48">
        <f t="shared" si="2"/>
        <v>232</v>
      </c>
      <c r="W20" s="49">
        <f t="shared" si="3"/>
        <v>2.9400018577828736E-2</v>
      </c>
      <c r="X20" s="44">
        <f t="shared" si="4"/>
        <v>35506.841084720945</v>
      </c>
      <c r="Y20" s="44">
        <f t="shared" si="5"/>
        <v>129870</v>
      </c>
      <c r="Z20" s="44">
        <f t="shared" si="6"/>
        <v>245319.18196283226</v>
      </c>
      <c r="AA20" s="50">
        <f t="shared" si="7"/>
        <v>445426.84108472092</v>
      </c>
      <c r="AB20" s="51">
        <f t="shared" si="8"/>
        <v>229699.60857943093</v>
      </c>
      <c r="AC20" s="44">
        <f t="shared" si="8"/>
        <v>417066.33060367126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1.3071945815391408</v>
      </c>
      <c r="AG20" s="44">
        <f t="shared" si="10"/>
        <v>699213.15288696031</v>
      </c>
      <c r="AH20" s="52">
        <f>HLOOKUP(I20,ElecAvoidedCostsWOCC!$A$5:$Q$50,T20+1,FALSE)</f>
        <v>1.3071945815391408</v>
      </c>
      <c r="AI20" s="44">
        <f t="shared" si="11"/>
        <v>0</v>
      </c>
      <c r="AJ20" s="44">
        <f t="shared" si="12"/>
        <v>699213.15288696031</v>
      </c>
      <c r="AK20" s="44">
        <f>HLOOKUP(I20,ElecAvoidedCostsWOCC!$A$5:$Q$50,G20+1,FALSE)*J20*L20</f>
        <v>0</v>
      </c>
      <c r="AL20" s="44">
        <f t="shared" si="13"/>
        <v>699213.15288696031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699213.15288696031</v>
      </c>
      <c r="AN20" s="48">
        <f t="shared" si="14"/>
        <v>769134.4681756564</v>
      </c>
      <c r="AO20" s="47">
        <f t="shared" si="15"/>
        <v>3.0440328445103551</v>
      </c>
      <c r="AP20" s="47">
        <f t="shared" si="16"/>
        <v>1.8441538233556127</v>
      </c>
    </row>
    <row r="21" spans="1:42" ht="13.5" customHeight="1" x14ac:dyDescent="0.35">
      <c r="A21" s="58" t="s">
        <v>236</v>
      </c>
      <c r="B21" s="97" t="s">
        <v>15</v>
      </c>
      <c r="C21" s="61">
        <v>18230162</v>
      </c>
      <c r="D21" s="61" t="s">
        <v>555</v>
      </c>
      <c r="E21" s="38" t="s">
        <v>2161</v>
      </c>
      <c r="F21" s="39" t="s">
        <v>2162</v>
      </c>
      <c r="G21" s="39">
        <v>13</v>
      </c>
      <c r="H21" s="39"/>
      <c r="I21" s="40" t="s">
        <v>270</v>
      </c>
      <c r="J21" s="41">
        <v>1248</v>
      </c>
      <c r="K21" s="41">
        <v>1526.8373397435898</v>
      </c>
      <c r="L21" s="41"/>
      <c r="M21" s="42">
        <v>500</v>
      </c>
      <c r="N21" s="42">
        <v>751.56</v>
      </c>
      <c r="O21" s="43">
        <v>1905493</v>
      </c>
      <c r="P21" s="44">
        <v>624000</v>
      </c>
      <c r="Q21" s="44">
        <v>937946.88</v>
      </c>
      <c r="R21" s="45">
        <v>0</v>
      </c>
      <c r="S21" s="46">
        <v>0</v>
      </c>
      <c r="T21" s="39">
        <f t="shared" si="0"/>
        <v>13</v>
      </c>
      <c r="U21" s="47">
        <f t="shared" si="1"/>
        <v>1.3615354850269845</v>
      </c>
      <c r="V21" s="48">
        <f t="shared" si="2"/>
        <v>251.55999999999995</v>
      </c>
      <c r="W21" s="49">
        <f t="shared" si="3"/>
        <v>0.10473349884822958</v>
      </c>
      <c r="X21" s="44">
        <f t="shared" si="4"/>
        <v>126488.20918280967</v>
      </c>
      <c r="Y21" s="44">
        <f t="shared" si="5"/>
        <v>313946.88</v>
      </c>
      <c r="Z21" s="44">
        <f t="shared" si="6"/>
        <v>873915.64714618004</v>
      </c>
      <c r="AA21" s="50">
        <f t="shared" si="7"/>
        <v>1064435.0891828097</v>
      </c>
      <c r="AB21" s="51">
        <f t="shared" ref="AB21:AC24" si="18">Z21/(1+ElecDiscountRate)^1</f>
        <v>818273.07785222842</v>
      </c>
      <c r="AC21" s="44">
        <f t="shared" si="18"/>
        <v>996662.06852323003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0.99115143008695095</v>
      </c>
      <c r="AG21" s="44">
        <f t="shared" si="10"/>
        <v>1888632.1119706745</v>
      </c>
      <c r="AH21" s="52">
        <f>HLOOKUP(I21,ElecAvoidedCostsWOCC!$A$5:$Q$50,T21+1,FALSE)</f>
        <v>0.99115143008695095</v>
      </c>
      <c r="AI21" s="44">
        <f t="shared" si="11"/>
        <v>0</v>
      </c>
      <c r="AJ21" s="44">
        <f t="shared" si="12"/>
        <v>1888632.1119706745</v>
      </c>
      <c r="AK21" s="44">
        <f>HLOOKUP(I21,ElecAvoidedCostsWOCC!$A$5:$Q$50,G21+1,FALSE)*J21*L21</f>
        <v>0</v>
      </c>
      <c r="AL21" s="44">
        <f t="shared" si="13"/>
        <v>1888632.1119706745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1888632.1119706747</v>
      </c>
      <c r="AN21" s="48">
        <f t="shared" si="14"/>
        <v>2077495.3231677425</v>
      </c>
      <c r="AO21" s="47">
        <f t="shared" si="15"/>
        <v>2.3080706955774266</v>
      </c>
      <c r="AP21" s="47">
        <f t="shared" si="16"/>
        <v>2.0844530847311167</v>
      </c>
    </row>
    <row r="22" spans="1:42" ht="13.5" customHeight="1" x14ac:dyDescent="0.35">
      <c r="A22" s="60">
        <f>(SUM(AM5:AM1000)/(SUM(AB5:AB1000)))</f>
        <v>2.9598330189212851</v>
      </c>
      <c r="B22" s="97" t="s">
        <v>15</v>
      </c>
      <c r="C22" s="61">
        <v>18230162</v>
      </c>
      <c r="D22" s="61" t="s">
        <v>555</v>
      </c>
      <c r="E22" s="38" t="s">
        <v>2163</v>
      </c>
      <c r="F22" s="39" t="s">
        <v>2164</v>
      </c>
      <c r="G22" s="39"/>
      <c r="H22" s="39"/>
      <c r="I22" s="40"/>
      <c r="J22" s="41">
        <v>18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900</v>
      </c>
      <c r="Q22" s="44">
        <v>900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900</v>
      </c>
      <c r="AB22" s="51">
        <f t="shared" si="18"/>
        <v>0</v>
      </c>
      <c r="AC22" s="44">
        <f t="shared" si="18"/>
        <v>842.69662921348311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 x14ac:dyDescent="0.35">
      <c r="A23" s="58" t="s">
        <v>237</v>
      </c>
      <c r="B23" s="97" t="s">
        <v>15</v>
      </c>
      <c r="C23" s="61">
        <v>18230162</v>
      </c>
      <c r="D23" s="61" t="s">
        <v>555</v>
      </c>
      <c r="E23" s="38" t="s">
        <v>2165</v>
      </c>
      <c r="F23" s="39" t="s">
        <v>2164</v>
      </c>
      <c r="G23" s="39"/>
      <c r="H23" s="39"/>
      <c r="I23" s="40"/>
      <c r="J23" s="41">
        <v>8575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428750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-50</v>
      </c>
      <c r="W23" s="49">
        <f t="shared" si="3"/>
        <v>0</v>
      </c>
      <c r="X23" s="44">
        <f t="shared" si="4"/>
        <v>0</v>
      </c>
      <c r="Y23" s="44">
        <f t="shared" si="5"/>
        <v>-428750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3.7816618603916434</v>
      </c>
      <c r="B24" s="97" t="s">
        <v>15</v>
      </c>
      <c r="C24" s="61">
        <v>18230162</v>
      </c>
      <c r="D24" s="61" t="s">
        <v>555</v>
      </c>
      <c r="E24" s="38" t="s">
        <v>2166</v>
      </c>
      <c r="F24" s="39" t="s">
        <v>2167</v>
      </c>
      <c r="G24" s="39">
        <v>13</v>
      </c>
      <c r="H24" s="39"/>
      <c r="I24" s="40" t="s">
        <v>270</v>
      </c>
      <c r="J24" s="41">
        <v>53</v>
      </c>
      <c r="K24" s="41">
        <v>1499.3207547169811</v>
      </c>
      <c r="L24" s="41"/>
      <c r="M24" s="42">
        <v>500</v>
      </c>
      <c r="N24" s="42">
        <v>727.16</v>
      </c>
      <c r="O24" s="43">
        <v>79464</v>
      </c>
      <c r="P24" s="44">
        <v>26500</v>
      </c>
      <c r="Q24" s="44">
        <v>38539.480000000003</v>
      </c>
      <c r="R24" s="45">
        <v>0</v>
      </c>
      <c r="S24" s="46">
        <v>0</v>
      </c>
      <c r="T24" s="39">
        <f t="shared" si="0"/>
        <v>13</v>
      </c>
      <c r="U24" s="47">
        <f t="shared" si="1"/>
        <v>5.6779560870695564E-2</v>
      </c>
      <c r="V24" s="48">
        <f t="shared" si="2"/>
        <v>227.15999999999997</v>
      </c>
      <c r="W24" s="49">
        <f t="shared" si="3"/>
        <v>4.3676585285150433E-3</v>
      </c>
      <c r="X24" s="44">
        <f t="shared" si="4"/>
        <v>5274.8863703528632</v>
      </c>
      <c r="Y24" s="44">
        <f t="shared" si="5"/>
        <v>12039.480000000003</v>
      </c>
      <c r="Z24" s="44">
        <f t="shared" si="6"/>
        <v>36444.548988017297</v>
      </c>
      <c r="AA24" s="50">
        <f t="shared" si="7"/>
        <v>43814.366370352865</v>
      </c>
      <c r="AB24" s="51">
        <f t="shared" si="18"/>
        <v>34124.10953934204</v>
      </c>
      <c r="AC24" s="44">
        <f t="shared" si="18"/>
        <v>41024.687612689944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0.99115143008695095</v>
      </c>
      <c r="AG24" s="44">
        <f t="shared" si="10"/>
        <v>78760.857240429468</v>
      </c>
      <c r="AH24" s="52">
        <f>HLOOKUP(I24,ElecAvoidedCostsWOCC!$A$5:$Q$50,T24+1,FALSE)</f>
        <v>0.99115143008695095</v>
      </c>
      <c r="AI24" s="44">
        <f t="shared" si="11"/>
        <v>0</v>
      </c>
      <c r="AJ24" s="44">
        <f t="shared" si="12"/>
        <v>78760.857240429468</v>
      </c>
      <c r="AK24" s="44">
        <f>HLOOKUP(I24,ElecAvoidedCostsWOCC!$A$5:$Q$50,G24+1,FALSE)*J24*L24</f>
        <v>0</v>
      </c>
      <c r="AL24" s="44">
        <f t="shared" si="13"/>
        <v>78760.857240429468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78760.857240429468</v>
      </c>
      <c r="AN24" s="48">
        <f t="shared" si="14"/>
        <v>86636.942964472415</v>
      </c>
      <c r="AO24" s="47">
        <f t="shared" si="15"/>
        <v>2.3080706955774262</v>
      </c>
      <c r="AP24" s="47">
        <f t="shared" si="16"/>
        <v>2.1118245623806646</v>
      </c>
    </row>
    <row r="25" spans="1:42" ht="13.5" customHeight="1" x14ac:dyDescent="0.35">
      <c r="B25" s="97" t="s">
        <v>15</v>
      </c>
      <c r="C25" s="61">
        <v>18230162</v>
      </c>
      <c r="D25" s="61" t="s">
        <v>555</v>
      </c>
      <c r="E25" s="38" t="s">
        <v>2168</v>
      </c>
      <c r="F25" s="39" t="s">
        <v>2169</v>
      </c>
      <c r="G25" s="39">
        <v>13</v>
      </c>
      <c r="H25" s="39"/>
      <c r="I25" s="40" t="s">
        <v>270</v>
      </c>
      <c r="J25" s="41">
        <v>340</v>
      </c>
      <c r="K25" s="41">
        <v>283.96470588235292</v>
      </c>
      <c r="L25" s="41"/>
      <c r="M25" s="42">
        <v>150</v>
      </c>
      <c r="N25" s="42">
        <v>727.16</v>
      </c>
      <c r="O25" s="43">
        <v>96548</v>
      </c>
      <c r="P25" s="44">
        <v>51000</v>
      </c>
      <c r="Q25" s="44">
        <v>247234.4</v>
      </c>
      <c r="R25" s="45">
        <v>0</v>
      </c>
      <c r="S25" s="46">
        <v>0</v>
      </c>
      <c r="T25" s="39">
        <f t="shared" ref="T25:T52" si="19">G25+H25</f>
        <v>13</v>
      </c>
      <c r="U25" s="47">
        <f t="shared" ref="U25:U52" si="20">(O25/$A$10)*T25</f>
        <v>6.8986623413670525E-2</v>
      </c>
      <c r="V25" s="48">
        <f t="shared" ref="V25:V52" si="21">N25-M25</f>
        <v>577.16</v>
      </c>
      <c r="W25" s="49">
        <f t="shared" ref="W25:W52" si="22">(O25/A$10)</f>
        <v>5.3066633395131178E-3</v>
      </c>
      <c r="X25" s="44">
        <f t="shared" ref="X25:X52" si="23">W25*A$8</f>
        <v>6408.9364905470175</v>
      </c>
      <c r="Y25" s="44">
        <f t="shared" ref="Y25:Y52" si="24">Q25-P25</f>
        <v>196234.4</v>
      </c>
      <c r="Z25" s="44">
        <f t="shared" ref="Z25:Z52" si="25">X25+(A$6*W25)</f>
        <v>44279.778461883296</v>
      </c>
      <c r="AA25" s="50">
        <f t="shared" ref="AA25:AA52" si="26">Q25+X25</f>
        <v>253643.33649054702</v>
      </c>
      <c r="AB25" s="51">
        <f t="shared" ref="AB25:AB52" si="27">Z25/(1+ElecDiscountRate)^1</f>
        <v>41460.466724609825</v>
      </c>
      <c r="AC25" s="44">
        <f t="shared" ref="AC25:AC52" si="28">AA25/(1+ElecDiscountRate)^1</f>
        <v>237493.76075893914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0.99115143008695095</v>
      </c>
      <c r="AG25" s="44">
        <f t="shared" ref="AG25:AG52" si="31">AF25*J25*K25</f>
        <v>95693.688272034939</v>
      </c>
      <c r="AH25" s="52">
        <f>HLOOKUP(I25,ElecAvoidedCostsWOCC!$A$5:$Q$50,T25+1,FALSE)</f>
        <v>0.99115143008695095</v>
      </c>
      <c r="AI25" s="44">
        <f t="shared" ref="AI25:AI52" si="32">AH25*J25*L25</f>
        <v>0</v>
      </c>
      <c r="AJ25" s="44">
        <f t="shared" ref="AJ25:AJ52" si="33">AG25+AI25</f>
        <v>95693.688272034939</v>
      </c>
      <c r="AK25" s="44">
        <f>HLOOKUP(I25,ElecAvoidedCostsWOCC!$A$5:$Q$50,G25+1,FALSE)*J25*L25</f>
        <v>0</v>
      </c>
      <c r="AL25" s="44">
        <f t="shared" ref="AL25:AL52" si="34">AG25+AI25-AK25</f>
        <v>95693.688272034939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95693.688272034939</v>
      </c>
      <c r="AN25" s="48">
        <f t="shared" ref="AN25:AN52" si="35">AM25*1.1+AD25+AE25</f>
        <v>105263.05709923845</v>
      </c>
      <c r="AO25" s="47">
        <f t="shared" ref="AO25:AO52" si="36">IFERROR(AM25/AB25,0)</f>
        <v>2.3080706955774262</v>
      </c>
      <c r="AP25" s="47">
        <f t="shared" ref="AP25:AP52" si="37">AN25/AC25</f>
        <v>0.44322451572141519</v>
      </c>
    </row>
    <row r="26" spans="1:42" ht="13.5" customHeight="1" x14ac:dyDescent="0.35">
      <c r="B26" s="97" t="s">
        <v>15</v>
      </c>
      <c r="C26" s="61">
        <v>18230162</v>
      </c>
      <c r="D26" s="61" t="s">
        <v>555</v>
      </c>
      <c r="E26" s="38" t="s">
        <v>2170</v>
      </c>
      <c r="F26" s="39" t="s">
        <v>2171</v>
      </c>
      <c r="G26" s="39"/>
      <c r="H26" s="39"/>
      <c r="I26" s="40"/>
      <c r="J26" s="41">
        <v>53</v>
      </c>
      <c r="K26" s="41">
        <v>0</v>
      </c>
      <c r="L26" s="41"/>
      <c r="M26" s="42">
        <v>100</v>
      </c>
      <c r="N26" s="42">
        <v>0</v>
      </c>
      <c r="O26" s="43">
        <v>0</v>
      </c>
      <c r="P26" s="44">
        <v>5300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-100</v>
      </c>
      <c r="W26" s="49">
        <f t="shared" si="22"/>
        <v>0</v>
      </c>
      <c r="X26" s="44">
        <f t="shared" si="23"/>
        <v>0</v>
      </c>
      <c r="Y26" s="44">
        <f t="shared" si="24"/>
        <v>-5300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52 R5:S52">
    <cfRule type="expression" dxfId="282" priority="2">
      <formula>ISTEXT(M5)</formula>
    </cfRule>
  </conditionalFormatting>
  <conditionalFormatting sqref="M5:N52 R5:S52">
    <cfRule type="notContainsBlanks" dxfId="281" priority="3">
      <formula>LEN(TRIM(M5))&gt;0</formula>
    </cfRule>
  </conditionalFormatting>
  <conditionalFormatting sqref="R5:S52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K6" sqref="K6"/>
    </sheetView>
  </sheetViews>
  <sheetFormatPr defaultRowHeight="14.5" x14ac:dyDescent="0.35"/>
  <cols>
    <col min="1" max="1" width="26.1796875" customWidth="1"/>
    <col min="3" max="3" width="13.26953125" customWidth="1"/>
    <col min="4" max="4" width="34.453125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4" width="10.4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18230405</v>
      </c>
      <c r="D2" s="20" t="s">
        <v>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17</v>
      </c>
      <c r="C5" s="61">
        <v>18230405</v>
      </c>
      <c r="D5" s="61" t="s">
        <v>37</v>
      </c>
      <c r="E5" s="38" t="s">
        <v>1000</v>
      </c>
      <c r="F5" s="39" t="s">
        <v>1001</v>
      </c>
      <c r="G5" s="39">
        <v>36</v>
      </c>
      <c r="H5" s="39"/>
      <c r="I5" s="40" t="s">
        <v>273</v>
      </c>
      <c r="J5" s="41">
        <v>5</v>
      </c>
      <c r="K5" s="497">
        <f>O5/J5</f>
        <v>1039.2</v>
      </c>
      <c r="L5" s="41"/>
      <c r="M5" s="42">
        <v>1500</v>
      </c>
      <c r="N5" s="42">
        <v>5354.04</v>
      </c>
      <c r="O5" s="43">
        <v>5196</v>
      </c>
      <c r="P5" s="44">
        <v>4675.2</v>
      </c>
      <c r="Q5" s="44">
        <v>26770.2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2.5068482135677721</v>
      </c>
      <c r="V5" s="48">
        <f t="shared" ref="V5:V24" si="2">N5-M5</f>
        <v>3854.04</v>
      </c>
      <c r="W5" s="49">
        <f t="shared" ref="W5:W24" si="3">(O5/A$10)</f>
        <v>6.9634672599104774E-2</v>
      </c>
      <c r="X5" s="44">
        <f t="shared" ref="X5:X24" si="4">W5*A$8</f>
        <v>5782.1303588946384</v>
      </c>
      <c r="Y5" s="44">
        <f t="shared" ref="Y5:Y24" si="5">Q5-P5</f>
        <v>22095</v>
      </c>
      <c r="Z5" s="44">
        <f t="shared" ref="Z5:Z24" si="6">X5+(A$6*W5)</f>
        <v>9689.9383564287455</v>
      </c>
      <c r="AA5" s="50">
        <f t="shared" ref="AA5:AA24" si="7">Q5+X5</f>
        <v>32552.33035889464</v>
      </c>
      <c r="AB5" s="51">
        <f t="shared" ref="AB5:AC20" si="8">Z5/(1+ElecDiscountRate)^1</f>
        <v>9072.9759891654921</v>
      </c>
      <c r="AC5" s="44">
        <f t="shared" si="8"/>
        <v>30479.710073871385</v>
      </c>
      <c r="AD5" s="44">
        <f t="shared" ref="AD5:AD24" si="9">-PV(ElecDiscountRate,T5,R5)*J5</f>
        <v>302.56620159203339</v>
      </c>
      <c r="AE5" s="44">
        <v>0</v>
      </c>
      <c r="AF5" s="52">
        <f>HLOOKUP(I5,ElecAvoidedCostsWOCC!$A$5:$Q$50,G5+1,FALSE)</f>
        <v>2.3701944413854048</v>
      </c>
      <c r="AG5" s="44">
        <f t="shared" ref="AG5:AG24" si="10">AF5*J5*K5</f>
        <v>12315.530317438563</v>
      </c>
      <c r="AH5" s="52">
        <f>HLOOKUP(I5,ElecAvoidedCostsWOCC!$A$5:$Q$50,T5+1,FALSE)</f>
        <v>2.3701944413854048</v>
      </c>
      <c r="AI5" s="44">
        <f t="shared" ref="AI5:AI24" si="11">AH5*J5*L5</f>
        <v>0</v>
      </c>
      <c r="AJ5" s="44">
        <f>AG5+AI5</f>
        <v>12315.530317438563</v>
      </c>
      <c r="AK5" s="44">
        <f>HLOOKUP(I5,ElecAvoidedCostsWOCC!$A$5:$Q$50,G5+1,FALSE)*J5*L5</f>
        <v>0</v>
      </c>
      <c r="AL5" s="44">
        <f>AG5+AI5-AK5</f>
        <v>12315.530317438563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12315.530317438563</v>
      </c>
      <c r="AN5" s="48">
        <f>AM5*1.1+AD5+AE5</f>
        <v>13849.649550774453</v>
      </c>
      <c r="AO5" s="47">
        <f>IFERROR(AM5/AB5,0)</f>
        <v>1.357385970396612</v>
      </c>
      <c r="AP5" s="47">
        <f>AN5/AC5</f>
        <v>0.4543891499364035</v>
      </c>
    </row>
    <row r="6" spans="1:42" ht="13.5" customHeight="1" x14ac:dyDescent="0.35">
      <c r="A6" s="53">
        <f>SUMIF('Program Costs'!D:D,C2,'Program Costs'!L:L)</f>
        <v>56118.71</v>
      </c>
      <c r="B6" s="97" t="s">
        <v>17</v>
      </c>
      <c r="C6" s="61">
        <v>18230405</v>
      </c>
      <c r="D6" s="61" t="s">
        <v>37</v>
      </c>
      <c r="E6" s="38" t="s">
        <v>1002</v>
      </c>
      <c r="F6" s="39" t="s">
        <v>1003</v>
      </c>
      <c r="G6" s="39">
        <v>36</v>
      </c>
      <c r="H6" s="39"/>
      <c r="I6" s="40" t="s">
        <v>273</v>
      </c>
      <c r="J6" s="41">
        <v>14</v>
      </c>
      <c r="K6" s="497">
        <f>O6/J6</f>
        <v>2939.5714285714284</v>
      </c>
      <c r="L6" s="41"/>
      <c r="M6" s="42">
        <v>2000</v>
      </c>
      <c r="N6" s="42">
        <v>5477</v>
      </c>
      <c r="O6" s="43">
        <v>41154</v>
      </c>
      <c r="P6" s="44">
        <v>21812.68</v>
      </c>
      <c r="Q6" s="44">
        <v>76678</v>
      </c>
      <c r="R6" s="45">
        <v>9.1999999999999993</v>
      </c>
      <c r="S6" s="46">
        <v>0</v>
      </c>
      <c r="T6" s="39">
        <f t="shared" si="0"/>
        <v>36</v>
      </c>
      <c r="U6" s="47">
        <f t="shared" si="1"/>
        <v>19.855048379747515</v>
      </c>
      <c r="V6" s="48">
        <f t="shared" si="2"/>
        <v>3477</v>
      </c>
      <c r="W6" s="49">
        <f t="shared" si="3"/>
        <v>0.55152912165965318</v>
      </c>
      <c r="X6" s="44">
        <f t="shared" si="4"/>
        <v>45796.341953416086</v>
      </c>
      <c r="Y6" s="44">
        <f t="shared" si="5"/>
        <v>54865.32</v>
      </c>
      <c r="Z6" s="44">
        <f t="shared" si="6"/>
        <v>76747.444788388879</v>
      </c>
      <c r="AA6" s="50">
        <f t="shared" si="7"/>
        <v>122474.34195341609</v>
      </c>
      <c r="AB6" s="51">
        <f t="shared" si="8"/>
        <v>71860.903359914679</v>
      </c>
      <c r="AC6" s="44">
        <f t="shared" si="8"/>
        <v>114676.35014364801</v>
      </c>
      <c r="AD6" s="44">
        <f t="shared" si="9"/>
        <v>1716.7632936147093</v>
      </c>
      <c r="AE6" s="44">
        <v>0</v>
      </c>
      <c r="AF6" s="52">
        <f>HLOOKUP(I6,ElecAvoidedCostsWOCC!$A$5:$Q$50,G6+1,FALSE)</f>
        <v>2.3701944413854048</v>
      </c>
      <c r="AG6" s="44">
        <f t="shared" si="10"/>
        <v>97542.98204077495</v>
      </c>
      <c r="AH6" s="52">
        <f>HLOOKUP(I6,ElecAvoidedCostsWOCC!$A$5:$Q$50,T6+1,FALSE)</f>
        <v>2.3701944413854048</v>
      </c>
      <c r="AI6" s="44">
        <f t="shared" si="11"/>
        <v>0</v>
      </c>
      <c r="AJ6" s="44">
        <f t="shared" ref="AJ6:AJ24" si="12">AG6+AI6</f>
        <v>97542.98204077495</v>
      </c>
      <c r="AK6" s="44">
        <f>HLOOKUP(I6,ElecAvoidedCostsWOCC!$A$5:$Q$50,G6+1,FALSE)*J6*L6</f>
        <v>0</v>
      </c>
      <c r="AL6" s="44">
        <f t="shared" ref="AL6:AL24" si="13">AG6+AI6-AK6</f>
        <v>97542.98204077495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97542.98204077495</v>
      </c>
      <c r="AN6" s="48">
        <f t="shared" ref="AN6:AN24" si="14">AM6*1.1+AD6+AE6</f>
        <v>109014.04353846717</v>
      </c>
      <c r="AO6" s="47">
        <f t="shared" ref="AO6:AO24" si="15">IFERROR(AM6/AB6,0)</f>
        <v>1.357385970396612</v>
      </c>
      <c r="AP6" s="47">
        <f t="shared" ref="AP6:AP24" si="16">AN6/AC6</f>
        <v>0.95062358892580712</v>
      </c>
    </row>
    <row r="7" spans="1:42" ht="13.5" customHeight="1" x14ac:dyDescent="0.35">
      <c r="A7" s="36" t="s">
        <v>240</v>
      </c>
      <c r="B7" s="97" t="s">
        <v>17</v>
      </c>
      <c r="C7" s="61">
        <v>18230405</v>
      </c>
      <c r="D7" s="61" t="s">
        <v>37</v>
      </c>
      <c r="E7" s="38" t="s">
        <v>1004</v>
      </c>
      <c r="F7" s="39" t="s">
        <v>1005</v>
      </c>
      <c r="G7" s="39">
        <v>36</v>
      </c>
      <c r="H7" s="39"/>
      <c r="I7" s="40" t="s">
        <v>239</v>
      </c>
      <c r="J7" s="41">
        <v>1</v>
      </c>
      <c r="K7" s="497">
        <v>86</v>
      </c>
      <c r="L7" s="41"/>
      <c r="M7" s="42">
        <v>750</v>
      </c>
      <c r="N7" s="42">
        <v>2155</v>
      </c>
      <c r="O7" s="43">
        <v>86</v>
      </c>
      <c r="P7" s="44">
        <v>750</v>
      </c>
      <c r="Q7" s="44">
        <v>2155</v>
      </c>
      <c r="R7" s="45">
        <v>24.59</v>
      </c>
      <c r="S7" s="46">
        <v>0</v>
      </c>
      <c r="T7" s="39">
        <f t="shared" si="0"/>
        <v>36</v>
      </c>
      <c r="U7" s="47">
        <f t="shared" si="1"/>
        <v>4.1491329169905389E-2</v>
      </c>
      <c r="V7" s="48">
        <f t="shared" si="2"/>
        <v>1405</v>
      </c>
      <c r="W7" s="49">
        <f t="shared" si="3"/>
        <v>1.1525369213862607E-3</v>
      </c>
      <c r="X7" s="44">
        <f t="shared" si="4"/>
        <v>95.7011568254309</v>
      </c>
      <c r="Y7" s="44">
        <f t="shared" si="5"/>
        <v>1405</v>
      </c>
      <c r="Z7" s="44">
        <f t="shared" si="6"/>
        <v>160.38004208099926</v>
      </c>
      <c r="AA7" s="50">
        <f t="shared" si="7"/>
        <v>2250.7011568254311</v>
      </c>
      <c r="AB7" s="51">
        <f t="shared" si="8"/>
        <v>150.16857872752738</v>
      </c>
      <c r="AC7" s="44">
        <f t="shared" si="8"/>
        <v>2107.3980869151974</v>
      </c>
      <c r="AD7" s="44">
        <f t="shared" si="9"/>
        <v>327.757836878771</v>
      </c>
      <c r="AE7" s="44">
        <v>0</v>
      </c>
      <c r="AF7" s="52">
        <f>HLOOKUP(I7,ElecAvoidedCostsWOCC!$A$5:$Q$50,G7+1,FALSE)</f>
        <v>2.0767473321156387</v>
      </c>
      <c r="AG7" s="44">
        <f t="shared" si="10"/>
        <v>178.60027056194494</v>
      </c>
      <c r="AH7" s="52">
        <f>HLOOKUP(I7,ElecAvoidedCostsWOCC!$A$5:$Q$50,T7+1,FALSE)</f>
        <v>2.0767473321156387</v>
      </c>
      <c r="AI7" s="44">
        <f t="shared" si="11"/>
        <v>0</v>
      </c>
      <c r="AJ7" s="44">
        <f t="shared" si="12"/>
        <v>178.60027056194494</v>
      </c>
      <c r="AK7" s="44">
        <f>HLOOKUP(I7,ElecAvoidedCostsWOCC!$A$5:$Q$50,G7+1,FALSE)*J7*L7</f>
        <v>0</v>
      </c>
      <c r="AL7" s="44">
        <f t="shared" si="13"/>
        <v>178.60027056194494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178.60027056194494</v>
      </c>
      <c r="AN7" s="48">
        <f t="shared" si="14"/>
        <v>524.21813449691047</v>
      </c>
      <c r="AO7" s="47">
        <f t="shared" si="15"/>
        <v>1.1893318301027893</v>
      </c>
      <c r="AP7" s="47">
        <f t="shared" si="16"/>
        <v>0.24875135730253001</v>
      </c>
    </row>
    <row r="8" spans="1:42" ht="13.5" customHeight="1" x14ac:dyDescent="0.35">
      <c r="A8" s="53">
        <f>SUMIF('Program Costs'!D:D,C2,'Program Costs'!O:O)</f>
        <v>83035.22000000003</v>
      </c>
      <c r="B8" s="97" t="s">
        <v>17</v>
      </c>
      <c r="C8" s="61">
        <v>18230405</v>
      </c>
      <c r="D8" s="61" t="s">
        <v>37</v>
      </c>
      <c r="E8" s="38" t="s">
        <v>1006</v>
      </c>
      <c r="F8" s="39" t="s">
        <v>1005</v>
      </c>
      <c r="G8" s="39">
        <v>27</v>
      </c>
      <c r="H8" s="39"/>
      <c r="I8" s="40" t="s">
        <v>239</v>
      </c>
      <c r="J8" s="41">
        <v>21</v>
      </c>
      <c r="K8" s="497">
        <f>O8/J8</f>
        <v>688.28571428571433</v>
      </c>
      <c r="L8" s="41"/>
      <c r="M8" s="42">
        <v>750</v>
      </c>
      <c r="N8" s="42">
        <v>2215</v>
      </c>
      <c r="O8" s="43">
        <v>14454</v>
      </c>
      <c r="P8" s="44">
        <v>14500</v>
      </c>
      <c r="Q8" s="44">
        <v>46515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5.2300785333297597</v>
      </c>
      <c r="V8" s="48">
        <f t="shared" si="2"/>
        <v>1465</v>
      </c>
      <c r="W8" s="49">
        <f t="shared" si="3"/>
        <v>0.19370661234554665</v>
      </c>
      <c r="X8" s="44">
        <f t="shared" si="4"/>
        <v>16084.471171567187</v>
      </c>
      <c r="Y8" s="44">
        <f t="shared" si="5"/>
        <v>32015</v>
      </c>
      <c r="Z8" s="44">
        <f t="shared" si="6"/>
        <v>26955.036374869342</v>
      </c>
      <c r="AA8" s="50">
        <f t="shared" si="7"/>
        <v>62599.471171567187</v>
      </c>
      <c r="AB8" s="51">
        <f t="shared" si="8"/>
        <v>25238.798103810244</v>
      </c>
      <c r="AC8" s="44">
        <f t="shared" si="8"/>
        <v>58613.737052029195</v>
      </c>
      <c r="AD8" s="44">
        <f t="shared" si="9"/>
        <v>2214.0215810206605</v>
      </c>
      <c r="AE8" s="44">
        <v>0</v>
      </c>
      <c r="AF8" s="52">
        <f>HLOOKUP(I8,ElecAvoidedCostsWOCC!$A$5:$Q$50,G8+1,FALSE)</f>
        <v>1.7006816239042242</v>
      </c>
      <c r="AG8" s="44">
        <f t="shared" si="10"/>
        <v>24581.652191911657</v>
      </c>
      <c r="AH8" s="52">
        <f>HLOOKUP(I8,ElecAvoidedCostsWOCC!$A$5:$Q$50,T8+1,FALSE)</f>
        <v>1.7006816239042242</v>
      </c>
      <c r="AI8" s="44">
        <f t="shared" si="11"/>
        <v>0</v>
      </c>
      <c r="AJ8" s="44">
        <f t="shared" si="12"/>
        <v>24581.652191911657</v>
      </c>
      <c r="AK8" s="44">
        <f>HLOOKUP(I8,ElecAvoidedCostsWOCC!$A$5:$Q$50,G8+1,FALSE)*J8*L8</f>
        <v>0</v>
      </c>
      <c r="AL8" s="44">
        <f t="shared" si="13"/>
        <v>24581.652191911657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24581.652191911657</v>
      </c>
      <c r="AN8" s="48">
        <f t="shared" si="14"/>
        <v>29253.838992123485</v>
      </c>
      <c r="AO8" s="47">
        <f t="shared" si="15"/>
        <v>0.97396286823185219</v>
      </c>
      <c r="AP8" s="47">
        <f t="shared" si="16"/>
        <v>0.49909527123575076</v>
      </c>
    </row>
    <row r="9" spans="1:42" ht="13.5" customHeight="1" x14ac:dyDescent="0.35">
      <c r="A9" s="36" t="s">
        <v>242</v>
      </c>
      <c r="B9" s="97" t="s">
        <v>17</v>
      </c>
      <c r="C9" s="61">
        <v>18230405</v>
      </c>
      <c r="D9" s="61" t="s">
        <v>37</v>
      </c>
      <c r="E9" s="38" t="s">
        <v>1007</v>
      </c>
      <c r="F9" s="39" t="s">
        <v>1008</v>
      </c>
      <c r="G9" s="39">
        <v>27</v>
      </c>
      <c r="H9" s="39"/>
      <c r="I9" s="40" t="s">
        <v>239</v>
      </c>
      <c r="J9" s="41">
        <v>1</v>
      </c>
      <c r="K9" s="497">
        <f>O9/J9</f>
        <v>461</v>
      </c>
      <c r="L9" s="41"/>
      <c r="M9" s="42">
        <v>1000</v>
      </c>
      <c r="N9" s="42">
        <v>3773</v>
      </c>
      <c r="O9" s="43">
        <v>461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0.16680961698249752</v>
      </c>
      <c r="V9" s="48">
        <f t="shared" si="2"/>
        <v>2773</v>
      </c>
      <c r="W9" s="49">
        <f t="shared" si="3"/>
        <v>6.1781339623147233E-3</v>
      </c>
      <c r="X9" s="44">
        <f t="shared" si="4"/>
        <v>513.0027127502749</v>
      </c>
      <c r="Y9" s="44">
        <f t="shared" si="5"/>
        <v>2773</v>
      </c>
      <c r="Z9" s="44">
        <f t="shared" si="6"/>
        <v>859.71162092256577</v>
      </c>
      <c r="AA9" s="50">
        <f t="shared" si="7"/>
        <v>4286.0027127502744</v>
      </c>
      <c r="AB9" s="51">
        <f t="shared" si="8"/>
        <v>804.97342783011777</v>
      </c>
      <c r="AC9" s="44">
        <f t="shared" si="8"/>
        <v>4013.1111542605563</v>
      </c>
      <c r="AD9" s="44">
        <f t="shared" si="9"/>
        <v>182.7609272861506</v>
      </c>
      <c r="AE9" s="44">
        <f t="shared" ref="AE9:AE24" si="17">-PV(ElecDiscountRate,T9,S9)*J9</f>
        <v>0</v>
      </c>
      <c r="AF9" s="52">
        <f>HLOOKUP(I9,ElecAvoidedCostsWOCC!$A$5:$Q$50,G9+1,FALSE)</f>
        <v>1.7006816239042242</v>
      </c>
      <c r="AG9" s="44">
        <f t="shared" si="10"/>
        <v>784.01422861984736</v>
      </c>
      <c r="AH9" s="52">
        <f>HLOOKUP(I9,ElecAvoidedCostsWOCC!$A$5:$Q$50,T9+1,FALSE)</f>
        <v>1.7006816239042242</v>
      </c>
      <c r="AI9" s="44">
        <f t="shared" si="11"/>
        <v>0</v>
      </c>
      <c r="AJ9" s="44">
        <f t="shared" si="12"/>
        <v>784.01422861984736</v>
      </c>
      <c r="AK9" s="44">
        <f>HLOOKUP(I9,ElecAvoidedCostsWOCC!$A$5:$Q$50,G9+1,FALSE)*J9*L9</f>
        <v>0</v>
      </c>
      <c r="AL9" s="44">
        <f t="shared" si="13"/>
        <v>784.01422861984736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784.01422861984736</v>
      </c>
      <c r="AN9" s="48">
        <f t="shared" si="14"/>
        <v>1045.1765787679828</v>
      </c>
      <c r="AO9" s="47">
        <f t="shared" si="15"/>
        <v>0.97396286823185219</v>
      </c>
      <c r="AP9" s="47">
        <f t="shared" si="16"/>
        <v>0.26044047587826258</v>
      </c>
    </row>
    <row r="10" spans="1:42" ht="13.5" customHeight="1" x14ac:dyDescent="0.35">
      <c r="A10" s="54">
        <f>SUM(O5:O999)</f>
        <v>74618</v>
      </c>
      <c r="B10" s="97" t="s">
        <v>17</v>
      </c>
      <c r="C10" s="61">
        <v>18230405</v>
      </c>
      <c r="D10" s="61" t="s">
        <v>37</v>
      </c>
      <c r="E10" s="38" t="s">
        <v>1009</v>
      </c>
      <c r="F10" s="39" t="s">
        <v>1010</v>
      </c>
      <c r="G10" s="39">
        <v>36</v>
      </c>
      <c r="H10" s="39"/>
      <c r="I10" s="40" t="s">
        <v>273</v>
      </c>
      <c r="J10" s="41">
        <v>5</v>
      </c>
      <c r="K10" s="497">
        <f>O10/J10</f>
        <v>1696.8</v>
      </c>
      <c r="L10" s="41"/>
      <c r="M10" s="42">
        <v>1000</v>
      </c>
      <c r="N10" s="42">
        <v>4164</v>
      </c>
      <c r="O10" s="43">
        <v>8484</v>
      </c>
      <c r="P10" s="44">
        <v>4130.83</v>
      </c>
      <c r="Q10" s="44">
        <v>20820</v>
      </c>
      <c r="R10" s="45">
        <v>3.35</v>
      </c>
      <c r="S10" s="46">
        <v>0</v>
      </c>
      <c r="T10" s="39">
        <f t="shared" si="0"/>
        <v>36</v>
      </c>
      <c r="U10" s="47">
        <f t="shared" si="1"/>
        <v>4.0931678683427588</v>
      </c>
      <c r="V10" s="48">
        <f t="shared" si="2"/>
        <v>3164</v>
      </c>
      <c r="W10" s="49">
        <f t="shared" si="3"/>
        <v>0.11369910745396553</v>
      </c>
      <c r="X10" s="44">
        <f t="shared" si="4"/>
        <v>9441.03040124367</v>
      </c>
      <c r="Y10" s="44">
        <f t="shared" si="5"/>
        <v>16689.169999999998</v>
      </c>
      <c r="Z10" s="44">
        <f t="shared" si="6"/>
        <v>15821.677639711599</v>
      </c>
      <c r="AA10" s="50">
        <f t="shared" si="7"/>
        <v>30261.030401243668</v>
      </c>
      <c r="AB10" s="51">
        <f t="shared" si="8"/>
        <v>14814.304906097002</v>
      </c>
      <c r="AC10" s="44">
        <f t="shared" si="8"/>
        <v>28334.298128505307</v>
      </c>
      <c r="AD10" s="44">
        <f t="shared" si="9"/>
        <v>223.25920161526696</v>
      </c>
      <c r="AE10" s="44">
        <f t="shared" si="17"/>
        <v>0</v>
      </c>
      <c r="AF10" s="52">
        <f>HLOOKUP(I10,ElecAvoidedCostsWOCC!$A$5:$Q$50,G10+1,FALSE)</f>
        <v>2.3701944413854048</v>
      </c>
      <c r="AG10" s="44">
        <f t="shared" si="10"/>
        <v>20108.729640713773</v>
      </c>
      <c r="AH10" s="52">
        <f>HLOOKUP(I10,ElecAvoidedCostsWOCC!$A$5:$Q$50,T10+1,FALSE)</f>
        <v>2.3701944413854048</v>
      </c>
      <c r="AI10" s="44">
        <f t="shared" si="11"/>
        <v>0</v>
      </c>
      <c r="AJ10" s="44">
        <f t="shared" si="12"/>
        <v>20108.729640713773</v>
      </c>
      <c r="AK10" s="44">
        <f>HLOOKUP(I10,ElecAvoidedCostsWOCC!$A$5:$Q$50,G10+1,FALSE)*J10*L10</f>
        <v>0</v>
      </c>
      <c r="AL10" s="44">
        <f t="shared" si="13"/>
        <v>20108.729640713773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20108.729640713773</v>
      </c>
      <c r="AN10" s="48">
        <f t="shared" si="14"/>
        <v>22342.861806400419</v>
      </c>
      <c r="AO10" s="47">
        <f t="shared" si="15"/>
        <v>1.3573859703966122</v>
      </c>
      <c r="AP10" s="47">
        <f t="shared" si="16"/>
        <v>0.78854474196142899</v>
      </c>
    </row>
    <row r="11" spans="1:42" ht="13.5" customHeight="1" x14ac:dyDescent="0.35">
      <c r="A11" s="36" t="s">
        <v>243</v>
      </c>
      <c r="B11" s="97" t="s">
        <v>17</v>
      </c>
      <c r="C11" s="61">
        <v>18230405</v>
      </c>
      <c r="D11" s="61" t="s">
        <v>37</v>
      </c>
      <c r="E11" s="38" t="s">
        <v>1011</v>
      </c>
      <c r="F11" s="39" t="s">
        <v>1012</v>
      </c>
      <c r="G11" s="39">
        <v>27</v>
      </c>
      <c r="H11" s="39"/>
      <c r="I11" s="40" t="s">
        <v>239</v>
      </c>
      <c r="J11" s="41">
        <v>18</v>
      </c>
      <c r="K11" s="497">
        <f>O11/J11</f>
        <v>265.72222222222223</v>
      </c>
      <c r="L11" s="41"/>
      <c r="M11" s="42">
        <v>500</v>
      </c>
      <c r="N11" s="42">
        <v>2364.5</v>
      </c>
      <c r="O11" s="43">
        <v>4783</v>
      </c>
      <c r="P11" s="44">
        <v>9250</v>
      </c>
      <c r="Q11" s="44">
        <v>42561</v>
      </c>
      <c r="R11" s="45">
        <v>6.54</v>
      </c>
      <c r="S11" s="46">
        <v>0</v>
      </c>
      <c r="T11" s="39">
        <f t="shared" si="0"/>
        <v>27</v>
      </c>
      <c r="U11" s="47">
        <f t="shared" si="1"/>
        <v>1.7306950065667801</v>
      </c>
      <c r="V11" s="48">
        <f t="shared" si="2"/>
        <v>1864.5</v>
      </c>
      <c r="W11" s="49">
        <f t="shared" si="3"/>
        <v>6.4099815058028892E-2</v>
      </c>
      <c r="X11" s="44">
        <f t="shared" si="4"/>
        <v>5322.542245302744</v>
      </c>
      <c r="Y11" s="44">
        <f t="shared" si="5"/>
        <v>33311</v>
      </c>
      <c r="Z11" s="44">
        <f t="shared" si="6"/>
        <v>8919.7411775978999</v>
      </c>
      <c r="AA11" s="50">
        <f t="shared" si="7"/>
        <v>47883.542245302742</v>
      </c>
      <c r="AB11" s="51">
        <f t="shared" si="8"/>
        <v>8351.8175820205051</v>
      </c>
      <c r="AC11" s="44">
        <f t="shared" si="8"/>
        <v>44834.777383242268</v>
      </c>
      <c r="AD11" s="44">
        <f t="shared" si="9"/>
        <v>1438.1428048212333</v>
      </c>
      <c r="AE11" s="44">
        <f t="shared" si="17"/>
        <v>0</v>
      </c>
      <c r="AF11" s="52">
        <f>HLOOKUP(I11,ElecAvoidedCostsWOCC!$A$5:$Q$50,G11+1,FALSE)</f>
        <v>1.7006816239042242</v>
      </c>
      <c r="AG11" s="44">
        <f t="shared" si="10"/>
        <v>8134.3602071339037</v>
      </c>
      <c r="AH11" s="52">
        <f>HLOOKUP(I11,ElecAvoidedCostsWOCC!$A$5:$Q$50,T11+1,FALSE)</f>
        <v>1.7006816239042242</v>
      </c>
      <c r="AI11" s="44">
        <f t="shared" si="11"/>
        <v>0</v>
      </c>
      <c r="AJ11" s="44">
        <f t="shared" si="12"/>
        <v>8134.3602071339037</v>
      </c>
      <c r="AK11" s="44">
        <f>HLOOKUP(I11,ElecAvoidedCostsWOCC!$A$5:$Q$50,G11+1,FALSE)*J11*L11</f>
        <v>0</v>
      </c>
      <c r="AL11" s="44">
        <f t="shared" si="13"/>
        <v>8134.3602071339037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8134.3602071339046</v>
      </c>
      <c r="AN11" s="48">
        <f t="shared" si="14"/>
        <v>10385.939032668528</v>
      </c>
      <c r="AO11" s="47">
        <f t="shared" si="15"/>
        <v>0.9739628682318523</v>
      </c>
      <c r="AP11" s="47">
        <f t="shared" si="16"/>
        <v>0.23164917144320299</v>
      </c>
    </row>
    <row r="12" spans="1:42" ht="13.5" customHeight="1" x14ac:dyDescent="0.35">
      <c r="A12" s="55">
        <f>SUM(P5:P1000)</f>
        <v>56118.710000000006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163153.49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33.624138947706989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139153.93000000002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302307.42000000004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1.2559745023526183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0.6585746294708561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24 R5:S24">
    <cfRule type="expression" dxfId="277" priority="2">
      <formula>ISTEXT(M5)</formula>
    </cfRule>
  </conditionalFormatting>
  <conditionalFormatting sqref="M5:N24 R5:S24">
    <cfRule type="notContainsBlanks" dxfId="276" priority="3">
      <formula>LEN(TRIM(M5))&gt;0</formula>
    </cfRule>
  </conditionalFormatting>
  <conditionalFormatting sqref="R5:S24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2" sqref="F12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17</v>
      </c>
      <c r="C5" s="61">
        <v>18230071</v>
      </c>
      <c r="D5" s="61" t="s">
        <v>18</v>
      </c>
      <c r="E5" s="38" t="s">
        <v>1013</v>
      </c>
      <c r="F5" s="39" t="s">
        <v>1014</v>
      </c>
      <c r="G5" s="39">
        <v>44</v>
      </c>
      <c r="H5" s="39"/>
      <c r="I5" s="40" t="s">
        <v>274</v>
      </c>
      <c r="J5" s="41">
        <v>2</v>
      </c>
      <c r="K5" s="41">
        <v>2302</v>
      </c>
      <c r="L5" s="41"/>
      <c r="M5" s="42">
        <v>1000</v>
      </c>
      <c r="N5" s="42">
        <v>2400.94</v>
      </c>
      <c r="O5" s="43">
        <v>4604</v>
      </c>
      <c r="P5" s="44">
        <v>2000</v>
      </c>
      <c r="Q5" s="44">
        <v>4801.88</v>
      </c>
      <c r="R5" s="45">
        <v>17.04</v>
      </c>
      <c r="S5" s="46">
        <v>0</v>
      </c>
      <c r="T5" s="39">
        <f t="shared" ref="T5:T24" si="0">G5+H5</f>
        <v>44</v>
      </c>
      <c r="U5" s="47">
        <f t="shared" ref="U5:U24" si="1">(O5/$A$10)*T5</f>
        <v>1.289176254963853</v>
      </c>
      <c r="V5" s="48">
        <f t="shared" ref="V5:V24" si="2">N5-M5</f>
        <v>1400.94</v>
      </c>
      <c r="W5" s="49">
        <f t="shared" ref="W5:W24" si="3">(O5/A$10)</f>
        <v>2.9299460340087569E-2</v>
      </c>
      <c r="X5" s="44">
        <f t="shared" ref="X5:X24" si="4">W5*A$8</f>
        <v>1628.8337648915592</v>
      </c>
      <c r="Y5" s="44">
        <f t="shared" ref="Y5:Y24" si="5">Q5-P5</f>
        <v>2801.88</v>
      </c>
      <c r="Z5" s="44">
        <f t="shared" ref="Z5:Z24" si="6">X5+(A$6*W5)</f>
        <v>4835.6034441502907</v>
      </c>
      <c r="AA5" s="50">
        <f t="shared" ref="AA5:AA24" si="7">Q5+X5</f>
        <v>6430.7137648915595</v>
      </c>
      <c r="AB5" s="51">
        <f t="shared" ref="AB5:AC20" si="8">Z5/(1+ElecDiscountRate)^1</f>
        <v>4527.7185806650659</v>
      </c>
      <c r="AC5" s="44">
        <f t="shared" si="8"/>
        <v>6021.2675701231828</v>
      </c>
      <c r="AD5" s="44">
        <f t="shared" ref="AD5:AD24" si="9">-PV(ElecDiscountRate,T5,R5)*J5</f>
        <v>473.45249199006633</v>
      </c>
      <c r="AE5" s="44">
        <v>0</v>
      </c>
      <c r="AF5" s="52">
        <f>HLOOKUP(I5,ElecAvoidedCostsWOCC!$A$5:$Q$50,G5+1,FALSE)</f>
        <v>3.1897855916289242</v>
      </c>
      <c r="AG5" s="44">
        <f t="shared" ref="AG5:AG24" si="10">AF5*J5*K5</f>
        <v>14685.772863859567</v>
      </c>
      <c r="AH5" s="52">
        <f>HLOOKUP(I5,ElecAvoidedCostsWOCC!$A$5:$Q$50,T5+1,FALSE)</f>
        <v>3.1897855916289242</v>
      </c>
      <c r="AI5" s="44">
        <f t="shared" ref="AI5:AI24" si="11">AH5*J5*L5</f>
        <v>0</v>
      </c>
      <c r="AJ5" s="44">
        <f>AG5+AI5</f>
        <v>14685.772863859567</v>
      </c>
      <c r="AK5" s="44">
        <f>HLOOKUP(I5,ElecAvoidedCostsWOCC!$A$5:$Q$50,G5+1,FALSE)*J5*L5</f>
        <v>0</v>
      </c>
      <c r="AL5" s="44">
        <f>AG5+AI5-AK5</f>
        <v>14685.772863859567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14685.772863859567</v>
      </c>
      <c r="AN5" s="48">
        <f>AM5*1.1+AD5+AE5</f>
        <v>16627.802642235591</v>
      </c>
      <c r="AO5" s="47">
        <f>IFERROR(AM5/AB5,0)</f>
        <v>3.2435259838305606</v>
      </c>
      <c r="AP5" s="47">
        <f>AN5/AC5</f>
        <v>2.7615119986928964</v>
      </c>
    </row>
    <row r="6" spans="1:42" ht="13.5" customHeight="1" x14ac:dyDescent="0.35">
      <c r="A6" s="53">
        <f>SUMIF('Program Costs'!D:D,C2,'Program Costs'!L:L)</f>
        <v>109448.08</v>
      </c>
      <c r="B6" s="97" t="s">
        <v>17</v>
      </c>
      <c r="C6" s="61">
        <v>18230071</v>
      </c>
      <c r="D6" s="61" t="s">
        <v>18</v>
      </c>
      <c r="E6" s="38" t="s">
        <v>1015</v>
      </c>
      <c r="F6" s="39" t="s">
        <v>1014</v>
      </c>
      <c r="G6" s="39">
        <v>45</v>
      </c>
      <c r="H6" s="39"/>
      <c r="I6" s="40" t="s">
        <v>274</v>
      </c>
      <c r="J6" s="41">
        <v>38</v>
      </c>
      <c r="K6" s="41">
        <v>2066</v>
      </c>
      <c r="L6" s="41"/>
      <c r="M6" s="42">
        <v>1000</v>
      </c>
      <c r="N6" s="42">
        <v>2514.08</v>
      </c>
      <c r="O6" s="43">
        <v>78508</v>
      </c>
      <c r="P6" s="44">
        <v>38000</v>
      </c>
      <c r="Q6" s="44">
        <v>95535.039999999994</v>
      </c>
      <c r="R6" s="45">
        <v>0</v>
      </c>
      <c r="S6" s="46">
        <v>0</v>
      </c>
      <c r="T6" s="39">
        <f t="shared" si="0"/>
        <v>45</v>
      </c>
      <c r="U6" s="47">
        <f t="shared" si="1"/>
        <v>22.4828174320334</v>
      </c>
      <c r="V6" s="48">
        <f t="shared" si="2"/>
        <v>1514.08</v>
      </c>
      <c r="W6" s="49">
        <f t="shared" si="3"/>
        <v>0.49961816515629776</v>
      </c>
      <c r="X6" s="44">
        <f t="shared" si="4"/>
        <v>27775.082800631306</v>
      </c>
      <c r="Y6" s="44">
        <f t="shared" si="5"/>
        <v>57535.039999999994</v>
      </c>
      <c r="Z6" s="44">
        <f t="shared" si="6"/>
        <v>82457.331710111001</v>
      </c>
      <c r="AA6" s="50">
        <f t="shared" si="7"/>
        <v>123310.1228006313</v>
      </c>
      <c r="AB6" s="51">
        <f t="shared" si="8"/>
        <v>77207.239428942878</v>
      </c>
      <c r="AC6" s="44">
        <f t="shared" si="8"/>
        <v>115458.91647999185</v>
      </c>
      <c r="AD6" s="44">
        <f t="shared" si="9"/>
        <v>0</v>
      </c>
      <c r="AE6" s="44">
        <v>0</v>
      </c>
      <c r="AF6" s="52">
        <f>HLOOKUP(I6,ElecAvoidedCostsWOCC!$A$5:$Q$50,G6+1,FALSE)</f>
        <v>3.2695302314196475</v>
      </c>
      <c r="AG6" s="44">
        <f t="shared" si="10"/>
        <v>256684.27940829366</v>
      </c>
      <c r="AH6" s="52">
        <f>HLOOKUP(I6,ElecAvoidedCostsWOCC!$A$5:$Q$50,T6+1,FALSE)</f>
        <v>3.2695302314196475</v>
      </c>
      <c r="AI6" s="44">
        <f t="shared" si="11"/>
        <v>0</v>
      </c>
      <c r="AJ6" s="44">
        <f t="shared" ref="AJ6:AJ24" si="12">AG6+AI6</f>
        <v>256684.27940829366</v>
      </c>
      <c r="AK6" s="44">
        <f>HLOOKUP(I6,ElecAvoidedCostsWOCC!$A$5:$Q$50,G6+1,FALSE)*J6*L6</f>
        <v>0</v>
      </c>
      <c r="AL6" s="44">
        <f t="shared" ref="AL6:AL24" si="13">AG6+AI6-AK6</f>
        <v>256684.27940829366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256684.27940829369</v>
      </c>
      <c r="AN6" s="48">
        <f t="shared" ref="AN6:AN24" si="14">AM6*1.1+AD6+AE6</f>
        <v>282352.70734912308</v>
      </c>
      <c r="AO6" s="47">
        <f t="shared" ref="AO6:AO24" si="15">IFERROR(AM6/AB6,0)</f>
        <v>3.3246141334263246</v>
      </c>
      <c r="AP6" s="47">
        <f t="shared" ref="AP6:AP24" si="16">AN6/AC6</f>
        <v>2.4454820464043818</v>
      </c>
    </row>
    <row r="7" spans="1:42" ht="13.5" customHeight="1" x14ac:dyDescent="0.35">
      <c r="A7" s="36" t="s">
        <v>240</v>
      </c>
      <c r="B7" s="97" t="s">
        <v>17</v>
      </c>
      <c r="C7" s="61">
        <v>18230071</v>
      </c>
      <c r="D7" s="61" t="s">
        <v>18</v>
      </c>
      <c r="E7" s="38" t="s">
        <v>1016</v>
      </c>
      <c r="F7" s="39" t="s">
        <v>1017</v>
      </c>
      <c r="G7" s="39">
        <v>43</v>
      </c>
      <c r="H7" s="39"/>
      <c r="I7" s="40" t="s">
        <v>274</v>
      </c>
      <c r="J7" s="41">
        <v>3</v>
      </c>
      <c r="K7" s="41">
        <v>2606</v>
      </c>
      <c r="L7" s="41"/>
      <c r="M7" s="42">
        <v>2000</v>
      </c>
      <c r="N7" s="42">
        <v>4110.8</v>
      </c>
      <c r="O7" s="43">
        <v>7818</v>
      </c>
      <c r="P7" s="44">
        <v>6000</v>
      </c>
      <c r="Q7" s="44">
        <v>12332.4</v>
      </c>
      <c r="R7" s="45">
        <v>0</v>
      </c>
      <c r="S7" s="46">
        <v>0</v>
      </c>
      <c r="T7" s="39">
        <f t="shared" si="0"/>
        <v>43</v>
      </c>
      <c r="U7" s="47">
        <f t="shared" si="1"/>
        <v>2.1393824457794524</v>
      </c>
      <c r="V7" s="48">
        <f t="shared" si="2"/>
        <v>2110.8000000000002</v>
      </c>
      <c r="W7" s="49">
        <f t="shared" si="3"/>
        <v>4.9753080134405867E-2</v>
      </c>
      <c r="X7" s="44">
        <f t="shared" si="4"/>
        <v>2765.9040777415748</v>
      </c>
      <c r="Y7" s="44">
        <f t="shared" si="5"/>
        <v>6332.4</v>
      </c>
      <c r="Z7" s="44">
        <f t="shared" si="6"/>
        <v>8211.2831725384385</v>
      </c>
      <c r="AA7" s="50">
        <f t="shared" si="7"/>
        <v>15098.304077741574</v>
      </c>
      <c r="AB7" s="51">
        <f t="shared" si="8"/>
        <v>7688.4673900172638</v>
      </c>
      <c r="AC7" s="44">
        <f t="shared" si="8"/>
        <v>14136.988836836679</v>
      </c>
      <c r="AD7" s="44">
        <f t="shared" si="9"/>
        <v>0</v>
      </c>
      <c r="AE7" s="44">
        <v>0</v>
      </c>
      <c r="AF7" s="52">
        <f>HLOOKUP(I7,ElecAvoidedCostsWOCC!$A$5:$Q$50,G7+1,FALSE)</f>
        <v>3.1119859430526091</v>
      </c>
      <c r="AG7" s="44">
        <f t="shared" si="10"/>
        <v>24329.506102785297</v>
      </c>
      <c r="AH7" s="52">
        <f>HLOOKUP(I7,ElecAvoidedCostsWOCC!$A$5:$Q$50,T7+1,FALSE)</f>
        <v>3.1119859430526091</v>
      </c>
      <c r="AI7" s="44">
        <f t="shared" si="11"/>
        <v>0</v>
      </c>
      <c r="AJ7" s="44">
        <f t="shared" si="12"/>
        <v>24329.506102785297</v>
      </c>
      <c r="AK7" s="44">
        <f>HLOOKUP(I7,ElecAvoidedCostsWOCC!$A$5:$Q$50,G7+1,FALSE)*J7*L7</f>
        <v>0</v>
      </c>
      <c r="AL7" s="44">
        <f t="shared" si="13"/>
        <v>24329.506102785297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24329.506102785297</v>
      </c>
      <c r="AN7" s="48">
        <f t="shared" si="14"/>
        <v>26762.456713063828</v>
      </c>
      <c r="AO7" s="47">
        <f t="shared" si="15"/>
        <v>3.164415593981035</v>
      </c>
      <c r="AP7" s="47">
        <f t="shared" si="16"/>
        <v>1.893080416342201</v>
      </c>
    </row>
    <row r="8" spans="1:42" ht="13.5" customHeight="1" x14ac:dyDescent="0.35">
      <c r="A8" s="53">
        <f>SUMIF('Program Costs'!D:D,C2,'Program Costs'!O:O)</f>
        <v>55592.62000000001</v>
      </c>
      <c r="B8" s="97" t="s">
        <v>17</v>
      </c>
      <c r="C8" s="61">
        <v>18230071</v>
      </c>
      <c r="D8" s="61" t="s">
        <v>18</v>
      </c>
      <c r="E8" s="38" t="s">
        <v>1018</v>
      </c>
      <c r="F8" s="39" t="s">
        <v>1019</v>
      </c>
      <c r="G8" s="39"/>
      <c r="H8" s="39"/>
      <c r="I8" s="40"/>
      <c r="J8" s="41">
        <v>2</v>
      </c>
      <c r="K8" s="41">
        <v>0</v>
      </c>
      <c r="L8" s="41"/>
      <c r="M8" s="42">
        <v>200</v>
      </c>
      <c r="N8" s="42">
        <v>200</v>
      </c>
      <c r="O8" s="43">
        <v>0</v>
      </c>
      <c r="P8" s="44">
        <v>400</v>
      </c>
      <c r="Q8" s="44">
        <v>400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400</v>
      </c>
      <c r="AB8" s="51">
        <f t="shared" si="8"/>
        <v>0</v>
      </c>
      <c r="AC8" s="44">
        <f t="shared" si="8"/>
        <v>374.53183520599248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242</v>
      </c>
      <c r="B9" s="97" t="s">
        <v>17</v>
      </c>
      <c r="C9" s="61">
        <v>18230071</v>
      </c>
      <c r="D9" s="61" t="s">
        <v>18</v>
      </c>
      <c r="E9" s="38" t="s">
        <v>1020</v>
      </c>
      <c r="F9" s="39" t="s">
        <v>1019</v>
      </c>
      <c r="G9" s="39"/>
      <c r="H9" s="39"/>
      <c r="I9" s="40"/>
      <c r="J9" s="41">
        <v>62</v>
      </c>
      <c r="K9" s="41">
        <v>0</v>
      </c>
      <c r="L9" s="41"/>
      <c r="M9" s="42">
        <v>200</v>
      </c>
      <c r="N9" s="42">
        <v>0</v>
      </c>
      <c r="O9" s="43">
        <v>0</v>
      </c>
      <c r="P9" s="44">
        <v>12400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-200</v>
      </c>
      <c r="W9" s="49">
        <f t="shared" si="3"/>
        <v>0</v>
      </c>
      <c r="X9" s="44">
        <f t="shared" si="4"/>
        <v>0</v>
      </c>
      <c r="Y9" s="44">
        <f t="shared" si="5"/>
        <v>-12400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157136</v>
      </c>
      <c r="B10" s="97" t="s">
        <v>17</v>
      </c>
      <c r="C10" s="61">
        <v>18230071</v>
      </c>
      <c r="D10" s="61" t="s">
        <v>18</v>
      </c>
      <c r="E10" s="38" t="s">
        <v>1021</v>
      </c>
      <c r="F10" s="39" t="s">
        <v>1022</v>
      </c>
      <c r="G10" s="39"/>
      <c r="H10" s="39"/>
      <c r="I10" s="40"/>
      <c r="J10" s="41">
        <v>3</v>
      </c>
      <c r="K10" s="41">
        <v>0</v>
      </c>
      <c r="L10" s="41"/>
      <c r="M10" s="42">
        <v>400</v>
      </c>
      <c r="N10" s="42">
        <v>0</v>
      </c>
      <c r="O10" s="43">
        <v>0</v>
      </c>
      <c r="P10" s="44">
        <v>1200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-400</v>
      </c>
      <c r="W10" s="49">
        <f t="shared" si="3"/>
        <v>0</v>
      </c>
      <c r="X10" s="44">
        <f t="shared" si="4"/>
        <v>0</v>
      </c>
      <c r="Y10" s="44">
        <f t="shared" si="5"/>
        <v>-1200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17</v>
      </c>
      <c r="C11" s="61">
        <v>18230071</v>
      </c>
      <c r="D11" s="61" t="s">
        <v>18</v>
      </c>
      <c r="E11" s="38" t="s">
        <v>1023</v>
      </c>
      <c r="F11" s="39" t="s">
        <v>1024</v>
      </c>
      <c r="G11" s="39">
        <v>45</v>
      </c>
      <c r="H11" s="39"/>
      <c r="I11" s="40" t="s">
        <v>274</v>
      </c>
      <c r="J11" s="41">
        <v>27</v>
      </c>
      <c r="K11" s="41">
        <v>2066</v>
      </c>
      <c r="L11" s="41"/>
      <c r="M11" s="42">
        <v>1000</v>
      </c>
      <c r="N11" s="42">
        <v>2514.08</v>
      </c>
      <c r="O11" s="43">
        <v>55782</v>
      </c>
      <c r="P11" s="44">
        <v>27000</v>
      </c>
      <c r="Q11" s="44">
        <v>67880.160000000003</v>
      </c>
      <c r="R11" s="45">
        <v>72.558000000000007</v>
      </c>
      <c r="S11" s="46">
        <v>0</v>
      </c>
      <c r="T11" s="39">
        <f t="shared" si="0"/>
        <v>45</v>
      </c>
      <c r="U11" s="47">
        <f t="shared" si="1"/>
        <v>15.974633438550045</v>
      </c>
      <c r="V11" s="48">
        <f t="shared" si="2"/>
        <v>1514.08</v>
      </c>
      <c r="W11" s="49">
        <f t="shared" si="3"/>
        <v>0.35499185419000101</v>
      </c>
      <c r="X11" s="44">
        <f t="shared" si="4"/>
        <v>19734.927253080139</v>
      </c>
      <c r="Y11" s="44">
        <f t="shared" si="5"/>
        <v>40880.160000000003</v>
      </c>
      <c r="Z11" s="44">
        <f t="shared" si="6"/>
        <v>58588.104109815707</v>
      </c>
      <c r="AA11" s="50">
        <f t="shared" si="7"/>
        <v>87615.087253080143</v>
      </c>
      <c r="AB11" s="51">
        <f t="shared" si="8"/>
        <v>54857.775383722568</v>
      </c>
      <c r="AC11" s="44">
        <f t="shared" si="8"/>
        <v>82036.598551573159</v>
      </c>
      <c r="AD11" s="44">
        <f t="shared" si="9"/>
        <v>27317.570932269176</v>
      </c>
      <c r="AE11" s="44">
        <f t="shared" si="17"/>
        <v>0</v>
      </c>
      <c r="AF11" s="52">
        <f>HLOOKUP(I11,ElecAvoidedCostsWOCC!$A$5:$Q$50,G11+1,FALSE)</f>
        <v>3.2695302314196475</v>
      </c>
      <c r="AG11" s="44">
        <f t="shared" si="10"/>
        <v>182380.93536905077</v>
      </c>
      <c r="AH11" s="52">
        <f>HLOOKUP(I11,ElecAvoidedCostsWOCC!$A$5:$Q$50,T11+1,FALSE)</f>
        <v>3.2695302314196475</v>
      </c>
      <c r="AI11" s="44">
        <f t="shared" si="11"/>
        <v>0</v>
      </c>
      <c r="AJ11" s="44">
        <f t="shared" si="12"/>
        <v>182380.93536905077</v>
      </c>
      <c r="AK11" s="44">
        <f>HLOOKUP(I11,ElecAvoidedCostsWOCC!$A$5:$Q$50,G11+1,FALSE)*J11*L11</f>
        <v>0</v>
      </c>
      <c r="AL11" s="44">
        <f t="shared" si="13"/>
        <v>182380.93536905077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182380.93536905077</v>
      </c>
      <c r="AN11" s="48">
        <f t="shared" si="14"/>
        <v>227936.59983822505</v>
      </c>
      <c r="AO11" s="47">
        <f t="shared" si="15"/>
        <v>3.3246141334263246</v>
      </c>
      <c r="AP11" s="47">
        <f t="shared" si="16"/>
        <v>2.7784745328626754</v>
      </c>
    </row>
    <row r="12" spans="1:42" ht="13.5" customHeight="1" x14ac:dyDescent="0.35">
      <c r="A12" s="55">
        <f>SUM(P5:P1000)</f>
        <v>95000</v>
      </c>
      <c r="B12" s="97" t="s">
        <v>17</v>
      </c>
      <c r="C12" s="61">
        <v>18230071</v>
      </c>
      <c r="D12" s="61" t="s">
        <v>18</v>
      </c>
      <c r="E12" s="38" t="s">
        <v>1025</v>
      </c>
      <c r="F12" s="39" t="s">
        <v>1026</v>
      </c>
      <c r="G12" s="39">
        <v>15</v>
      </c>
      <c r="H12" s="39"/>
      <c r="I12" s="40" t="s">
        <v>274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15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1.3031638418298148</v>
      </c>
      <c r="AG12" s="44">
        <f t="shared" si="10"/>
        <v>0</v>
      </c>
      <c r="AH12" s="52">
        <f>HLOOKUP(I12,ElecAvoidedCostsWOCC!$A$5:$Q$50,T12+1,FALSE)</f>
        <v>1.3031638418298148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17</v>
      </c>
      <c r="C13" s="61">
        <v>18230071</v>
      </c>
      <c r="D13" s="61" t="s">
        <v>18</v>
      </c>
      <c r="E13" s="38" t="s">
        <v>1027</v>
      </c>
      <c r="F13" s="39" t="s">
        <v>1028</v>
      </c>
      <c r="G13" s="39">
        <v>43</v>
      </c>
      <c r="H13" s="39"/>
      <c r="I13" s="40" t="s">
        <v>274</v>
      </c>
      <c r="J13" s="41">
        <v>4</v>
      </c>
      <c r="K13" s="41">
        <v>2606</v>
      </c>
      <c r="L13" s="41"/>
      <c r="M13" s="42">
        <v>2000</v>
      </c>
      <c r="N13" s="42">
        <v>4110.8</v>
      </c>
      <c r="O13" s="43">
        <v>10424</v>
      </c>
      <c r="P13" s="44">
        <v>8000</v>
      </c>
      <c r="Q13" s="44">
        <v>16443.2</v>
      </c>
      <c r="R13" s="45">
        <v>77.715999999999994</v>
      </c>
      <c r="S13" s="46">
        <v>0</v>
      </c>
      <c r="T13" s="39">
        <f t="shared" si="0"/>
        <v>43</v>
      </c>
      <c r="U13" s="47">
        <f t="shared" si="1"/>
        <v>2.8525099277059365</v>
      </c>
      <c r="V13" s="48">
        <f t="shared" si="2"/>
        <v>2110.8000000000002</v>
      </c>
      <c r="W13" s="49">
        <f t="shared" si="3"/>
        <v>6.6337440179207827E-2</v>
      </c>
      <c r="X13" s="44">
        <f t="shared" si="4"/>
        <v>3687.8721036554334</v>
      </c>
      <c r="Y13" s="44">
        <f t="shared" si="5"/>
        <v>8443.2000000000007</v>
      </c>
      <c r="Z13" s="44">
        <f t="shared" si="6"/>
        <v>10948.377563384587</v>
      </c>
      <c r="AA13" s="50">
        <f t="shared" si="7"/>
        <v>20131.072103655435</v>
      </c>
      <c r="AB13" s="51">
        <f t="shared" si="8"/>
        <v>10251.289853356355</v>
      </c>
      <c r="AC13" s="44">
        <f t="shared" si="8"/>
        <v>18849.318449115573</v>
      </c>
      <c r="AD13" s="44">
        <f t="shared" si="9"/>
        <v>4301.446160855633</v>
      </c>
      <c r="AE13" s="44">
        <f t="shared" si="17"/>
        <v>0</v>
      </c>
      <c r="AF13" s="52">
        <f>HLOOKUP(I13,ElecAvoidedCostsWOCC!$A$5:$Q$50,G13+1,FALSE)</f>
        <v>3.1119859430526091</v>
      </c>
      <c r="AG13" s="44">
        <f t="shared" si="10"/>
        <v>32439.341470380397</v>
      </c>
      <c r="AH13" s="52">
        <f>HLOOKUP(I13,ElecAvoidedCostsWOCC!$A$5:$Q$50,T13+1,FALSE)</f>
        <v>3.1119859430526091</v>
      </c>
      <c r="AI13" s="44">
        <f t="shared" si="11"/>
        <v>0</v>
      </c>
      <c r="AJ13" s="44">
        <f t="shared" si="12"/>
        <v>32439.341470380397</v>
      </c>
      <c r="AK13" s="44">
        <f>HLOOKUP(I13,ElecAvoidedCostsWOCC!$A$5:$Q$50,G13+1,FALSE)*J13*L13</f>
        <v>0</v>
      </c>
      <c r="AL13" s="44">
        <f t="shared" si="13"/>
        <v>32439.341470380397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32439.341470380397</v>
      </c>
      <c r="AN13" s="48">
        <f t="shared" si="14"/>
        <v>39984.72177827407</v>
      </c>
      <c r="AO13" s="47">
        <f t="shared" si="15"/>
        <v>3.1644155939810341</v>
      </c>
      <c r="AP13" s="47">
        <f t="shared" si="16"/>
        <v>2.1212820976108127</v>
      </c>
    </row>
    <row r="14" spans="1:42" ht="13.5" customHeight="1" x14ac:dyDescent="0.35">
      <c r="A14" s="55">
        <f>SUM(Y5:Y1000)</f>
        <v>102392.68</v>
      </c>
      <c r="B14" s="97" t="s">
        <v>17</v>
      </c>
      <c r="C14" s="61">
        <v>18230071</v>
      </c>
      <c r="D14" s="61" t="s">
        <v>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44.738519499032691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165040.70000000001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252985.3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3.3036407626055082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2.5062067239746511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0"/>
  <sheetViews>
    <sheetView zoomScale="85" zoomScaleNormal="85" workbookViewId="0">
      <selection activeCell="F8" sqref="F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18230407</v>
      </c>
      <c r="D2" s="20" t="s">
        <v>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38</v>
      </c>
      <c r="C5" s="61">
        <v>18230407</v>
      </c>
      <c r="D5" s="61" t="s">
        <v>39</v>
      </c>
      <c r="E5" s="38" t="s">
        <v>1029</v>
      </c>
      <c r="F5" s="39" t="s">
        <v>1030</v>
      </c>
      <c r="G5" s="39">
        <v>45</v>
      </c>
      <c r="H5" s="39"/>
      <c r="I5" s="40" t="s">
        <v>274</v>
      </c>
      <c r="J5" s="41">
        <v>282428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3.2695302314196475</v>
      </c>
      <c r="AG5" s="44">
        <f t="shared" ref="AG5:AG24" si="10">AF5*J5*K5</f>
        <v>0</v>
      </c>
      <c r="AH5" s="52">
        <f>HLOOKUP(I5,ElecAvoidedCostsWOCC!$A$5:$Q$50,T5+1,FALSE)</f>
        <v>3.2695302314196475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4286145.32</v>
      </c>
      <c r="B6" s="97" t="s">
        <v>38</v>
      </c>
      <c r="C6" s="61">
        <v>18230407</v>
      </c>
      <c r="D6" s="61" t="s">
        <v>39</v>
      </c>
      <c r="E6" s="38" t="s">
        <v>1031</v>
      </c>
      <c r="F6" s="39" t="s">
        <v>1032</v>
      </c>
      <c r="G6" s="39">
        <v>45</v>
      </c>
      <c r="H6" s="39"/>
      <c r="I6" s="40" t="s">
        <v>272</v>
      </c>
      <c r="J6" s="41">
        <v>40824</v>
      </c>
      <c r="K6" s="41">
        <v>0.6</v>
      </c>
      <c r="L6" s="41"/>
      <c r="M6" s="42">
        <v>0.75</v>
      </c>
      <c r="N6" s="42">
        <v>1.05</v>
      </c>
      <c r="O6" s="43">
        <v>24494.400000000001</v>
      </c>
      <c r="P6" s="44">
        <v>30618</v>
      </c>
      <c r="Q6" s="44">
        <v>42865.2</v>
      </c>
      <c r="R6" s="45">
        <v>0</v>
      </c>
      <c r="S6" s="46">
        <v>0</v>
      </c>
      <c r="T6" s="39">
        <f t="shared" si="0"/>
        <v>45</v>
      </c>
      <c r="U6" s="47">
        <f t="shared" si="1"/>
        <v>0.22286445583431311</v>
      </c>
      <c r="V6" s="48">
        <f t="shared" si="2"/>
        <v>0.30000000000000004</v>
      </c>
      <c r="W6" s="49">
        <f t="shared" si="3"/>
        <v>4.9525434629847358E-3</v>
      </c>
      <c r="X6" s="44">
        <f t="shared" si="4"/>
        <v>5192.1667315925733</v>
      </c>
      <c r="Y6" s="44">
        <f t="shared" si="5"/>
        <v>12247.199999999997</v>
      </c>
      <c r="Z6" s="44">
        <f t="shared" si="6"/>
        <v>26419.487717561195</v>
      </c>
      <c r="AA6" s="50">
        <f t="shared" si="7"/>
        <v>48057.36673159257</v>
      </c>
      <c r="AB6" s="51">
        <f t="shared" si="8"/>
        <v>24737.348050150929</v>
      </c>
      <c r="AC6" s="44">
        <f t="shared" si="8"/>
        <v>44997.534392876936</v>
      </c>
      <c r="AD6" s="44">
        <f t="shared" si="9"/>
        <v>0</v>
      </c>
      <c r="AE6" s="44">
        <v>0</v>
      </c>
      <c r="AF6" s="52">
        <f>HLOOKUP(I6,ElecAvoidedCostsWOCC!$A$5:$Q$50,G6+1,FALSE)</f>
        <v>2.9502602387155141</v>
      </c>
      <c r="AG6" s="44">
        <f t="shared" si="10"/>
        <v>72264.854391193294</v>
      </c>
      <c r="AH6" s="52">
        <f>HLOOKUP(I6,ElecAvoidedCostsWOCC!$A$5:$Q$50,T6+1,FALSE)</f>
        <v>2.9502602387155141</v>
      </c>
      <c r="AI6" s="44">
        <f t="shared" si="11"/>
        <v>0</v>
      </c>
      <c r="AJ6" s="44">
        <f t="shared" ref="AJ6:AJ24" si="12">AG6+AI6</f>
        <v>72264.854391193294</v>
      </c>
      <c r="AK6" s="44">
        <f>HLOOKUP(I6,ElecAvoidedCostsWOCC!$A$5:$Q$50,G6+1,FALSE)*J6*L6</f>
        <v>0</v>
      </c>
      <c r="AL6" s="44">
        <f t="shared" ref="AL6:AL24" si="13">AG6+AI6-AK6</f>
        <v>72264.854391193294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72264.854391193294</v>
      </c>
      <c r="AN6" s="48">
        <f t="shared" ref="AN6:AN24" si="14">AM6*1.1+AD6+AE6</f>
        <v>79491.339830312631</v>
      </c>
      <c r="AO6" s="47">
        <f t="shared" ref="AO6:AO24" si="15">IFERROR(AM6/AB6,0)</f>
        <v>2.9212854281990177</v>
      </c>
      <c r="AP6" s="47">
        <f t="shared" ref="AP6:AP24" si="16">AN6/AC6</f>
        <v>1.7665710111195787</v>
      </c>
    </row>
    <row r="7" spans="1:42" ht="13.5" customHeight="1" x14ac:dyDescent="0.35">
      <c r="A7" s="36" t="s">
        <v>240</v>
      </c>
      <c r="B7" s="97" t="s">
        <v>38</v>
      </c>
      <c r="C7" s="61">
        <v>18230407</v>
      </c>
      <c r="D7" s="61" t="s">
        <v>39</v>
      </c>
      <c r="E7" s="38" t="s">
        <v>1033</v>
      </c>
      <c r="F7" s="39" t="s">
        <v>1034</v>
      </c>
      <c r="G7" s="39">
        <v>45</v>
      </c>
      <c r="H7" s="39"/>
      <c r="I7" s="40" t="s">
        <v>272</v>
      </c>
      <c r="J7" s="41">
        <v>28828</v>
      </c>
      <c r="K7" s="41">
        <v>1.4</v>
      </c>
      <c r="L7" s="41"/>
      <c r="M7" s="42">
        <v>1.5</v>
      </c>
      <c r="N7" s="42">
        <v>1.59</v>
      </c>
      <c r="O7" s="43">
        <v>40359.199999999997</v>
      </c>
      <c r="P7" s="44">
        <v>43242</v>
      </c>
      <c r="Q7" s="44">
        <v>45836.52</v>
      </c>
      <c r="R7" s="45">
        <v>0</v>
      </c>
      <c r="S7" s="46">
        <v>0</v>
      </c>
      <c r="T7" s="39">
        <f t="shared" si="0"/>
        <v>45</v>
      </c>
      <c r="U7" s="47">
        <f t="shared" si="1"/>
        <v>0.36721173598488666</v>
      </c>
      <c r="V7" s="48">
        <f t="shared" si="2"/>
        <v>9.000000000000008E-2</v>
      </c>
      <c r="W7" s="49">
        <f t="shared" si="3"/>
        <v>8.1602607996641482E-3</v>
      </c>
      <c r="X7" s="44">
        <f t="shared" si="4"/>
        <v>8555.0858789638023</v>
      </c>
      <c r="Y7" s="44">
        <f t="shared" si="5"/>
        <v>2594.5199999999968</v>
      </c>
      <c r="Z7" s="44">
        <f t="shared" si="6"/>
        <v>43531.149515423749</v>
      </c>
      <c r="AA7" s="50">
        <f t="shared" si="7"/>
        <v>54391.605878963797</v>
      </c>
      <c r="AB7" s="51">
        <f t="shared" si="8"/>
        <v>40759.503291595269</v>
      </c>
      <c r="AC7" s="44">
        <f t="shared" si="8"/>
        <v>50928.469924123405</v>
      </c>
      <c r="AD7" s="44">
        <f t="shared" si="9"/>
        <v>0</v>
      </c>
      <c r="AE7" s="44">
        <v>0</v>
      </c>
      <c r="AF7" s="52">
        <f>HLOOKUP(I7,ElecAvoidedCostsWOCC!$A$5:$Q$50,G7+1,FALSE)</f>
        <v>2.9502602387155141</v>
      </c>
      <c r="AG7" s="44">
        <f t="shared" si="10"/>
        <v>119070.14302636716</v>
      </c>
      <c r="AH7" s="52">
        <f>HLOOKUP(I7,ElecAvoidedCostsWOCC!$A$5:$Q$50,T7+1,FALSE)</f>
        <v>2.9502602387155141</v>
      </c>
      <c r="AI7" s="44">
        <f t="shared" si="11"/>
        <v>0</v>
      </c>
      <c r="AJ7" s="44">
        <f t="shared" si="12"/>
        <v>119070.14302636716</v>
      </c>
      <c r="AK7" s="44">
        <f>HLOOKUP(I7,ElecAvoidedCostsWOCC!$A$5:$Q$50,G7+1,FALSE)*J7*L7</f>
        <v>0</v>
      </c>
      <c r="AL7" s="44">
        <f t="shared" si="13"/>
        <v>119070.14302636716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119070.14302636718</v>
      </c>
      <c r="AN7" s="48">
        <f t="shared" si="14"/>
        <v>130977.15732900391</v>
      </c>
      <c r="AO7" s="47">
        <f t="shared" si="15"/>
        <v>2.9212854281990182</v>
      </c>
      <c r="AP7" s="47">
        <f t="shared" si="16"/>
        <v>2.5717866160939513</v>
      </c>
    </row>
    <row r="8" spans="1:42" ht="13.5" customHeight="1" x14ac:dyDescent="0.35">
      <c r="A8" s="53">
        <f>SUMIF('Program Costs'!D:D,C2,'Program Costs'!O:O)</f>
        <v>1048383.8799999999</v>
      </c>
      <c r="B8" s="97" t="s">
        <v>38</v>
      </c>
      <c r="C8" s="61">
        <v>18230407</v>
      </c>
      <c r="D8" s="61" t="s">
        <v>39</v>
      </c>
      <c r="E8" s="38" t="s">
        <v>1035</v>
      </c>
      <c r="F8" s="39" t="s">
        <v>1036</v>
      </c>
      <c r="G8" s="39">
        <v>45</v>
      </c>
      <c r="H8" s="39"/>
      <c r="I8" s="40" t="s">
        <v>272</v>
      </c>
      <c r="J8" s="41">
        <v>7064</v>
      </c>
      <c r="K8" s="41">
        <v>0.7</v>
      </c>
      <c r="L8" s="41"/>
      <c r="M8" s="42">
        <v>1</v>
      </c>
      <c r="N8" s="42">
        <v>1.59</v>
      </c>
      <c r="O8" s="43">
        <v>4944.8</v>
      </c>
      <c r="P8" s="44">
        <v>7064</v>
      </c>
      <c r="Q8" s="44">
        <v>11231.76</v>
      </c>
      <c r="R8" s="45">
        <v>0</v>
      </c>
      <c r="S8" s="46">
        <v>0</v>
      </c>
      <c r="T8" s="39">
        <f t="shared" si="0"/>
        <v>45</v>
      </c>
      <c r="U8" s="47">
        <f t="shared" si="1"/>
        <v>4.4990698331435403E-2</v>
      </c>
      <c r="V8" s="48">
        <f t="shared" si="2"/>
        <v>0.59000000000000008</v>
      </c>
      <c r="W8" s="49">
        <f t="shared" si="3"/>
        <v>9.997932962541201E-4</v>
      </c>
      <c r="X8" s="44">
        <f t="shared" si="4"/>
        <v>1048.1671751248839</v>
      </c>
      <c r="Y8" s="44">
        <f t="shared" si="5"/>
        <v>4167.76</v>
      </c>
      <c r="Z8" s="44">
        <f t="shared" si="6"/>
        <v>5333.4265328318552</v>
      </c>
      <c r="AA8" s="50">
        <f t="shared" si="7"/>
        <v>12279.927175124883</v>
      </c>
      <c r="AB8" s="51">
        <f t="shared" si="8"/>
        <v>4993.8450681946206</v>
      </c>
      <c r="AC8" s="44">
        <f t="shared" si="8"/>
        <v>11498.059152738655</v>
      </c>
      <c r="AD8" s="44">
        <f t="shared" si="9"/>
        <v>0</v>
      </c>
      <c r="AE8" s="44">
        <v>0</v>
      </c>
      <c r="AF8" s="52">
        <f>HLOOKUP(I8,ElecAvoidedCostsWOCC!$A$5:$Q$50,G8+1,FALSE)</f>
        <v>2.9502602387155141</v>
      </c>
      <c r="AG8" s="44">
        <f t="shared" si="10"/>
        <v>14588.446828400474</v>
      </c>
      <c r="AH8" s="52">
        <f>HLOOKUP(I8,ElecAvoidedCostsWOCC!$A$5:$Q$50,T8+1,FALSE)</f>
        <v>2.9502602387155141</v>
      </c>
      <c r="AI8" s="44">
        <f t="shared" si="11"/>
        <v>0</v>
      </c>
      <c r="AJ8" s="44">
        <f t="shared" si="12"/>
        <v>14588.446828400474</v>
      </c>
      <c r="AK8" s="44">
        <f>HLOOKUP(I8,ElecAvoidedCostsWOCC!$A$5:$Q$50,G8+1,FALSE)*J8*L8</f>
        <v>0</v>
      </c>
      <c r="AL8" s="44">
        <f t="shared" si="13"/>
        <v>14588.446828400474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14588.446828400474</v>
      </c>
      <c r="AN8" s="48">
        <f t="shared" si="14"/>
        <v>16047.291511240523</v>
      </c>
      <c r="AO8" s="47">
        <f t="shared" si="15"/>
        <v>2.9212854281990177</v>
      </c>
      <c r="AP8" s="47">
        <f t="shared" si="16"/>
        <v>1.3956521964333706</v>
      </c>
    </row>
    <row r="9" spans="1:42" ht="13.5" customHeight="1" x14ac:dyDescent="0.35">
      <c r="A9" s="36" t="s">
        <v>242</v>
      </c>
      <c r="B9" s="97" t="s">
        <v>38</v>
      </c>
      <c r="C9" s="61">
        <v>18230407</v>
      </c>
      <c r="D9" s="61" t="s">
        <v>39</v>
      </c>
      <c r="E9" s="38" t="s">
        <v>1037</v>
      </c>
      <c r="F9" s="39" t="s">
        <v>1038</v>
      </c>
      <c r="G9" s="39">
        <v>45</v>
      </c>
      <c r="H9" s="39"/>
      <c r="I9" s="40" t="s">
        <v>274</v>
      </c>
      <c r="J9" s="41">
        <v>2301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45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3.2695302314196475</v>
      </c>
      <c r="AG9" s="44">
        <f t="shared" si="10"/>
        <v>0</v>
      </c>
      <c r="AH9" s="52">
        <f>HLOOKUP(I9,ElecAvoidedCostsWOCC!$A$5:$Q$50,T9+1,FALSE)</f>
        <v>3.2695302314196475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4945822.32</v>
      </c>
      <c r="B10" s="97" t="s">
        <v>38</v>
      </c>
      <c r="C10" s="61">
        <v>18230407</v>
      </c>
      <c r="D10" s="61" t="s">
        <v>39</v>
      </c>
      <c r="E10" s="38" t="s">
        <v>1039</v>
      </c>
      <c r="F10" s="39" t="s">
        <v>1040</v>
      </c>
      <c r="G10" s="39">
        <v>45</v>
      </c>
      <c r="H10" s="39"/>
      <c r="I10" s="40" t="s">
        <v>272</v>
      </c>
      <c r="J10" s="41">
        <v>53477</v>
      </c>
      <c r="K10" s="41">
        <v>2.1</v>
      </c>
      <c r="L10" s="41"/>
      <c r="M10" s="42">
        <v>1.5</v>
      </c>
      <c r="N10" s="42">
        <v>1.65</v>
      </c>
      <c r="O10" s="43">
        <v>112301.7</v>
      </c>
      <c r="P10" s="44">
        <v>80215.5</v>
      </c>
      <c r="Q10" s="44">
        <v>88237.05</v>
      </c>
      <c r="R10" s="45">
        <v>0</v>
      </c>
      <c r="S10" s="46">
        <v>0</v>
      </c>
      <c r="T10" s="39">
        <f t="shared" si="0"/>
        <v>45</v>
      </c>
      <c r="U10" s="47">
        <f t="shared" si="1"/>
        <v>1.0217869088350104</v>
      </c>
      <c r="V10" s="48">
        <f t="shared" si="2"/>
        <v>0.14999999999999991</v>
      </c>
      <c r="W10" s="49">
        <f t="shared" si="3"/>
        <v>2.2706375751889121E-2</v>
      </c>
      <c r="X10" s="44">
        <f t="shared" si="4"/>
        <v>23804.99831150343</v>
      </c>
      <c r="Y10" s="44">
        <f t="shared" si="5"/>
        <v>8021.5500000000029</v>
      </c>
      <c r="Z10" s="44">
        <f t="shared" si="6"/>
        <v>121127.82447462447</v>
      </c>
      <c r="AA10" s="50">
        <f t="shared" si="7"/>
        <v>112042.04831150343</v>
      </c>
      <c r="AB10" s="51">
        <f t="shared" si="8"/>
        <v>113415.56598747609</v>
      </c>
      <c r="AC10" s="44">
        <f t="shared" si="8"/>
        <v>104908.28493586463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2.9502602387155141</v>
      </c>
      <c r="AG10" s="44">
        <f t="shared" si="10"/>
        <v>331319.24025015807</v>
      </c>
      <c r="AH10" s="52">
        <f>HLOOKUP(I10,ElecAvoidedCostsWOCC!$A$5:$Q$50,T10+1,FALSE)</f>
        <v>2.9502602387155141</v>
      </c>
      <c r="AI10" s="44">
        <f t="shared" si="11"/>
        <v>0</v>
      </c>
      <c r="AJ10" s="44">
        <f t="shared" si="12"/>
        <v>331319.24025015807</v>
      </c>
      <c r="AK10" s="44">
        <f>HLOOKUP(I10,ElecAvoidedCostsWOCC!$A$5:$Q$50,G10+1,FALSE)*J10*L10</f>
        <v>0</v>
      </c>
      <c r="AL10" s="44">
        <f t="shared" si="13"/>
        <v>331319.24025015807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331319.24025015807</v>
      </c>
      <c r="AN10" s="48">
        <f t="shared" si="14"/>
        <v>364451.16427517391</v>
      </c>
      <c r="AO10" s="47">
        <f t="shared" si="15"/>
        <v>2.9212854281990182</v>
      </c>
      <c r="AP10" s="47">
        <f t="shared" si="16"/>
        <v>3.4739979258833564</v>
      </c>
    </row>
    <row r="11" spans="1:42" ht="13.5" customHeight="1" x14ac:dyDescent="0.35">
      <c r="A11" s="36" t="s">
        <v>243</v>
      </c>
      <c r="B11" s="97" t="s">
        <v>38</v>
      </c>
      <c r="C11" s="61">
        <v>18230407</v>
      </c>
      <c r="D11" s="61" t="s">
        <v>39</v>
      </c>
      <c r="E11" s="38" t="s">
        <v>1041</v>
      </c>
      <c r="F11" s="39" t="s">
        <v>1042</v>
      </c>
      <c r="G11" s="39">
        <v>45</v>
      </c>
      <c r="H11" s="39"/>
      <c r="I11" s="40" t="s">
        <v>272</v>
      </c>
      <c r="J11" s="41">
        <v>1</v>
      </c>
      <c r="K11" s="41"/>
      <c r="L11" s="41"/>
      <c r="M11" s="42">
        <v>1.1299999999999999</v>
      </c>
      <c r="N11" s="42">
        <v>1.29</v>
      </c>
      <c r="O11" s="43">
        <v>151817.70000000001</v>
      </c>
      <c r="P11" s="44">
        <v>245900.5</v>
      </c>
      <c r="Q11" s="44">
        <v>245900.5</v>
      </c>
      <c r="R11" s="45">
        <v>0</v>
      </c>
      <c r="S11" s="46">
        <v>0</v>
      </c>
      <c r="T11" s="39">
        <f t="shared" si="0"/>
        <v>45</v>
      </c>
      <c r="U11" s="47">
        <f t="shared" si="1"/>
        <v>1.3813267153519579</v>
      </c>
      <c r="V11" s="48">
        <f t="shared" si="2"/>
        <v>0.16000000000000014</v>
      </c>
      <c r="W11" s="49">
        <f t="shared" si="3"/>
        <v>3.0696149230043508E-2</v>
      </c>
      <c r="X11" s="44">
        <f t="shared" si="4"/>
        <v>32181.348030852023</v>
      </c>
      <c r="Y11" s="44">
        <f t="shared" si="5"/>
        <v>0</v>
      </c>
      <c r="Z11" s="44">
        <f t="shared" si="6"/>
        <v>163749.50439522462</v>
      </c>
      <c r="AA11" s="50">
        <f t="shared" si="7"/>
        <v>278081.84803085204</v>
      </c>
      <c r="AB11" s="51">
        <f t="shared" si="8"/>
        <v>153323.50598803803</v>
      </c>
      <c r="AC11" s="44">
        <f t="shared" si="8"/>
        <v>260376.2622011723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2.9502602387155141</v>
      </c>
      <c r="AG11" s="44">
        <f t="shared" si="10"/>
        <v>0</v>
      </c>
      <c r="AH11" s="52">
        <f>HLOOKUP(I11,ElecAvoidedCostsWOCC!$A$5:$Q$50,T11+1,FALSE)</f>
        <v>2.9502602387155141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 x14ac:dyDescent="0.35">
      <c r="A12" s="55">
        <f>SUM(P5:P1000)</f>
        <v>4143408.3200000003</v>
      </c>
      <c r="B12" s="97" t="s">
        <v>38</v>
      </c>
      <c r="C12" s="61">
        <v>18230407</v>
      </c>
      <c r="D12" s="61" t="s">
        <v>39</v>
      </c>
      <c r="E12" s="38" t="s">
        <v>1043</v>
      </c>
      <c r="F12" s="39" t="s">
        <v>1042</v>
      </c>
      <c r="G12" s="39">
        <v>45</v>
      </c>
      <c r="H12" s="39"/>
      <c r="I12" s="40" t="s">
        <v>272</v>
      </c>
      <c r="J12" s="41">
        <v>1</v>
      </c>
      <c r="K12" s="41"/>
      <c r="L12" s="41"/>
      <c r="M12" s="42">
        <v>1.7</v>
      </c>
      <c r="N12" s="42">
        <v>1.7</v>
      </c>
      <c r="O12" s="43">
        <v>36624</v>
      </c>
      <c r="P12" s="44">
        <v>83160</v>
      </c>
      <c r="Q12" s="44">
        <v>83160</v>
      </c>
      <c r="R12" s="45">
        <v>0</v>
      </c>
      <c r="S12" s="46">
        <v>0</v>
      </c>
      <c r="T12" s="39">
        <f t="shared" si="0"/>
        <v>45</v>
      </c>
      <c r="U12" s="47">
        <f t="shared" si="1"/>
        <v>0.33322668979341741</v>
      </c>
      <c r="V12" s="48">
        <f t="shared" si="2"/>
        <v>0</v>
      </c>
      <c r="W12" s="49">
        <f t="shared" si="3"/>
        <v>7.4050375509648308E-3</v>
      </c>
      <c r="X12" s="44">
        <f t="shared" si="4"/>
        <v>7763.3219992262066</v>
      </c>
      <c r="Y12" s="44">
        <f t="shared" si="5"/>
        <v>0</v>
      </c>
      <c r="Z12" s="44">
        <f t="shared" si="6"/>
        <v>39502.38904271838</v>
      </c>
      <c r="AA12" s="50">
        <f t="shared" si="7"/>
        <v>90923.321999226202</v>
      </c>
      <c r="AB12" s="51">
        <f t="shared" si="8"/>
        <v>36987.255657976006</v>
      </c>
      <c r="AC12" s="44">
        <f t="shared" si="8"/>
        <v>85134.19662848895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2.9502602387155141</v>
      </c>
      <c r="AG12" s="44">
        <f t="shared" si="10"/>
        <v>0</v>
      </c>
      <c r="AH12" s="52">
        <f>HLOOKUP(I12,ElecAvoidedCostsWOCC!$A$5:$Q$50,T12+1,FALSE)</f>
        <v>2.9502602387155141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 x14ac:dyDescent="0.35">
      <c r="A13" s="56" t="s">
        <v>246</v>
      </c>
      <c r="B13" s="97" t="s">
        <v>38</v>
      </c>
      <c r="C13" s="61">
        <v>18230407</v>
      </c>
      <c r="D13" s="61" t="s">
        <v>39</v>
      </c>
      <c r="E13" s="38" t="s">
        <v>1044</v>
      </c>
      <c r="F13" s="39" t="s">
        <v>1045</v>
      </c>
      <c r="G13" s="39">
        <v>20</v>
      </c>
      <c r="H13" s="39"/>
      <c r="I13" s="40" t="s">
        <v>266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20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1.6018928111000572</v>
      </c>
      <c r="AG13" s="44">
        <f t="shared" si="10"/>
        <v>0</v>
      </c>
      <c r="AH13" s="52">
        <f>HLOOKUP(I13,ElecAvoidedCostsWOCC!$A$5:$Q$50,T13+1,FALSE)</f>
        <v>1.6018928111000572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1920596.8299999998</v>
      </c>
      <c r="B14" s="97" t="s">
        <v>38</v>
      </c>
      <c r="C14" s="61">
        <v>18230407</v>
      </c>
      <c r="D14" s="61" t="s">
        <v>39</v>
      </c>
      <c r="E14" s="38" t="s">
        <v>1046</v>
      </c>
      <c r="F14" s="39" t="s">
        <v>1047</v>
      </c>
      <c r="G14" s="39">
        <v>24</v>
      </c>
      <c r="H14" s="39"/>
      <c r="I14" s="40" t="s">
        <v>266</v>
      </c>
      <c r="J14" s="41">
        <v>1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24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1.7936972870647201</v>
      </c>
      <c r="AG14" s="44">
        <f t="shared" si="10"/>
        <v>0</v>
      </c>
      <c r="AH14" s="52">
        <f>HLOOKUP(I14,ElecAvoidedCostsWOCC!$A$5:$Q$50,T14+1,FALSE)</f>
        <v>1.7936972870647201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38</v>
      </c>
      <c r="C15" s="61">
        <v>18230407</v>
      </c>
      <c r="D15" s="61" t="s">
        <v>39</v>
      </c>
      <c r="E15" s="38" t="s">
        <v>1048</v>
      </c>
      <c r="F15" s="39" t="s">
        <v>1049</v>
      </c>
      <c r="G15" s="39">
        <v>15</v>
      </c>
      <c r="H15" s="39"/>
      <c r="I15" s="40" t="s">
        <v>262</v>
      </c>
      <c r="J15" s="41">
        <v>1</v>
      </c>
      <c r="K15" s="41"/>
      <c r="L15" s="41"/>
      <c r="M15" s="42">
        <v>0.15</v>
      </c>
      <c r="N15" s="42">
        <v>0.5</v>
      </c>
      <c r="O15" s="43">
        <v>36332</v>
      </c>
      <c r="P15" s="44">
        <v>10675</v>
      </c>
      <c r="Q15" s="44">
        <v>51909.78</v>
      </c>
      <c r="R15" s="45">
        <v>0</v>
      </c>
      <c r="S15" s="46">
        <v>0</v>
      </c>
      <c r="T15" s="39">
        <f t="shared" si="0"/>
        <v>15</v>
      </c>
      <c r="U15" s="47">
        <f t="shared" si="1"/>
        <v>0.11018996735814804</v>
      </c>
      <c r="V15" s="48">
        <f t="shared" si="2"/>
        <v>0.35</v>
      </c>
      <c r="W15" s="49">
        <f t="shared" si="3"/>
        <v>7.3459978238765355E-3</v>
      </c>
      <c r="X15" s="44">
        <f t="shared" si="4"/>
        <v>7701.4257010672382</v>
      </c>
      <c r="Y15" s="44">
        <f t="shared" si="5"/>
        <v>41234.78</v>
      </c>
      <c r="Z15" s="44">
        <f t="shared" si="6"/>
        <v>39187.439894605835</v>
      </c>
      <c r="AA15" s="50">
        <f t="shared" si="7"/>
        <v>59611.205701067236</v>
      </c>
      <c r="AB15" s="51">
        <f t="shared" si="8"/>
        <v>36692.359451878117</v>
      </c>
      <c r="AC15" s="44">
        <f t="shared" si="8"/>
        <v>55815.735675156582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1.0914944041149737</v>
      </c>
      <c r="AG15" s="44">
        <f t="shared" si="10"/>
        <v>0</v>
      </c>
      <c r="AH15" s="52">
        <f>HLOOKUP(I15,ElecAvoidedCostsWOCC!$A$5:$Q$50,T15+1,FALSE)</f>
        <v>1.0914944041149737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 x14ac:dyDescent="0.35">
      <c r="A16" s="54">
        <f>SUM(U5:U999)</f>
        <v>27.799364292569244</v>
      </c>
      <c r="B16" s="97" t="s">
        <v>38</v>
      </c>
      <c r="C16" s="61">
        <v>18230407</v>
      </c>
      <c r="D16" s="61" t="s">
        <v>39</v>
      </c>
      <c r="E16" s="38" t="s">
        <v>1050</v>
      </c>
      <c r="F16" s="39" t="s">
        <v>1049</v>
      </c>
      <c r="G16" s="39">
        <v>15</v>
      </c>
      <c r="H16" s="39"/>
      <c r="I16" s="40" t="s">
        <v>262</v>
      </c>
      <c r="J16" s="41">
        <v>1</v>
      </c>
      <c r="K16" s="41"/>
      <c r="L16" s="41"/>
      <c r="M16" s="42">
        <v>0.21</v>
      </c>
      <c r="N16" s="42">
        <v>0.3</v>
      </c>
      <c r="O16" s="43">
        <v>567545</v>
      </c>
      <c r="P16" s="44">
        <v>85113</v>
      </c>
      <c r="Q16" s="44">
        <v>458307.56</v>
      </c>
      <c r="R16" s="45">
        <v>3.0000000000000001E-3</v>
      </c>
      <c r="S16" s="46">
        <v>0</v>
      </c>
      <c r="T16" s="39">
        <f t="shared" si="0"/>
        <v>15</v>
      </c>
      <c r="U16" s="47">
        <f t="shared" si="1"/>
        <v>1.7212860570373261</v>
      </c>
      <c r="V16" s="48">
        <f t="shared" si="2"/>
        <v>0.09</v>
      </c>
      <c r="W16" s="49">
        <f t="shared" si="3"/>
        <v>0.1147524038024884</v>
      </c>
      <c r="X16" s="44">
        <f t="shared" si="4"/>
        <v>120304.57033777953</v>
      </c>
      <c r="Y16" s="44">
        <f t="shared" si="5"/>
        <v>373194.56</v>
      </c>
      <c r="Z16" s="44">
        <f t="shared" si="6"/>
        <v>612150.04885456548</v>
      </c>
      <c r="AA16" s="50">
        <f t="shared" si="7"/>
        <v>578612.13033777953</v>
      </c>
      <c r="AB16" s="51">
        <f t="shared" si="8"/>
        <v>573174.20304734597</v>
      </c>
      <c r="AC16" s="44">
        <f t="shared" si="8"/>
        <v>541771.65761964372</v>
      </c>
      <c r="AD16" s="44">
        <f t="shared" si="9"/>
        <v>2.767228074626505E-2</v>
      </c>
      <c r="AE16" s="44">
        <f t="shared" si="17"/>
        <v>0</v>
      </c>
      <c r="AF16" s="52">
        <f>HLOOKUP(I16,ElecAvoidedCostsWOCC!$A$5:$Q$50,G16+1,FALSE)</f>
        <v>1.0914944041149737</v>
      </c>
      <c r="AG16" s="44">
        <f t="shared" si="10"/>
        <v>0</v>
      </c>
      <c r="AH16" s="52">
        <f>HLOOKUP(I16,ElecAvoidedCostsWOCC!$A$5:$Q$50,T16+1,FALSE)</f>
        <v>1.0914944041149737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2.767228074626505E-2</v>
      </c>
      <c r="AO16" s="47">
        <f t="shared" si="15"/>
        <v>0</v>
      </c>
      <c r="AP16" s="47">
        <f t="shared" si="16"/>
        <v>5.1077387229607817E-8</v>
      </c>
    </row>
    <row r="17" spans="1:42" ht="13.5" customHeight="1" x14ac:dyDescent="0.35">
      <c r="A17" s="58" t="s">
        <v>252</v>
      </c>
      <c r="B17" s="97" t="s">
        <v>38</v>
      </c>
      <c r="C17" s="61">
        <v>18230407</v>
      </c>
      <c r="D17" s="61" t="s">
        <v>39</v>
      </c>
      <c r="E17" s="38" t="s">
        <v>1051</v>
      </c>
      <c r="F17" s="39" t="s">
        <v>1052</v>
      </c>
      <c r="G17" s="39">
        <v>15</v>
      </c>
      <c r="H17" s="39"/>
      <c r="I17" s="40" t="s">
        <v>272</v>
      </c>
      <c r="J17" s="41">
        <v>3048</v>
      </c>
      <c r="K17" s="41">
        <v>59</v>
      </c>
      <c r="L17" s="41"/>
      <c r="M17" s="42">
        <v>35</v>
      </c>
      <c r="N17" s="42">
        <v>57.99</v>
      </c>
      <c r="O17" s="43">
        <v>179832</v>
      </c>
      <c r="P17" s="44">
        <v>165400</v>
      </c>
      <c r="Q17" s="44">
        <v>176753.52</v>
      </c>
      <c r="R17" s="45">
        <v>0</v>
      </c>
      <c r="S17" s="46">
        <v>0</v>
      </c>
      <c r="T17" s="39">
        <f t="shared" si="0"/>
        <v>15</v>
      </c>
      <c r="U17" s="47">
        <f t="shared" si="1"/>
        <v>0.54540576378813377</v>
      </c>
      <c r="V17" s="48">
        <f t="shared" si="2"/>
        <v>22.990000000000002</v>
      </c>
      <c r="W17" s="49">
        <f t="shared" si="3"/>
        <v>3.6360384252542254E-2</v>
      </c>
      <c r="X17" s="44">
        <f t="shared" si="4"/>
        <v>38119.640720971147</v>
      </c>
      <c r="Y17" s="44">
        <f t="shared" si="5"/>
        <v>11353.51999999999</v>
      </c>
      <c r="Z17" s="44">
        <f t="shared" si="6"/>
        <v>193965.53151840682</v>
      </c>
      <c r="AA17" s="50">
        <f t="shared" si="7"/>
        <v>214873.16072097112</v>
      </c>
      <c r="AB17" s="51">
        <f t="shared" si="8"/>
        <v>181615.66621573671</v>
      </c>
      <c r="AC17" s="44">
        <f t="shared" si="8"/>
        <v>201192.09805334374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1.3031638418298148</v>
      </c>
      <c r="AG17" s="44">
        <f t="shared" si="10"/>
        <v>234350.56000393926</v>
      </c>
      <c r="AH17" s="52">
        <f>HLOOKUP(I17,ElecAvoidedCostsWOCC!$A$5:$Q$50,T17+1,FALSE)</f>
        <v>1.3031638418298148</v>
      </c>
      <c r="AI17" s="44">
        <f t="shared" si="11"/>
        <v>0</v>
      </c>
      <c r="AJ17" s="44">
        <f t="shared" si="12"/>
        <v>234350.56000393926</v>
      </c>
      <c r="AK17" s="44">
        <f>HLOOKUP(I17,ElecAvoidedCostsWOCC!$A$5:$Q$50,G17+1,FALSE)*J17*L17</f>
        <v>0</v>
      </c>
      <c r="AL17" s="44">
        <f t="shared" si="13"/>
        <v>234350.56000393926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234350.56000393926</v>
      </c>
      <c r="AN17" s="48">
        <f t="shared" si="14"/>
        <v>257785.61600433322</v>
      </c>
      <c r="AO17" s="47">
        <f t="shared" si="15"/>
        <v>1.2903653351443818</v>
      </c>
      <c r="AP17" s="47">
        <f t="shared" si="16"/>
        <v>1.2812909577392269</v>
      </c>
    </row>
    <row r="18" spans="1:42" ht="13.5" customHeight="1" x14ac:dyDescent="0.35">
      <c r="A18" s="59">
        <f>A6+A8</f>
        <v>5334529.2</v>
      </c>
      <c r="B18" s="97" t="s">
        <v>38</v>
      </c>
      <c r="C18" s="61">
        <v>18230407</v>
      </c>
      <c r="D18" s="61" t="s">
        <v>39</v>
      </c>
      <c r="E18" s="38" t="s">
        <v>1053</v>
      </c>
      <c r="F18" s="39" t="s">
        <v>1054</v>
      </c>
      <c r="G18" s="39">
        <v>10</v>
      </c>
      <c r="H18" s="39"/>
      <c r="I18" s="40" t="s">
        <v>270</v>
      </c>
      <c r="J18" s="41">
        <v>108</v>
      </c>
      <c r="K18" s="41">
        <v>170</v>
      </c>
      <c r="L18" s="41"/>
      <c r="M18" s="42">
        <v>95</v>
      </c>
      <c r="N18" s="42">
        <v>95</v>
      </c>
      <c r="O18" s="43">
        <v>18360</v>
      </c>
      <c r="P18" s="44">
        <v>10260</v>
      </c>
      <c r="Q18" s="44">
        <v>10260</v>
      </c>
      <c r="R18" s="45">
        <v>15.3</v>
      </c>
      <c r="S18" s="46">
        <v>0</v>
      </c>
      <c r="T18" s="39">
        <f t="shared" si="0"/>
        <v>10</v>
      </c>
      <c r="U18" s="47">
        <f t="shared" si="1"/>
        <v>3.7122239360996692E-2</v>
      </c>
      <c r="V18" s="48">
        <f t="shared" si="2"/>
        <v>0</v>
      </c>
      <c r="W18" s="49">
        <f t="shared" si="3"/>
        <v>3.7122239360996693E-3</v>
      </c>
      <c r="X18" s="44">
        <f t="shared" si="4"/>
        <v>3891.8357335570431</v>
      </c>
      <c r="Y18" s="44">
        <f t="shared" si="5"/>
        <v>0</v>
      </c>
      <c r="Z18" s="44">
        <f t="shared" si="6"/>
        <v>19802.966984062619</v>
      </c>
      <c r="AA18" s="50">
        <f t="shared" si="7"/>
        <v>14151.835733557044</v>
      </c>
      <c r="AB18" s="51">
        <f t="shared" si="8"/>
        <v>18542.103917661629</v>
      </c>
      <c r="AC18" s="44">
        <f t="shared" si="8"/>
        <v>13250.782522057156</v>
      </c>
      <c r="AD18" s="44">
        <f t="shared" si="9"/>
        <v>11713.825558571409</v>
      </c>
      <c r="AE18" s="44">
        <f t="shared" si="17"/>
        <v>0</v>
      </c>
      <c r="AF18" s="52">
        <f>HLOOKUP(I18,ElecAvoidedCostsWOCC!$A$5:$Q$50,G18+1,FALSE)</f>
        <v>0.78742691251205932</v>
      </c>
      <c r="AG18" s="44">
        <f t="shared" si="10"/>
        <v>14457.158113721409</v>
      </c>
      <c r="AH18" s="52">
        <f>HLOOKUP(I18,ElecAvoidedCostsWOCC!$A$5:$Q$50,T18+1,FALSE)</f>
        <v>0.78742691251205932</v>
      </c>
      <c r="AI18" s="44">
        <f t="shared" si="11"/>
        <v>0</v>
      </c>
      <c r="AJ18" s="44">
        <f t="shared" si="12"/>
        <v>14457.158113721409</v>
      </c>
      <c r="AK18" s="44">
        <f>HLOOKUP(I18,ElecAvoidedCostsWOCC!$A$5:$Q$50,G18+1,FALSE)*J18*L18</f>
        <v>0</v>
      </c>
      <c r="AL18" s="44">
        <f t="shared" si="13"/>
        <v>14457.158113721409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14457.158113721411</v>
      </c>
      <c r="AN18" s="48">
        <f t="shared" si="14"/>
        <v>27616.699483664961</v>
      </c>
      <c r="AO18" s="47">
        <f t="shared" si="15"/>
        <v>0.77969351147637311</v>
      </c>
      <c r="AP18" s="47">
        <f t="shared" si="16"/>
        <v>2.0841561196626994</v>
      </c>
    </row>
    <row r="19" spans="1:42" ht="13.5" customHeight="1" x14ac:dyDescent="0.35">
      <c r="A19" s="58" t="s">
        <v>222</v>
      </c>
      <c r="B19" s="97" t="s">
        <v>38</v>
      </c>
      <c r="C19" s="61">
        <v>18230407</v>
      </c>
      <c r="D19" s="61" t="s">
        <v>39</v>
      </c>
      <c r="E19" s="38" t="s">
        <v>1055</v>
      </c>
      <c r="F19" s="39" t="s">
        <v>1056</v>
      </c>
      <c r="G19" s="39">
        <v>15</v>
      </c>
      <c r="H19" s="39"/>
      <c r="I19" s="40" t="s">
        <v>272</v>
      </c>
      <c r="J19" s="41">
        <v>1</v>
      </c>
      <c r="K19" s="41">
        <v>1300</v>
      </c>
      <c r="L19" s="41"/>
      <c r="M19" s="42">
        <v>800</v>
      </c>
      <c r="N19" s="42">
        <v>3758.92</v>
      </c>
      <c r="O19" s="43">
        <v>1300</v>
      </c>
      <c r="P19" s="44">
        <v>800</v>
      </c>
      <c r="Q19" s="44">
        <v>3758.92</v>
      </c>
      <c r="R19" s="45">
        <v>0</v>
      </c>
      <c r="S19" s="46">
        <v>0</v>
      </c>
      <c r="T19" s="39">
        <f t="shared" si="0"/>
        <v>15</v>
      </c>
      <c r="U19" s="47">
        <f t="shared" si="1"/>
        <v>3.9427215007594527E-3</v>
      </c>
      <c r="V19" s="48">
        <f t="shared" si="2"/>
        <v>2958.92</v>
      </c>
      <c r="W19" s="49">
        <f t="shared" si="3"/>
        <v>2.628481000506302E-4</v>
      </c>
      <c r="X19" s="44">
        <f t="shared" si="4"/>
        <v>275.56571098170787</v>
      </c>
      <c r="Y19" s="44">
        <f t="shared" si="5"/>
        <v>2958.92</v>
      </c>
      <c r="Z19" s="44">
        <f t="shared" si="6"/>
        <v>1402.1708648846084</v>
      </c>
      <c r="AA19" s="50">
        <f t="shared" si="7"/>
        <v>4034.4857109817081</v>
      </c>
      <c r="AB19" s="51">
        <f t="shared" si="8"/>
        <v>1312.8940682440152</v>
      </c>
      <c r="AC19" s="44">
        <f t="shared" si="8"/>
        <v>3777.6083436158315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1.3031638418298148</v>
      </c>
      <c r="AG19" s="44">
        <f t="shared" si="10"/>
        <v>1694.1129943787594</v>
      </c>
      <c r="AH19" s="52">
        <f>HLOOKUP(I19,ElecAvoidedCostsWOCC!$A$5:$Q$50,T19+1,FALSE)</f>
        <v>1.3031638418298148</v>
      </c>
      <c r="AI19" s="44">
        <f t="shared" si="11"/>
        <v>0</v>
      </c>
      <c r="AJ19" s="44">
        <f t="shared" si="12"/>
        <v>1694.1129943787594</v>
      </c>
      <c r="AK19" s="44">
        <f>HLOOKUP(I19,ElecAvoidedCostsWOCC!$A$5:$Q$50,G19+1,FALSE)*J19*L19</f>
        <v>0</v>
      </c>
      <c r="AL19" s="44">
        <f t="shared" si="13"/>
        <v>1694.1129943787594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1694.1129943787594</v>
      </c>
      <c r="AN19" s="48">
        <f t="shared" si="14"/>
        <v>1863.5242938166355</v>
      </c>
      <c r="AO19" s="47">
        <f t="shared" si="15"/>
        <v>1.2903653351443816</v>
      </c>
      <c r="AP19" s="47">
        <f t="shared" si="16"/>
        <v>0.49330796745141581</v>
      </c>
    </row>
    <row r="20" spans="1:42" ht="13.5" customHeight="1" x14ac:dyDescent="0.35">
      <c r="A20" s="59">
        <f>A8+SUM(Q5:Q906)</f>
        <v>7112389.0300000003</v>
      </c>
      <c r="B20" s="97" t="s">
        <v>38</v>
      </c>
      <c r="C20" s="61">
        <v>18230407</v>
      </c>
      <c r="D20" s="61" t="s">
        <v>39</v>
      </c>
      <c r="E20" s="38" t="s">
        <v>1057</v>
      </c>
      <c r="F20" s="39" t="s">
        <v>1056</v>
      </c>
      <c r="G20" s="39">
        <v>15</v>
      </c>
      <c r="H20" s="39"/>
      <c r="I20" s="40" t="s">
        <v>272</v>
      </c>
      <c r="J20" s="41">
        <v>29</v>
      </c>
      <c r="K20" s="41">
        <v>1300</v>
      </c>
      <c r="L20" s="41"/>
      <c r="M20" s="42">
        <v>800</v>
      </c>
      <c r="N20" s="42">
        <v>3758.92</v>
      </c>
      <c r="O20" s="43">
        <v>37700</v>
      </c>
      <c r="P20" s="44">
        <v>23200</v>
      </c>
      <c r="Q20" s="44">
        <v>109008.68</v>
      </c>
      <c r="R20" s="45">
        <v>26.21</v>
      </c>
      <c r="S20" s="46">
        <v>0</v>
      </c>
      <c r="T20" s="39">
        <f t="shared" si="0"/>
        <v>15</v>
      </c>
      <c r="U20" s="47">
        <f t="shared" si="1"/>
        <v>0.11433892352202414</v>
      </c>
      <c r="V20" s="48">
        <f t="shared" si="2"/>
        <v>2958.92</v>
      </c>
      <c r="W20" s="49">
        <f t="shared" si="3"/>
        <v>7.6225949014682758E-3</v>
      </c>
      <c r="X20" s="44">
        <f t="shared" si="4"/>
        <v>7991.4056184695282</v>
      </c>
      <c r="Y20" s="44">
        <f t="shared" si="5"/>
        <v>85808.68</v>
      </c>
      <c r="Z20" s="44">
        <f t="shared" si="6"/>
        <v>40662.955081653643</v>
      </c>
      <c r="AA20" s="50">
        <f t="shared" si="7"/>
        <v>117000.08561846951</v>
      </c>
      <c r="AB20" s="51">
        <f t="shared" si="8"/>
        <v>38073.927979076441</v>
      </c>
      <c r="AC20" s="44">
        <f t="shared" si="8"/>
        <v>109550.6419648591</v>
      </c>
      <c r="AD20" s="44">
        <f t="shared" si="9"/>
        <v>7011.1412908095344</v>
      </c>
      <c r="AE20" s="44">
        <f t="shared" si="17"/>
        <v>0</v>
      </c>
      <c r="AF20" s="52">
        <f>HLOOKUP(I20,ElecAvoidedCostsWOCC!$A$5:$Q$50,G20+1,FALSE)</f>
        <v>1.3031638418298148</v>
      </c>
      <c r="AG20" s="44">
        <f t="shared" si="10"/>
        <v>49129.27683698402</v>
      </c>
      <c r="AH20" s="52">
        <f>HLOOKUP(I20,ElecAvoidedCostsWOCC!$A$5:$Q$50,T20+1,FALSE)</f>
        <v>1.3031638418298148</v>
      </c>
      <c r="AI20" s="44">
        <f t="shared" si="11"/>
        <v>0</v>
      </c>
      <c r="AJ20" s="44">
        <f t="shared" si="12"/>
        <v>49129.27683698402</v>
      </c>
      <c r="AK20" s="44">
        <f>HLOOKUP(I20,ElecAvoidedCostsWOCC!$A$5:$Q$50,G20+1,FALSE)*J20*L20</f>
        <v>0</v>
      </c>
      <c r="AL20" s="44">
        <f t="shared" si="13"/>
        <v>49129.27683698402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49129.27683698402</v>
      </c>
      <c r="AN20" s="48">
        <f t="shared" si="14"/>
        <v>61053.345811491963</v>
      </c>
      <c r="AO20" s="47">
        <f t="shared" si="15"/>
        <v>1.2903653351443816</v>
      </c>
      <c r="AP20" s="47">
        <f t="shared" si="16"/>
        <v>0.55730705650338619</v>
      </c>
    </row>
    <row r="21" spans="1:42" ht="13.5" customHeight="1" x14ac:dyDescent="0.35">
      <c r="A21" s="58" t="s">
        <v>236</v>
      </c>
      <c r="B21" s="97" t="s">
        <v>38</v>
      </c>
      <c r="C21" s="61">
        <v>18230407</v>
      </c>
      <c r="D21" s="61" t="s">
        <v>39</v>
      </c>
      <c r="E21" s="38" t="s">
        <v>1058</v>
      </c>
      <c r="F21" s="39" t="s">
        <v>830</v>
      </c>
      <c r="G21" s="39">
        <v>10</v>
      </c>
      <c r="H21" s="39"/>
      <c r="I21" s="40" t="s">
        <v>268</v>
      </c>
      <c r="J21" s="41">
        <v>47</v>
      </c>
      <c r="K21" s="41">
        <v>131</v>
      </c>
      <c r="L21" s="41"/>
      <c r="M21" s="42">
        <v>50</v>
      </c>
      <c r="N21" s="42">
        <v>50</v>
      </c>
      <c r="O21" s="43">
        <v>6157</v>
      </c>
      <c r="P21" s="44">
        <v>4700</v>
      </c>
      <c r="Q21" s="44">
        <v>2350</v>
      </c>
      <c r="R21" s="45">
        <v>0</v>
      </c>
      <c r="S21" s="46">
        <v>0</v>
      </c>
      <c r="T21" s="39">
        <f t="shared" si="0"/>
        <v>10</v>
      </c>
      <c r="U21" s="47">
        <f t="shared" si="1"/>
        <v>1.2448890400090231E-2</v>
      </c>
      <c r="V21" s="48">
        <f t="shared" si="2"/>
        <v>0</v>
      </c>
      <c r="W21" s="49">
        <f t="shared" si="3"/>
        <v>1.2448890400090231E-3</v>
      </c>
      <c r="X21" s="44">
        <f t="shared" si="4"/>
        <v>1305.1216019341348</v>
      </c>
      <c r="Y21" s="44">
        <f t="shared" si="5"/>
        <v>-2350</v>
      </c>
      <c r="Z21" s="44">
        <f t="shared" si="6"/>
        <v>6640.8969346881022</v>
      </c>
      <c r="AA21" s="50">
        <f t="shared" si="7"/>
        <v>3655.1216019341346</v>
      </c>
      <c r="AB21" s="51">
        <f t="shared" ref="AB21:AC24" si="18">Z21/(1+ElecDiscountRate)^1</f>
        <v>6218.0682909064626</v>
      </c>
      <c r="AC21" s="44">
        <f t="shared" si="18"/>
        <v>3422.3985036836466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0.78039134456772086</v>
      </c>
      <c r="AG21" s="44">
        <f t="shared" si="10"/>
        <v>4804.8695085034578</v>
      </c>
      <c r="AH21" s="52">
        <f>HLOOKUP(I21,ElecAvoidedCostsWOCC!$A$5:$Q$50,T21+1,FALSE)</f>
        <v>0.78039134456772086</v>
      </c>
      <c r="AI21" s="44">
        <f t="shared" si="11"/>
        <v>0</v>
      </c>
      <c r="AJ21" s="44">
        <f t="shared" si="12"/>
        <v>4804.8695085034578</v>
      </c>
      <c r="AK21" s="44">
        <f>HLOOKUP(I21,ElecAvoidedCostsWOCC!$A$5:$Q$50,G21+1,FALSE)*J21*L21</f>
        <v>0</v>
      </c>
      <c r="AL21" s="44">
        <f t="shared" si="13"/>
        <v>4804.8695085034578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4804.8695085034578</v>
      </c>
      <c r="AN21" s="48">
        <f t="shared" si="14"/>
        <v>5285.356459353804</v>
      </c>
      <c r="AO21" s="47">
        <f t="shared" si="15"/>
        <v>0.77272704057147135</v>
      </c>
      <c r="AP21" s="47">
        <f t="shared" si="16"/>
        <v>1.5443427916605827</v>
      </c>
    </row>
    <row r="22" spans="1:42" ht="13.5" customHeight="1" x14ac:dyDescent="0.35">
      <c r="A22" s="60">
        <f>(SUM(AM5:AM1000)/(SUM(AB5:AB1000)))</f>
        <v>1.683733976411512</v>
      </c>
      <c r="B22" s="97" t="s">
        <v>38</v>
      </c>
      <c r="C22" s="61">
        <v>18230407</v>
      </c>
      <c r="D22" s="61" t="s">
        <v>39</v>
      </c>
      <c r="E22" s="38" t="s">
        <v>1059</v>
      </c>
      <c r="F22" s="39" t="s">
        <v>1060</v>
      </c>
      <c r="G22" s="39">
        <v>10</v>
      </c>
      <c r="H22" s="39"/>
      <c r="I22" s="40" t="s">
        <v>268</v>
      </c>
      <c r="J22" s="41">
        <v>184</v>
      </c>
      <c r="K22" s="41">
        <v>129</v>
      </c>
      <c r="L22" s="41"/>
      <c r="M22" s="42">
        <v>200</v>
      </c>
      <c r="N22" s="42">
        <v>250</v>
      </c>
      <c r="O22" s="43">
        <v>23736</v>
      </c>
      <c r="P22" s="44">
        <v>36800</v>
      </c>
      <c r="Q22" s="44">
        <v>46000</v>
      </c>
      <c r="R22" s="45">
        <v>9.9329999999999998</v>
      </c>
      <c r="S22" s="46">
        <v>0</v>
      </c>
      <c r="T22" s="39">
        <f t="shared" si="0"/>
        <v>10</v>
      </c>
      <c r="U22" s="47">
        <f t="shared" si="1"/>
        <v>4.7992019252321216E-2</v>
      </c>
      <c r="V22" s="48">
        <f t="shared" si="2"/>
        <v>50</v>
      </c>
      <c r="W22" s="49">
        <f t="shared" si="3"/>
        <v>4.7992019252321213E-3</v>
      </c>
      <c r="X22" s="44">
        <f t="shared" si="4"/>
        <v>5031.4059352783206</v>
      </c>
      <c r="Y22" s="44">
        <f t="shared" si="5"/>
        <v>9200</v>
      </c>
      <c r="Z22" s="44">
        <f t="shared" si="6"/>
        <v>25601.482806846965</v>
      </c>
      <c r="AA22" s="50">
        <f t="shared" si="7"/>
        <v>51031.405935278322</v>
      </c>
      <c r="AB22" s="51">
        <f t="shared" si="18"/>
        <v>23971.425849107643</v>
      </c>
      <c r="AC22" s="44">
        <f t="shared" si="18"/>
        <v>47782.21529520442</v>
      </c>
      <c r="AD22" s="44">
        <f t="shared" si="9"/>
        <v>12956.3247314726</v>
      </c>
      <c r="AE22" s="44">
        <f t="shared" si="17"/>
        <v>0</v>
      </c>
      <c r="AF22" s="52">
        <f>HLOOKUP(I22,ElecAvoidedCostsWOCC!$A$5:$Q$50,G22+1,FALSE)</f>
        <v>0.78039134456772086</v>
      </c>
      <c r="AG22" s="44">
        <f t="shared" si="10"/>
        <v>18523.368954659421</v>
      </c>
      <c r="AH22" s="52">
        <f>HLOOKUP(I22,ElecAvoidedCostsWOCC!$A$5:$Q$50,T22+1,FALSE)</f>
        <v>0.78039134456772086</v>
      </c>
      <c r="AI22" s="44">
        <f t="shared" si="11"/>
        <v>0</v>
      </c>
      <c r="AJ22" s="44">
        <f t="shared" si="12"/>
        <v>18523.368954659421</v>
      </c>
      <c r="AK22" s="44">
        <f>HLOOKUP(I22,ElecAvoidedCostsWOCC!$A$5:$Q$50,G22+1,FALSE)*J22*L22</f>
        <v>0</v>
      </c>
      <c r="AL22" s="44">
        <f t="shared" si="13"/>
        <v>18523.368954659421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18523.368954659421</v>
      </c>
      <c r="AN22" s="48">
        <f t="shared" si="14"/>
        <v>33332.030581597966</v>
      </c>
      <c r="AO22" s="47">
        <f t="shared" si="15"/>
        <v>0.77272704057147146</v>
      </c>
      <c r="AP22" s="47">
        <f t="shared" si="16"/>
        <v>0.69758236146374897</v>
      </c>
    </row>
    <row r="23" spans="1:42" ht="13.5" customHeight="1" x14ac:dyDescent="0.35">
      <c r="A23" s="58" t="s">
        <v>237</v>
      </c>
      <c r="B23" s="97" t="s">
        <v>38</v>
      </c>
      <c r="C23" s="61">
        <v>18230407</v>
      </c>
      <c r="D23" s="61" t="s">
        <v>39</v>
      </c>
      <c r="E23" s="38" t="s">
        <v>1061</v>
      </c>
      <c r="F23" s="39" t="s">
        <v>1062</v>
      </c>
      <c r="G23" s="39">
        <v>45</v>
      </c>
      <c r="H23" s="39"/>
      <c r="I23" s="40" t="s">
        <v>272</v>
      </c>
      <c r="J23" s="41">
        <v>34766</v>
      </c>
      <c r="K23" s="41">
        <v>13</v>
      </c>
      <c r="L23" s="41"/>
      <c r="M23" s="42">
        <v>5</v>
      </c>
      <c r="N23" s="42">
        <v>23.3</v>
      </c>
      <c r="O23" s="43">
        <v>451958</v>
      </c>
      <c r="P23" s="44">
        <v>252565</v>
      </c>
      <c r="Q23" s="44">
        <v>810047.8</v>
      </c>
      <c r="R23" s="45">
        <v>0</v>
      </c>
      <c r="S23" s="46">
        <v>0</v>
      </c>
      <c r="T23" s="39">
        <f t="shared" si="0"/>
        <v>45</v>
      </c>
      <c r="U23" s="47">
        <f t="shared" si="1"/>
        <v>4.1121796708620941</v>
      </c>
      <c r="V23" s="48">
        <f t="shared" si="2"/>
        <v>18.3</v>
      </c>
      <c r="W23" s="49">
        <f t="shared" si="3"/>
        <v>9.1381770463602088E-2</v>
      </c>
      <c r="X23" s="44">
        <f t="shared" si="4"/>
        <v>95803.175079900553</v>
      </c>
      <c r="Y23" s="44">
        <f t="shared" si="5"/>
        <v>557482.80000000005</v>
      </c>
      <c r="Z23" s="44">
        <f t="shared" si="6"/>
        <v>487478.72288578289</v>
      </c>
      <c r="AA23" s="50">
        <f t="shared" si="7"/>
        <v>905850.97507990059</v>
      </c>
      <c r="AB23" s="51">
        <f t="shared" si="18"/>
        <v>456440.75176571432</v>
      </c>
      <c r="AC23" s="44">
        <f t="shared" si="18"/>
        <v>848175.07029953238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2.9502602387155141</v>
      </c>
      <c r="AG23" s="44">
        <f t="shared" si="10"/>
        <v>1333393.7169693862</v>
      </c>
      <c r="AH23" s="52">
        <f>HLOOKUP(I23,ElecAvoidedCostsWOCC!$A$5:$Q$50,T23+1,FALSE)</f>
        <v>2.9502602387155141</v>
      </c>
      <c r="AI23" s="44">
        <f t="shared" si="11"/>
        <v>0</v>
      </c>
      <c r="AJ23" s="44">
        <f t="shared" si="12"/>
        <v>1333393.7169693862</v>
      </c>
      <c r="AK23" s="44">
        <f>HLOOKUP(I23,ElecAvoidedCostsWOCC!$A$5:$Q$50,G23+1,FALSE)*J23*L23</f>
        <v>0</v>
      </c>
      <c r="AL23" s="44">
        <f t="shared" si="13"/>
        <v>1333393.7169693862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1333393.7169693862</v>
      </c>
      <c r="AN23" s="48">
        <f t="shared" si="14"/>
        <v>1466733.088666325</v>
      </c>
      <c r="AO23" s="47">
        <f t="shared" si="15"/>
        <v>2.9212854281990177</v>
      </c>
      <c r="AP23" s="47">
        <f t="shared" si="16"/>
        <v>1.7292810647551211</v>
      </c>
    </row>
    <row r="24" spans="1:42" ht="13.5" customHeight="1" x14ac:dyDescent="0.35">
      <c r="A24" s="60">
        <f>(SUM(AN5:AN1000)/SUM(AC5:AC1000))</f>
        <v>1.4865721556367821</v>
      </c>
      <c r="B24" s="97" t="s">
        <v>38</v>
      </c>
      <c r="C24" s="61">
        <v>18230407</v>
      </c>
      <c r="D24" s="61" t="s">
        <v>39</v>
      </c>
      <c r="E24" s="38" t="s">
        <v>1063</v>
      </c>
      <c r="F24" s="39" t="s">
        <v>1064</v>
      </c>
      <c r="G24" s="39">
        <v>45</v>
      </c>
      <c r="H24" s="39"/>
      <c r="I24" s="40" t="s">
        <v>272</v>
      </c>
      <c r="J24" s="41">
        <v>31787</v>
      </c>
      <c r="K24" s="41">
        <v>24</v>
      </c>
      <c r="L24" s="41"/>
      <c r="M24" s="42">
        <v>7</v>
      </c>
      <c r="N24" s="42">
        <v>23.3</v>
      </c>
      <c r="O24" s="43">
        <v>762888</v>
      </c>
      <c r="P24" s="44">
        <v>418124</v>
      </c>
      <c r="Q24" s="44">
        <v>740637.1</v>
      </c>
      <c r="R24" s="45">
        <v>0</v>
      </c>
      <c r="S24" s="46">
        <v>0</v>
      </c>
      <c r="T24" s="39">
        <f t="shared" si="0"/>
        <v>45</v>
      </c>
      <c r="U24" s="47">
        <f t="shared" si="1"/>
        <v>6.9412036621647175</v>
      </c>
      <c r="V24" s="48">
        <f t="shared" si="2"/>
        <v>16.3</v>
      </c>
      <c r="W24" s="49">
        <f t="shared" si="3"/>
        <v>0.15424897027032705</v>
      </c>
      <c r="X24" s="44">
        <f t="shared" si="4"/>
        <v>161712.13393801011</v>
      </c>
      <c r="Y24" s="44">
        <f t="shared" si="5"/>
        <v>322513.09999999998</v>
      </c>
      <c r="Z24" s="44">
        <f t="shared" si="6"/>
        <v>822845.6359769915</v>
      </c>
      <c r="AA24" s="50">
        <f t="shared" si="7"/>
        <v>902349.23393801006</v>
      </c>
      <c r="AB24" s="51">
        <f t="shared" si="18"/>
        <v>770454.71533426165</v>
      </c>
      <c r="AC24" s="44">
        <f t="shared" si="18"/>
        <v>844896.28645881091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2.9502602387155141</v>
      </c>
      <c r="AG24" s="44">
        <f t="shared" si="10"/>
        <v>2250718.1329932013</v>
      </c>
      <c r="AH24" s="52">
        <f>HLOOKUP(I24,ElecAvoidedCostsWOCC!$A$5:$Q$50,T24+1,FALSE)</f>
        <v>2.9502602387155141</v>
      </c>
      <c r="AI24" s="44">
        <f t="shared" si="11"/>
        <v>0</v>
      </c>
      <c r="AJ24" s="44">
        <f t="shared" si="12"/>
        <v>2250718.1329932013</v>
      </c>
      <c r="AK24" s="44">
        <f>HLOOKUP(I24,ElecAvoidedCostsWOCC!$A$5:$Q$50,G24+1,FALSE)*J24*L24</f>
        <v>0</v>
      </c>
      <c r="AL24" s="44">
        <f t="shared" si="13"/>
        <v>2250718.1329932013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2250718.1329932008</v>
      </c>
      <c r="AN24" s="48">
        <f t="shared" si="14"/>
        <v>2475789.946292521</v>
      </c>
      <c r="AO24" s="47">
        <f t="shared" si="15"/>
        <v>2.9212854281990177</v>
      </c>
      <c r="AP24" s="47">
        <f t="shared" si="16"/>
        <v>2.9302885880457907</v>
      </c>
    </row>
    <row r="25" spans="1:42" ht="13.5" customHeight="1" x14ac:dyDescent="0.35">
      <c r="B25" s="97" t="s">
        <v>38</v>
      </c>
      <c r="C25" s="61">
        <v>18230407</v>
      </c>
      <c r="D25" s="61" t="s">
        <v>39</v>
      </c>
      <c r="E25" s="38" t="s">
        <v>1065</v>
      </c>
      <c r="F25" s="39" t="s">
        <v>1066</v>
      </c>
      <c r="G25" s="39">
        <v>45</v>
      </c>
      <c r="H25" s="39"/>
      <c r="I25" s="40" t="s">
        <v>274</v>
      </c>
      <c r="J25" s="41">
        <v>1368</v>
      </c>
      <c r="K25" s="41"/>
      <c r="L25" s="41"/>
      <c r="M25" s="42"/>
      <c r="N25" s="42"/>
      <c r="O25" s="43">
        <v>0</v>
      </c>
      <c r="P25" s="44">
        <v>0</v>
      </c>
      <c r="Q25" s="44">
        <v>0</v>
      </c>
      <c r="R25" s="45">
        <v>0</v>
      </c>
      <c r="S25" s="46">
        <v>0</v>
      </c>
      <c r="T25" s="39">
        <f t="shared" ref="T25:T80" si="19">G25+H25</f>
        <v>45</v>
      </c>
      <c r="U25" s="47">
        <f t="shared" ref="U25:U80" si="20">(O25/$A$10)*T25</f>
        <v>0</v>
      </c>
      <c r="V25" s="48">
        <f t="shared" ref="V25:V80" si="21">N25-M25</f>
        <v>0</v>
      </c>
      <c r="W25" s="49">
        <f t="shared" ref="W25:W80" si="22">(O25/A$10)</f>
        <v>0</v>
      </c>
      <c r="X25" s="44">
        <f t="shared" ref="X25:X80" si="23">W25*A$8</f>
        <v>0</v>
      </c>
      <c r="Y25" s="44">
        <f t="shared" ref="Y25:Y80" si="24">Q25-P25</f>
        <v>0</v>
      </c>
      <c r="Z25" s="44">
        <f t="shared" ref="Z25:Z80" si="25">X25+(A$6*W25)</f>
        <v>0</v>
      </c>
      <c r="AA25" s="50">
        <f t="shared" ref="AA25:AA80" si="26">Q25+X25</f>
        <v>0</v>
      </c>
      <c r="AB25" s="51">
        <f t="shared" ref="AB25:AB80" si="27">Z25/(1+ElecDiscountRate)^1</f>
        <v>0</v>
      </c>
      <c r="AC25" s="44">
        <f t="shared" ref="AC25:AC80" si="28">AA25/(1+ElecDiscountRate)^1</f>
        <v>0</v>
      </c>
      <c r="AD25" s="44">
        <f t="shared" ref="AD25:AD80" si="29">-PV(ElecDiscountRate,T25,R25)*J25</f>
        <v>0</v>
      </c>
      <c r="AE25" s="44">
        <f t="shared" ref="AE25:AE80" si="30">-PV(ElecDiscountRate,T25,S25)*J25</f>
        <v>0</v>
      </c>
      <c r="AF25" s="52">
        <f>HLOOKUP(I25,ElecAvoidedCostsWOCC!$A$5:$Q$50,G25+1,FALSE)</f>
        <v>3.2695302314196475</v>
      </c>
      <c r="AG25" s="44">
        <f t="shared" ref="AG25:AG80" si="31">AF25*J25*K25</f>
        <v>0</v>
      </c>
      <c r="AH25" s="52">
        <f>HLOOKUP(I25,ElecAvoidedCostsWOCC!$A$5:$Q$50,T25+1,FALSE)</f>
        <v>3.2695302314196475</v>
      </c>
      <c r="AI25" s="44">
        <f t="shared" ref="AI25:AI80" si="32">AH25*J25*L25</f>
        <v>0</v>
      </c>
      <c r="AJ25" s="44">
        <f t="shared" ref="AJ25:AJ80" si="33">AG25+AI25</f>
        <v>0</v>
      </c>
      <c r="AK25" s="44">
        <f>HLOOKUP(I25,ElecAvoidedCostsWOCC!$A$5:$Q$50,G25+1,FALSE)*J25*L25</f>
        <v>0</v>
      </c>
      <c r="AL25" s="44">
        <f t="shared" ref="AL25:AL80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80" si="35">AM25*1.1+AD25+AE25</f>
        <v>0</v>
      </c>
      <c r="AO25" s="47">
        <f t="shared" ref="AO25:AO80" si="36">IFERROR(AM25/AB25,0)</f>
        <v>0</v>
      </c>
      <c r="AP25" s="47" t="e">
        <f t="shared" ref="AP25:AP80" si="37">AN25/AC25</f>
        <v>#DIV/0!</v>
      </c>
    </row>
    <row r="26" spans="1:42" ht="13.5" customHeight="1" x14ac:dyDescent="0.35">
      <c r="B26" s="97" t="s">
        <v>38</v>
      </c>
      <c r="C26" s="61">
        <v>18230407</v>
      </c>
      <c r="D26" s="61" t="s">
        <v>39</v>
      </c>
      <c r="E26" s="38" t="s">
        <v>1067</v>
      </c>
      <c r="F26" s="39" t="s">
        <v>1068</v>
      </c>
      <c r="G26" s="39">
        <v>45</v>
      </c>
      <c r="H26" s="39"/>
      <c r="I26" s="40" t="s">
        <v>272</v>
      </c>
      <c r="J26" s="41">
        <v>656</v>
      </c>
      <c r="K26" s="41">
        <v>27</v>
      </c>
      <c r="L26" s="41"/>
      <c r="M26" s="42">
        <v>9</v>
      </c>
      <c r="N26" s="42">
        <v>26.98</v>
      </c>
      <c r="O26" s="43">
        <v>17712</v>
      </c>
      <c r="P26" s="44">
        <v>11808</v>
      </c>
      <c r="Q26" s="44">
        <v>17698.88</v>
      </c>
      <c r="R26" s="45">
        <v>0</v>
      </c>
      <c r="S26" s="46">
        <v>0</v>
      </c>
      <c r="T26" s="39">
        <f t="shared" si="19"/>
        <v>45</v>
      </c>
      <c r="U26" s="47">
        <f t="shared" si="20"/>
        <v>0.16115419204950329</v>
      </c>
      <c r="V26" s="48">
        <f t="shared" si="21"/>
        <v>17.98</v>
      </c>
      <c r="W26" s="49">
        <f t="shared" si="22"/>
        <v>3.5812042677667399E-3</v>
      </c>
      <c r="X26" s="44">
        <f t="shared" si="23"/>
        <v>3754.4768253138532</v>
      </c>
      <c r="Y26" s="44">
        <f t="shared" si="24"/>
        <v>5890.880000000001</v>
      </c>
      <c r="Z26" s="44">
        <f t="shared" si="25"/>
        <v>19104.038737566294</v>
      </c>
      <c r="AA26" s="50">
        <f t="shared" si="26"/>
        <v>21453.356825313855</v>
      </c>
      <c r="AB26" s="51">
        <f t="shared" si="27"/>
        <v>17887.676720567692</v>
      </c>
      <c r="AC26" s="44">
        <f t="shared" si="28"/>
        <v>20087.412757784507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2.9502602387155141</v>
      </c>
      <c r="AG26" s="44">
        <f t="shared" si="31"/>
        <v>52255.009348129184</v>
      </c>
      <c r="AH26" s="52">
        <f>HLOOKUP(I26,ElecAvoidedCostsWOCC!$A$5:$Q$50,T26+1,FALSE)</f>
        <v>2.9502602387155141</v>
      </c>
      <c r="AI26" s="44">
        <f t="shared" si="32"/>
        <v>0</v>
      </c>
      <c r="AJ26" s="44">
        <f t="shared" si="33"/>
        <v>52255.009348129184</v>
      </c>
      <c r="AK26" s="44">
        <f>HLOOKUP(I26,ElecAvoidedCostsWOCC!$A$5:$Q$50,G26+1,FALSE)*J26*L26</f>
        <v>0</v>
      </c>
      <c r="AL26" s="44">
        <f t="shared" si="34"/>
        <v>52255.009348129184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52255.009348129184</v>
      </c>
      <c r="AN26" s="48">
        <f t="shared" si="35"/>
        <v>57480.510282942108</v>
      </c>
      <c r="AO26" s="47">
        <f t="shared" si="36"/>
        <v>2.9212854281990173</v>
      </c>
      <c r="AP26" s="47">
        <f t="shared" si="37"/>
        <v>2.861518851434294</v>
      </c>
    </row>
    <row r="27" spans="1:42" ht="13.5" customHeight="1" x14ac:dyDescent="0.35">
      <c r="B27" s="97" t="s">
        <v>38</v>
      </c>
      <c r="C27" s="61">
        <v>18230407</v>
      </c>
      <c r="D27" s="61" t="s">
        <v>39</v>
      </c>
      <c r="E27" s="38" t="s">
        <v>1069</v>
      </c>
      <c r="F27" s="39" t="s">
        <v>1070</v>
      </c>
      <c r="G27" s="39">
        <v>20</v>
      </c>
      <c r="H27" s="39"/>
      <c r="I27" s="40" t="s">
        <v>274</v>
      </c>
      <c r="J27" s="41">
        <v>4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>
        <v>7.7064000000000004</v>
      </c>
      <c r="S27" s="46">
        <v>0</v>
      </c>
      <c r="T27" s="39">
        <f t="shared" si="19"/>
        <v>20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331.70532749204403</v>
      </c>
      <c r="AE27" s="44">
        <f t="shared" si="30"/>
        <v>0</v>
      </c>
      <c r="AF27" s="52">
        <f>HLOOKUP(I27,ElecAvoidedCostsWOCC!$A$5:$Q$50,G27+1,FALSE)</f>
        <v>1.6314674491379657</v>
      </c>
      <c r="AG27" s="44">
        <f t="shared" si="31"/>
        <v>0</v>
      </c>
      <c r="AH27" s="52">
        <f>HLOOKUP(I27,ElecAvoidedCostsWOCC!$A$5:$Q$50,T27+1,FALSE)</f>
        <v>1.6314674491379657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331.70532749204403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38</v>
      </c>
      <c r="C28" s="61">
        <v>18230407</v>
      </c>
      <c r="D28" s="61" t="s">
        <v>39</v>
      </c>
      <c r="E28" s="38" t="s">
        <v>1071</v>
      </c>
      <c r="F28" s="39" t="s">
        <v>1072</v>
      </c>
      <c r="G28" s="39">
        <v>20</v>
      </c>
      <c r="H28" s="39"/>
      <c r="I28" s="40" t="s">
        <v>274</v>
      </c>
      <c r="J28" s="41">
        <v>1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20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1.6314674491379657</v>
      </c>
      <c r="AG28" s="44">
        <f t="shared" si="31"/>
        <v>0</v>
      </c>
      <c r="AH28" s="52">
        <f>HLOOKUP(I28,ElecAvoidedCostsWOCC!$A$5:$Q$50,T28+1,FALSE)</f>
        <v>1.6314674491379657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38</v>
      </c>
      <c r="C29" s="61">
        <v>18230407</v>
      </c>
      <c r="D29" s="61" t="s">
        <v>39</v>
      </c>
      <c r="E29" s="38" t="s">
        <v>1073</v>
      </c>
      <c r="F29" s="39" t="s">
        <v>1072</v>
      </c>
      <c r="G29" s="39">
        <v>20</v>
      </c>
      <c r="H29" s="39"/>
      <c r="I29" s="40" t="s">
        <v>274</v>
      </c>
      <c r="J29" s="41">
        <v>1</v>
      </c>
      <c r="K29" s="41"/>
      <c r="L29" s="41"/>
      <c r="M29" s="42"/>
      <c r="N29" s="42"/>
      <c r="O29" s="43">
        <v>0</v>
      </c>
      <c r="P29" s="44">
        <v>0</v>
      </c>
      <c r="Q29" s="44">
        <v>0</v>
      </c>
      <c r="R29" s="45">
        <v>30.04</v>
      </c>
      <c r="S29" s="46">
        <v>0</v>
      </c>
      <c r="T29" s="39">
        <f t="shared" si="19"/>
        <v>20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323.25171409026916</v>
      </c>
      <c r="AE29" s="44">
        <f t="shared" si="30"/>
        <v>0</v>
      </c>
      <c r="AF29" s="52">
        <f>HLOOKUP(I29,ElecAvoidedCostsWOCC!$A$5:$Q$50,G29+1,FALSE)</f>
        <v>1.6314674491379657</v>
      </c>
      <c r="AG29" s="44">
        <f t="shared" si="31"/>
        <v>0</v>
      </c>
      <c r="AH29" s="52">
        <f>HLOOKUP(I29,ElecAvoidedCostsWOCC!$A$5:$Q$50,T29+1,FALSE)</f>
        <v>1.6314674491379657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323.25171409026916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38</v>
      </c>
      <c r="C30" s="61">
        <v>18230407</v>
      </c>
      <c r="D30" s="61" t="s">
        <v>39</v>
      </c>
      <c r="E30" s="38" t="s">
        <v>1074</v>
      </c>
      <c r="F30" s="39" t="s">
        <v>1075</v>
      </c>
      <c r="G30" s="39">
        <v>10</v>
      </c>
      <c r="H30" s="39"/>
      <c r="I30" s="40" t="s">
        <v>270</v>
      </c>
      <c r="J30" s="41">
        <v>510</v>
      </c>
      <c r="K30" s="41">
        <v>50</v>
      </c>
      <c r="L30" s="41"/>
      <c r="M30" s="42">
        <v>33</v>
      </c>
      <c r="N30" s="42">
        <v>33</v>
      </c>
      <c r="O30" s="43">
        <v>25500</v>
      </c>
      <c r="P30" s="44">
        <v>16830</v>
      </c>
      <c r="Q30" s="44">
        <v>16830</v>
      </c>
      <c r="R30" s="45">
        <v>4.13</v>
      </c>
      <c r="S30" s="46">
        <v>0</v>
      </c>
      <c r="T30" s="39">
        <f t="shared" si="19"/>
        <v>10</v>
      </c>
      <c r="U30" s="47">
        <f t="shared" si="20"/>
        <v>5.1558665779162072E-2</v>
      </c>
      <c r="V30" s="48">
        <f t="shared" si="21"/>
        <v>0</v>
      </c>
      <c r="W30" s="49">
        <f t="shared" si="22"/>
        <v>5.1558665779162073E-3</v>
      </c>
      <c r="X30" s="44">
        <f t="shared" si="23"/>
        <v>5405.327407718115</v>
      </c>
      <c r="Y30" s="44">
        <f t="shared" si="24"/>
        <v>0</v>
      </c>
      <c r="Z30" s="44">
        <f t="shared" si="25"/>
        <v>27504.120811198085</v>
      </c>
      <c r="AA30" s="50">
        <f t="shared" si="26"/>
        <v>22235.327407718116</v>
      </c>
      <c r="AB30" s="51">
        <f t="shared" si="27"/>
        <v>25752.922107863375</v>
      </c>
      <c r="AC30" s="44">
        <f t="shared" si="28"/>
        <v>20819.594951046925</v>
      </c>
      <c r="AD30" s="44">
        <f t="shared" si="29"/>
        <v>14931.512208919727</v>
      </c>
      <c r="AE30" s="44">
        <f t="shared" si="30"/>
        <v>0</v>
      </c>
      <c r="AF30" s="52">
        <f>HLOOKUP(I30,ElecAvoidedCostsWOCC!$A$5:$Q$50,G30+1,FALSE)</f>
        <v>0.78742691251205932</v>
      </c>
      <c r="AG30" s="44">
        <f t="shared" si="31"/>
        <v>20079.386269057515</v>
      </c>
      <c r="AH30" s="52">
        <f>HLOOKUP(I30,ElecAvoidedCostsWOCC!$A$5:$Q$50,T30+1,FALSE)</f>
        <v>0.78742691251205932</v>
      </c>
      <c r="AI30" s="44">
        <f t="shared" si="32"/>
        <v>0</v>
      </c>
      <c r="AJ30" s="44">
        <f t="shared" si="33"/>
        <v>20079.386269057515</v>
      </c>
      <c r="AK30" s="44">
        <f>HLOOKUP(I30,ElecAvoidedCostsWOCC!$A$5:$Q$50,G30+1,FALSE)*J30*L30</f>
        <v>0</v>
      </c>
      <c r="AL30" s="44">
        <f t="shared" si="34"/>
        <v>20079.386269057515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20079.386269057512</v>
      </c>
      <c r="AN30" s="48">
        <f t="shared" si="35"/>
        <v>37018.837104882994</v>
      </c>
      <c r="AO30" s="47">
        <f t="shared" si="36"/>
        <v>0.779693511476373</v>
      </c>
      <c r="AP30" s="47">
        <f t="shared" si="37"/>
        <v>1.7780767201247343</v>
      </c>
    </row>
    <row r="31" spans="1:42" x14ac:dyDescent="0.35">
      <c r="B31" s="97" t="s">
        <v>38</v>
      </c>
      <c r="C31" s="61">
        <v>18230407</v>
      </c>
      <c r="D31" s="61" t="s">
        <v>39</v>
      </c>
      <c r="E31" s="38" t="s">
        <v>1076</v>
      </c>
      <c r="F31" s="39" t="s">
        <v>1077</v>
      </c>
      <c r="G31" s="39">
        <v>10</v>
      </c>
      <c r="H31" s="39"/>
      <c r="I31" s="40" t="s">
        <v>270</v>
      </c>
      <c r="J31" s="41">
        <v>11</v>
      </c>
      <c r="K31" s="41"/>
      <c r="L31" s="41"/>
      <c r="M31" s="42"/>
      <c r="N31" s="42"/>
      <c r="O31" s="43">
        <v>0</v>
      </c>
      <c r="P31" s="44">
        <v>0</v>
      </c>
      <c r="Q31" s="44">
        <v>0</v>
      </c>
      <c r="R31" s="45">
        <v>4.13</v>
      </c>
      <c r="S31" s="46">
        <v>0</v>
      </c>
      <c r="T31" s="39">
        <f t="shared" si="19"/>
        <v>10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322.05222411395488</v>
      </c>
      <c r="AE31" s="44">
        <f t="shared" si="30"/>
        <v>0</v>
      </c>
      <c r="AF31" s="52">
        <f>HLOOKUP(I31,ElecAvoidedCostsWOCC!$A$5:$Q$50,G31+1,FALSE)</f>
        <v>0.78742691251205932</v>
      </c>
      <c r="AG31" s="44">
        <f t="shared" si="31"/>
        <v>0</v>
      </c>
      <c r="AH31" s="52">
        <f>HLOOKUP(I31,ElecAvoidedCostsWOCC!$A$5:$Q$50,T31+1,FALSE)</f>
        <v>0.78742691251205932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322.05222411395488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38</v>
      </c>
      <c r="C32" s="61">
        <v>18230407</v>
      </c>
      <c r="D32" s="61" t="s">
        <v>39</v>
      </c>
      <c r="E32" s="38" t="s">
        <v>1078</v>
      </c>
      <c r="F32" s="39" t="s">
        <v>1079</v>
      </c>
      <c r="G32" s="39">
        <v>15</v>
      </c>
      <c r="H32" s="39"/>
      <c r="I32" s="40" t="s">
        <v>272</v>
      </c>
      <c r="J32" s="41">
        <v>3305</v>
      </c>
      <c r="K32" s="41">
        <v>71</v>
      </c>
      <c r="L32" s="41"/>
      <c r="M32" s="42">
        <v>120</v>
      </c>
      <c r="N32" s="42">
        <v>120</v>
      </c>
      <c r="O32" s="43">
        <v>234655</v>
      </c>
      <c r="P32" s="44">
        <v>396600</v>
      </c>
      <c r="Q32" s="44">
        <v>396600</v>
      </c>
      <c r="R32" s="45">
        <v>2.46</v>
      </c>
      <c r="S32" s="46">
        <v>0</v>
      </c>
      <c r="T32" s="39">
        <f t="shared" si="19"/>
        <v>15</v>
      </c>
      <c r="U32" s="47">
        <f t="shared" si="20"/>
        <v>0.71167639520054571</v>
      </c>
      <c r="V32" s="48">
        <f t="shared" si="21"/>
        <v>0</v>
      </c>
      <c r="W32" s="49">
        <f t="shared" si="22"/>
        <v>4.7445093013369716E-2</v>
      </c>
      <c r="X32" s="44">
        <f t="shared" si="23"/>
        <v>49740.670700317431</v>
      </c>
      <c r="Y32" s="44">
        <f t="shared" si="24"/>
        <v>0</v>
      </c>
      <c r="Z32" s="44">
        <f t="shared" si="25"/>
        <v>253097.23407653676</v>
      </c>
      <c r="AA32" s="50">
        <f t="shared" si="26"/>
        <v>446340.67070031742</v>
      </c>
      <c r="AB32" s="51">
        <f t="shared" si="27"/>
        <v>236982.42891061492</v>
      </c>
      <c r="AC32" s="44">
        <f t="shared" si="28"/>
        <v>417921.97631115862</v>
      </c>
      <c r="AD32" s="44">
        <f t="shared" si="29"/>
        <v>74994.648050452917</v>
      </c>
      <c r="AE32" s="44">
        <f t="shared" si="30"/>
        <v>0</v>
      </c>
      <c r="AF32" s="52">
        <f>HLOOKUP(I32,ElecAvoidedCostsWOCC!$A$5:$Q$50,G32+1,FALSE)</f>
        <v>1.3031638418298148</v>
      </c>
      <c r="AG32" s="44">
        <f t="shared" si="31"/>
        <v>305793.91130457522</v>
      </c>
      <c r="AH32" s="52">
        <f>HLOOKUP(I32,ElecAvoidedCostsWOCC!$A$5:$Q$50,T32+1,FALSE)</f>
        <v>1.3031638418298148</v>
      </c>
      <c r="AI32" s="44">
        <f t="shared" si="32"/>
        <v>0</v>
      </c>
      <c r="AJ32" s="44">
        <f t="shared" si="33"/>
        <v>305793.91130457522</v>
      </c>
      <c r="AK32" s="44">
        <f>HLOOKUP(I32,ElecAvoidedCostsWOCC!$A$5:$Q$50,G32+1,FALSE)*J32*L32</f>
        <v>0</v>
      </c>
      <c r="AL32" s="44">
        <f t="shared" si="34"/>
        <v>305793.91130457522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305793.91130457516</v>
      </c>
      <c r="AN32" s="48">
        <f t="shared" si="35"/>
        <v>411367.95048548561</v>
      </c>
      <c r="AO32" s="47">
        <f t="shared" si="36"/>
        <v>1.2903653351443813</v>
      </c>
      <c r="AP32" s="47">
        <f t="shared" si="37"/>
        <v>0.98431758510638045</v>
      </c>
    </row>
    <row r="33" spans="2:42" x14ac:dyDescent="0.35">
      <c r="B33" s="97" t="s">
        <v>38</v>
      </c>
      <c r="C33" s="61">
        <v>18230407</v>
      </c>
      <c r="D33" s="61" t="s">
        <v>39</v>
      </c>
      <c r="E33" s="38" t="s">
        <v>671</v>
      </c>
      <c r="F33" s="39" t="s">
        <v>670</v>
      </c>
      <c r="G33" s="39">
        <v>11</v>
      </c>
      <c r="H33" s="39"/>
      <c r="I33" s="40" t="s">
        <v>274</v>
      </c>
      <c r="J33" s="41">
        <v>1</v>
      </c>
      <c r="K33" s="41">
        <v>508</v>
      </c>
      <c r="L33" s="41"/>
      <c r="M33" s="42">
        <v>75</v>
      </c>
      <c r="N33" s="42">
        <v>189</v>
      </c>
      <c r="O33" s="43">
        <v>508</v>
      </c>
      <c r="P33" s="44">
        <v>75</v>
      </c>
      <c r="Q33" s="44">
        <v>189</v>
      </c>
      <c r="R33" s="45">
        <v>20.9</v>
      </c>
      <c r="S33" s="46">
        <v>0</v>
      </c>
      <c r="T33" s="39">
        <f t="shared" si="19"/>
        <v>11</v>
      </c>
      <c r="U33" s="47">
        <f t="shared" si="20"/>
        <v>1.1298424485253241E-3</v>
      </c>
      <c r="V33" s="48">
        <f t="shared" si="21"/>
        <v>114</v>
      </c>
      <c r="W33" s="49">
        <f t="shared" si="22"/>
        <v>1.0271294986593856E-4</v>
      </c>
      <c r="X33" s="44">
        <f t="shared" si="23"/>
        <v>107.68260090669814</v>
      </c>
      <c r="Y33" s="44">
        <f t="shared" si="24"/>
        <v>114</v>
      </c>
      <c r="Z33" s="44">
        <f t="shared" si="25"/>
        <v>547.92523027798541</v>
      </c>
      <c r="AA33" s="50">
        <f t="shared" si="26"/>
        <v>296.68260090669816</v>
      </c>
      <c r="AB33" s="51">
        <f t="shared" si="27"/>
        <v>513.03860512919982</v>
      </c>
      <c r="AC33" s="44">
        <f t="shared" si="28"/>
        <v>277.79269747818176</v>
      </c>
      <c r="AD33" s="44">
        <f t="shared" si="29"/>
        <v>158.29552326008522</v>
      </c>
      <c r="AE33" s="44">
        <f t="shared" si="30"/>
        <v>0</v>
      </c>
      <c r="AF33" s="52">
        <f>HLOOKUP(I33,ElecAvoidedCostsWOCC!$A$5:$Q$50,G33+1,FALSE)</f>
        <v>1.0150905720727579</v>
      </c>
      <c r="AG33" s="44">
        <f t="shared" si="31"/>
        <v>515.66601061296103</v>
      </c>
      <c r="AH33" s="52">
        <f>HLOOKUP(I33,ElecAvoidedCostsWOCC!$A$5:$Q$50,T33+1,FALSE)</f>
        <v>1.0150905720727579</v>
      </c>
      <c r="AI33" s="44">
        <f t="shared" si="32"/>
        <v>0</v>
      </c>
      <c r="AJ33" s="44">
        <f t="shared" si="33"/>
        <v>515.66601061296103</v>
      </c>
      <c r="AK33" s="44">
        <f>HLOOKUP(I33,ElecAvoidedCostsWOCC!$A$5:$Q$50,G33+1,FALSE)*J33*L33</f>
        <v>0</v>
      </c>
      <c r="AL33" s="44">
        <f t="shared" si="34"/>
        <v>515.66601061296103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515.66601061296103</v>
      </c>
      <c r="AN33" s="48">
        <f t="shared" si="35"/>
        <v>725.52813493434246</v>
      </c>
      <c r="AO33" s="47">
        <f t="shared" si="36"/>
        <v>1.0051212627227137</v>
      </c>
      <c r="AP33" s="47">
        <f t="shared" si="37"/>
        <v>2.6117610056733995</v>
      </c>
    </row>
    <row r="34" spans="2:42" x14ac:dyDescent="0.35">
      <c r="B34" s="97" t="s">
        <v>38</v>
      </c>
      <c r="C34" s="61">
        <v>18230407</v>
      </c>
      <c r="D34" s="61" t="s">
        <v>39</v>
      </c>
      <c r="E34" s="38" t="s">
        <v>1080</v>
      </c>
      <c r="F34" s="39" t="s">
        <v>1081</v>
      </c>
      <c r="G34" s="39">
        <v>15</v>
      </c>
      <c r="H34" s="39"/>
      <c r="I34" s="40" t="s">
        <v>239</v>
      </c>
      <c r="J34" s="41">
        <v>2</v>
      </c>
      <c r="K34" s="41">
        <v>90</v>
      </c>
      <c r="L34" s="41"/>
      <c r="M34" s="42">
        <v>70</v>
      </c>
      <c r="N34" s="42">
        <v>70</v>
      </c>
      <c r="O34" s="43">
        <v>180</v>
      </c>
      <c r="P34" s="44">
        <v>140</v>
      </c>
      <c r="Q34" s="44">
        <v>140</v>
      </c>
      <c r="R34" s="45">
        <v>14.086</v>
      </c>
      <c r="S34" s="46">
        <v>0</v>
      </c>
      <c r="T34" s="39">
        <f t="shared" si="19"/>
        <v>15</v>
      </c>
      <c r="U34" s="47">
        <f t="shared" si="20"/>
        <v>5.4591528472053969E-4</v>
      </c>
      <c r="V34" s="48">
        <f t="shared" si="21"/>
        <v>0</v>
      </c>
      <c r="W34" s="49">
        <f t="shared" si="22"/>
        <v>3.6394352314702644E-5</v>
      </c>
      <c r="X34" s="44">
        <f t="shared" si="23"/>
        <v>38.155252289774936</v>
      </c>
      <c r="Y34" s="44">
        <f t="shared" si="24"/>
        <v>0</v>
      </c>
      <c r="Z34" s="44">
        <f t="shared" si="25"/>
        <v>194.14673513786886</v>
      </c>
      <c r="AA34" s="50">
        <f t="shared" si="26"/>
        <v>178.15525228977492</v>
      </c>
      <c r="AB34" s="51">
        <f t="shared" si="27"/>
        <v>181.78533252609444</v>
      </c>
      <c r="AC34" s="44">
        <f t="shared" si="28"/>
        <v>166.81203397919001</v>
      </c>
      <c r="AD34" s="44">
        <f t="shared" si="29"/>
        <v>259.861164394593</v>
      </c>
      <c r="AE34" s="44">
        <f t="shared" si="30"/>
        <v>0</v>
      </c>
      <c r="AF34" s="52">
        <f>HLOOKUP(I34,ElecAvoidedCostsWOCC!$A$5:$Q$50,G34+1,FALSE)</f>
        <v>1.1280379732091177</v>
      </c>
      <c r="AG34" s="44">
        <f t="shared" si="31"/>
        <v>203.04683517764119</v>
      </c>
      <c r="AH34" s="52">
        <f>HLOOKUP(I34,ElecAvoidedCostsWOCC!$A$5:$Q$50,T34+1,FALSE)</f>
        <v>1.1280379732091177</v>
      </c>
      <c r="AI34" s="44">
        <f t="shared" si="32"/>
        <v>0</v>
      </c>
      <c r="AJ34" s="44">
        <f t="shared" si="33"/>
        <v>203.04683517764119</v>
      </c>
      <c r="AK34" s="44">
        <f>HLOOKUP(I34,ElecAvoidedCostsWOCC!$A$5:$Q$50,G34+1,FALSE)*J34*L34</f>
        <v>0</v>
      </c>
      <c r="AL34" s="44">
        <f t="shared" si="34"/>
        <v>203.04683517764119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203.04683517764119</v>
      </c>
      <c r="AN34" s="48">
        <f t="shared" si="35"/>
        <v>483.21268308999834</v>
      </c>
      <c r="AO34" s="47">
        <f t="shared" si="36"/>
        <v>1.1169593957669537</v>
      </c>
      <c r="AP34" s="47">
        <f t="shared" si="37"/>
        <v>2.8967495423638301</v>
      </c>
    </row>
    <row r="35" spans="2:42" x14ac:dyDescent="0.35">
      <c r="B35" s="97" t="s">
        <v>38</v>
      </c>
      <c r="C35" s="61">
        <v>18230407</v>
      </c>
      <c r="D35" s="61" t="s">
        <v>39</v>
      </c>
      <c r="E35" s="38" t="s">
        <v>1082</v>
      </c>
      <c r="F35" s="39" t="s">
        <v>1083</v>
      </c>
      <c r="G35" s="39">
        <v>15</v>
      </c>
      <c r="H35" s="39"/>
      <c r="I35" s="40" t="s">
        <v>239</v>
      </c>
      <c r="J35" s="41">
        <v>46</v>
      </c>
      <c r="K35" s="41">
        <v>61</v>
      </c>
      <c r="L35" s="41"/>
      <c r="M35" s="42">
        <v>70</v>
      </c>
      <c r="N35" s="42">
        <v>70</v>
      </c>
      <c r="O35" s="43">
        <v>2806</v>
      </c>
      <c r="P35" s="44">
        <v>3220</v>
      </c>
      <c r="Q35" s="44">
        <v>3220</v>
      </c>
      <c r="R35" s="45">
        <v>1.48</v>
      </c>
      <c r="S35" s="46">
        <v>0</v>
      </c>
      <c r="T35" s="39">
        <f t="shared" si="19"/>
        <v>15</v>
      </c>
      <c r="U35" s="47">
        <f t="shared" si="20"/>
        <v>8.5102127162546351E-3</v>
      </c>
      <c r="V35" s="48">
        <f t="shared" si="21"/>
        <v>0</v>
      </c>
      <c r="W35" s="49">
        <f t="shared" si="22"/>
        <v>5.6734751441697565E-4</v>
      </c>
      <c r="X35" s="44">
        <f t="shared" si="23"/>
        <v>594.79798847282484</v>
      </c>
      <c r="Y35" s="44">
        <f t="shared" si="24"/>
        <v>0</v>
      </c>
      <c r="Z35" s="44">
        <f t="shared" si="25"/>
        <v>3026.5318822047775</v>
      </c>
      <c r="AA35" s="50">
        <f t="shared" si="26"/>
        <v>3814.7979884728247</v>
      </c>
      <c r="AB35" s="51">
        <f t="shared" si="27"/>
        <v>2833.831350379005</v>
      </c>
      <c r="AC35" s="44">
        <f t="shared" si="28"/>
        <v>3571.9082289071389</v>
      </c>
      <c r="AD35" s="44">
        <f t="shared" si="29"/>
        <v>627.97629106857482</v>
      </c>
      <c r="AE35" s="44">
        <f t="shared" si="30"/>
        <v>0</v>
      </c>
      <c r="AF35" s="52">
        <f>HLOOKUP(I35,ElecAvoidedCostsWOCC!$A$5:$Q$50,G35+1,FALSE)</f>
        <v>1.1280379732091177</v>
      </c>
      <c r="AG35" s="44">
        <f t="shared" si="31"/>
        <v>3165.2745528247842</v>
      </c>
      <c r="AH35" s="52">
        <f>HLOOKUP(I35,ElecAvoidedCostsWOCC!$A$5:$Q$50,T35+1,FALSE)</f>
        <v>1.1280379732091177</v>
      </c>
      <c r="AI35" s="44">
        <f t="shared" si="32"/>
        <v>0</v>
      </c>
      <c r="AJ35" s="44">
        <f t="shared" si="33"/>
        <v>3165.2745528247842</v>
      </c>
      <c r="AK35" s="44">
        <f>HLOOKUP(I35,ElecAvoidedCostsWOCC!$A$5:$Q$50,G35+1,FALSE)*J35*L35</f>
        <v>0</v>
      </c>
      <c r="AL35" s="44">
        <f t="shared" si="34"/>
        <v>3165.2745528247842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3165.2745528247842</v>
      </c>
      <c r="AN35" s="48">
        <f t="shared" si="35"/>
        <v>4109.7782991758377</v>
      </c>
      <c r="AO35" s="47">
        <f t="shared" si="36"/>
        <v>1.1169593957669539</v>
      </c>
      <c r="AP35" s="47">
        <f t="shared" si="37"/>
        <v>1.1505833957087037</v>
      </c>
    </row>
    <row r="36" spans="2:42" x14ac:dyDescent="0.35">
      <c r="B36" s="97" t="s">
        <v>38</v>
      </c>
      <c r="C36" s="61">
        <v>18230407</v>
      </c>
      <c r="D36" s="61" t="s">
        <v>39</v>
      </c>
      <c r="E36" s="38" t="s">
        <v>1084</v>
      </c>
      <c r="F36" s="39" t="s">
        <v>1083</v>
      </c>
      <c r="G36" s="39">
        <v>15</v>
      </c>
      <c r="H36" s="39"/>
      <c r="I36" s="40" t="s">
        <v>239</v>
      </c>
      <c r="J36" s="41">
        <v>1203</v>
      </c>
      <c r="K36" s="41">
        <v>61</v>
      </c>
      <c r="L36" s="41"/>
      <c r="M36" s="42">
        <v>70</v>
      </c>
      <c r="N36" s="42">
        <v>70</v>
      </c>
      <c r="O36" s="43">
        <v>73383</v>
      </c>
      <c r="P36" s="44">
        <v>84210</v>
      </c>
      <c r="Q36" s="44">
        <v>84210</v>
      </c>
      <c r="R36" s="45">
        <v>5.6070000000000002</v>
      </c>
      <c r="S36" s="46">
        <v>0</v>
      </c>
      <c r="T36" s="39">
        <f t="shared" si="19"/>
        <v>15</v>
      </c>
      <c r="U36" s="47">
        <f t="shared" si="20"/>
        <v>0.22256056299248533</v>
      </c>
      <c r="V36" s="48">
        <f t="shared" si="21"/>
        <v>0</v>
      </c>
      <c r="W36" s="49">
        <f t="shared" si="22"/>
        <v>1.4837370866165689E-2</v>
      </c>
      <c r="X36" s="44">
        <f t="shared" si="23"/>
        <v>15555.260437669744</v>
      </c>
      <c r="Y36" s="44">
        <f t="shared" si="24"/>
        <v>0</v>
      </c>
      <c r="Z36" s="44">
        <f t="shared" si="25"/>
        <v>79150.388136790163</v>
      </c>
      <c r="AA36" s="50">
        <f t="shared" si="26"/>
        <v>99765.260437669742</v>
      </c>
      <c r="AB36" s="51">
        <f t="shared" si="27"/>
        <v>74110.850315346586</v>
      </c>
      <c r="AC36" s="44">
        <f t="shared" si="28"/>
        <v>93413.165203810611</v>
      </c>
      <c r="AD36" s="44">
        <f t="shared" si="29"/>
        <v>62218.549735867571</v>
      </c>
      <c r="AE36" s="44">
        <f t="shared" si="30"/>
        <v>0</v>
      </c>
      <c r="AF36" s="52">
        <f>HLOOKUP(I36,ElecAvoidedCostsWOCC!$A$5:$Q$50,G36+1,FALSE)</f>
        <v>1.1280379732091177</v>
      </c>
      <c r="AG36" s="44">
        <f t="shared" si="31"/>
        <v>82778.810588004693</v>
      </c>
      <c r="AH36" s="52">
        <f>HLOOKUP(I36,ElecAvoidedCostsWOCC!$A$5:$Q$50,T36+1,FALSE)</f>
        <v>1.1280379732091177</v>
      </c>
      <c r="AI36" s="44">
        <f t="shared" si="32"/>
        <v>0</v>
      </c>
      <c r="AJ36" s="44">
        <f t="shared" si="33"/>
        <v>82778.810588004693</v>
      </c>
      <c r="AK36" s="44">
        <f>HLOOKUP(I36,ElecAvoidedCostsWOCC!$A$5:$Q$50,G36+1,FALSE)*J36*L36</f>
        <v>0</v>
      </c>
      <c r="AL36" s="44">
        <f t="shared" si="34"/>
        <v>82778.810588004693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82778.810588004679</v>
      </c>
      <c r="AN36" s="48">
        <f t="shared" si="35"/>
        <v>153275.24138267271</v>
      </c>
      <c r="AO36" s="47">
        <f t="shared" si="36"/>
        <v>1.1169593957669537</v>
      </c>
      <c r="AP36" s="47">
        <f t="shared" si="37"/>
        <v>1.6408312580807416</v>
      </c>
    </row>
    <row r="37" spans="2:42" x14ac:dyDescent="0.35">
      <c r="B37" s="97" t="s">
        <v>38</v>
      </c>
      <c r="C37" s="61">
        <v>18230407</v>
      </c>
      <c r="D37" s="61" t="s">
        <v>39</v>
      </c>
      <c r="E37" s="38" t="s">
        <v>1085</v>
      </c>
      <c r="F37" s="39" t="s">
        <v>1086</v>
      </c>
      <c r="G37" s="39">
        <v>4</v>
      </c>
      <c r="H37" s="39"/>
      <c r="I37" s="40" t="s">
        <v>268</v>
      </c>
      <c r="J37" s="41">
        <v>2</v>
      </c>
      <c r="K37" s="41">
        <v>65</v>
      </c>
      <c r="L37" s="41"/>
      <c r="M37" s="42">
        <v>18</v>
      </c>
      <c r="N37" s="42">
        <v>18</v>
      </c>
      <c r="O37" s="43">
        <v>130</v>
      </c>
      <c r="P37" s="44">
        <v>36</v>
      </c>
      <c r="Q37" s="44">
        <v>36</v>
      </c>
      <c r="R37" s="45">
        <v>0</v>
      </c>
      <c r="S37" s="46">
        <v>0</v>
      </c>
      <c r="T37" s="39">
        <f t="shared" si="19"/>
        <v>4</v>
      </c>
      <c r="U37" s="47">
        <f t="shared" si="20"/>
        <v>1.0513924002025207E-4</v>
      </c>
      <c r="V37" s="48">
        <f t="shared" si="21"/>
        <v>0</v>
      </c>
      <c r="W37" s="49">
        <f t="shared" si="22"/>
        <v>2.6284810005063018E-5</v>
      </c>
      <c r="X37" s="44">
        <f t="shared" si="23"/>
        <v>27.556571098170782</v>
      </c>
      <c r="Y37" s="44">
        <f t="shared" si="24"/>
        <v>0</v>
      </c>
      <c r="Z37" s="44">
        <f t="shared" si="25"/>
        <v>140.21708648846084</v>
      </c>
      <c r="AA37" s="50">
        <f t="shared" si="26"/>
        <v>63.556571098170778</v>
      </c>
      <c r="AB37" s="51">
        <f t="shared" si="27"/>
        <v>131.28940682440154</v>
      </c>
      <c r="AC37" s="44">
        <f t="shared" si="28"/>
        <v>59.509898031995107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0.33295791122253593</v>
      </c>
      <c r="AG37" s="44">
        <f t="shared" si="31"/>
        <v>43.284528458929671</v>
      </c>
      <c r="AH37" s="52">
        <f>HLOOKUP(I37,ElecAvoidedCostsWOCC!$A$5:$Q$50,T37+1,FALSE)</f>
        <v>0.33295791122253593</v>
      </c>
      <c r="AI37" s="44">
        <f t="shared" si="32"/>
        <v>0</v>
      </c>
      <c r="AJ37" s="44">
        <f t="shared" si="33"/>
        <v>43.284528458929671</v>
      </c>
      <c r="AK37" s="44">
        <f>HLOOKUP(I37,ElecAvoidedCostsWOCC!$A$5:$Q$50,G37+1,FALSE)*J37*L37</f>
        <v>0</v>
      </c>
      <c r="AL37" s="44">
        <f t="shared" si="34"/>
        <v>43.284528458929671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43.284528458929671</v>
      </c>
      <c r="AN37" s="48">
        <f t="shared" si="35"/>
        <v>47.61298130482264</v>
      </c>
      <c r="AO37" s="47">
        <f t="shared" si="36"/>
        <v>0.3296878971874887</v>
      </c>
      <c r="AP37" s="47">
        <f t="shared" si="37"/>
        <v>0.80008507625443803</v>
      </c>
    </row>
    <row r="38" spans="2:42" x14ac:dyDescent="0.35">
      <c r="B38" s="97" t="s">
        <v>38</v>
      </c>
      <c r="C38" s="61">
        <v>18230407</v>
      </c>
      <c r="D38" s="61" t="s">
        <v>39</v>
      </c>
      <c r="E38" s="38" t="s">
        <v>1087</v>
      </c>
      <c r="F38" s="39" t="s">
        <v>1088</v>
      </c>
      <c r="G38" s="39">
        <v>5</v>
      </c>
      <c r="H38" s="39"/>
      <c r="I38" s="40" t="s">
        <v>268</v>
      </c>
      <c r="J38" s="41">
        <v>19</v>
      </c>
      <c r="K38" s="41">
        <v>45</v>
      </c>
      <c r="L38" s="41"/>
      <c r="M38" s="42">
        <v>14</v>
      </c>
      <c r="N38" s="42">
        <v>14</v>
      </c>
      <c r="O38" s="43">
        <v>855</v>
      </c>
      <c r="P38" s="44">
        <v>342</v>
      </c>
      <c r="Q38" s="44">
        <v>266</v>
      </c>
      <c r="R38" s="45">
        <v>0</v>
      </c>
      <c r="S38" s="46">
        <v>0</v>
      </c>
      <c r="T38" s="39">
        <f t="shared" si="19"/>
        <v>5</v>
      </c>
      <c r="U38" s="47">
        <f t="shared" si="20"/>
        <v>8.6436586747418772E-4</v>
      </c>
      <c r="V38" s="48">
        <f t="shared" si="21"/>
        <v>0</v>
      </c>
      <c r="W38" s="49">
        <f t="shared" si="22"/>
        <v>1.7287317349483754E-4</v>
      </c>
      <c r="X38" s="44">
        <f t="shared" si="23"/>
        <v>181.23744837643093</v>
      </c>
      <c r="Y38" s="44">
        <f t="shared" si="24"/>
        <v>-76</v>
      </c>
      <c r="Z38" s="44">
        <f t="shared" si="25"/>
        <v>922.196991904877</v>
      </c>
      <c r="AA38" s="50">
        <f t="shared" si="26"/>
        <v>447.23744837643096</v>
      </c>
      <c r="AB38" s="51">
        <f t="shared" si="27"/>
        <v>863.48032949894844</v>
      </c>
      <c r="AC38" s="44">
        <f t="shared" si="28"/>
        <v>418.76165578317506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0.40872307038747036</v>
      </c>
      <c r="AG38" s="44">
        <f t="shared" si="31"/>
        <v>349.45822518128716</v>
      </c>
      <c r="AH38" s="52">
        <f>HLOOKUP(I38,ElecAvoidedCostsWOCC!$A$5:$Q$50,T38+1,FALSE)</f>
        <v>0.40872307038747036</v>
      </c>
      <c r="AI38" s="44">
        <f t="shared" si="32"/>
        <v>0</v>
      </c>
      <c r="AJ38" s="44">
        <f t="shared" si="33"/>
        <v>349.45822518128716</v>
      </c>
      <c r="AK38" s="44">
        <f>HLOOKUP(I38,ElecAvoidedCostsWOCC!$A$5:$Q$50,G38+1,FALSE)*J38*L38</f>
        <v>0</v>
      </c>
      <c r="AL38" s="44">
        <f t="shared" si="34"/>
        <v>349.45822518128716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349.4582251812871</v>
      </c>
      <c r="AN38" s="48">
        <f t="shared" si="35"/>
        <v>384.40404769941586</v>
      </c>
      <c r="AO38" s="47">
        <f t="shared" si="36"/>
        <v>0.40470895889900255</v>
      </c>
      <c r="AP38" s="47">
        <f t="shared" si="37"/>
        <v>0.91795426441443639</v>
      </c>
    </row>
    <row r="39" spans="2:42" x14ac:dyDescent="0.35">
      <c r="B39" s="97" t="s">
        <v>38</v>
      </c>
      <c r="C39" s="61">
        <v>18230407</v>
      </c>
      <c r="D39" s="61" t="s">
        <v>39</v>
      </c>
      <c r="E39" s="38" t="s">
        <v>1089</v>
      </c>
      <c r="F39" s="39" t="s">
        <v>1088</v>
      </c>
      <c r="G39" s="39">
        <v>5</v>
      </c>
      <c r="H39" s="39"/>
      <c r="I39" s="40" t="s">
        <v>268</v>
      </c>
      <c r="J39" s="41">
        <v>1404</v>
      </c>
      <c r="K39" s="41">
        <v>45</v>
      </c>
      <c r="L39" s="41"/>
      <c r="M39" s="42">
        <v>18</v>
      </c>
      <c r="N39" s="42">
        <v>18</v>
      </c>
      <c r="O39" s="43">
        <v>63180</v>
      </c>
      <c r="P39" s="44">
        <v>25272</v>
      </c>
      <c r="Q39" s="44">
        <v>25272</v>
      </c>
      <c r="R39" s="45">
        <v>0</v>
      </c>
      <c r="S39" s="46">
        <v>0</v>
      </c>
      <c r="T39" s="39">
        <f t="shared" si="19"/>
        <v>5</v>
      </c>
      <c r="U39" s="47">
        <f t="shared" si="20"/>
        <v>6.3872088312303135E-2</v>
      </c>
      <c r="V39" s="48">
        <f t="shared" si="21"/>
        <v>0</v>
      </c>
      <c r="W39" s="49">
        <f t="shared" si="22"/>
        <v>1.2774417662460628E-2</v>
      </c>
      <c r="X39" s="44">
        <f t="shared" si="23"/>
        <v>13392.493553711001</v>
      </c>
      <c r="Y39" s="44">
        <f t="shared" si="24"/>
        <v>0</v>
      </c>
      <c r="Z39" s="44">
        <f t="shared" si="25"/>
        <v>68145.504033391961</v>
      </c>
      <c r="AA39" s="50">
        <f t="shared" si="26"/>
        <v>38664.493553711</v>
      </c>
      <c r="AB39" s="51">
        <f t="shared" si="27"/>
        <v>63806.651716659137</v>
      </c>
      <c r="AC39" s="44">
        <f t="shared" si="28"/>
        <v>36202.70931995412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0.40872307038747036</v>
      </c>
      <c r="AG39" s="44">
        <f t="shared" si="31"/>
        <v>25823.123587080379</v>
      </c>
      <c r="AH39" s="52">
        <f>HLOOKUP(I39,ElecAvoidedCostsWOCC!$A$5:$Q$50,T39+1,FALSE)</f>
        <v>0.40872307038747036</v>
      </c>
      <c r="AI39" s="44">
        <f t="shared" si="32"/>
        <v>0</v>
      </c>
      <c r="AJ39" s="44">
        <f t="shared" si="33"/>
        <v>25823.123587080379</v>
      </c>
      <c r="AK39" s="44">
        <f>HLOOKUP(I39,ElecAvoidedCostsWOCC!$A$5:$Q$50,G39+1,FALSE)*J39*L39</f>
        <v>0</v>
      </c>
      <c r="AL39" s="44">
        <f t="shared" si="34"/>
        <v>25823.123587080379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25823.123587080376</v>
      </c>
      <c r="AN39" s="48">
        <f t="shared" si="35"/>
        <v>28405.435945788417</v>
      </c>
      <c r="AO39" s="47">
        <f t="shared" si="36"/>
        <v>0.4047089588990026</v>
      </c>
      <c r="AP39" s="47">
        <f t="shared" si="37"/>
        <v>0.78462182746449805</v>
      </c>
    </row>
    <row r="40" spans="2:42" x14ac:dyDescent="0.35">
      <c r="B40" s="97" t="s">
        <v>38</v>
      </c>
      <c r="C40" s="61">
        <v>18230407</v>
      </c>
      <c r="D40" s="61" t="s">
        <v>39</v>
      </c>
      <c r="E40" s="38" t="s">
        <v>1090</v>
      </c>
      <c r="F40" s="39" t="s">
        <v>1091</v>
      </c>
      <c r="G40" s="39">
        <v>45</v>
      </c>
      <c r="H40" s="39"/>
      <c r="I40" s="40" t="s">
        <v>272</v>
      </c>
      <c r="J40" s="41">
        <v>8520</v>
      </c>
      <c r="K40" s="41">
        <v>1</v>
      </c>
      <c r="L40" s="41"/>
      <c r="M40" s="42">
        <v>1.5</v>
      </c>
      <c r="N40" s="42">
        <v>1.82</v>
      </c>
      <c r="O40" s="43">
        <v>8520</v>
      </c>
      <c r="P40" s="44">
        <v>12780</v>
      </c>
      <c r="Q40" s="44">
        <v>15506.4</v>
      </c>
      <c r="R40" s="45">
        <v>0</v>
      </c>
      <c r="S40" s="46">
        <v>0</v>
      </c>
      <c r="T40" s="39">
        <f t="shared" si="19"/>
        <v>45</v>
      </c>
      <c r="U40" s="47">
        <f t="shared" si="20"/>
        <v>7.7519970430316623E-2</v>
      </c>
      <c r="V40" s="48">
        <f t="shared" si="21"/>
        <v>0.32000000000000006</v>
      </c>
      <c r="W40" s="49">
        <f t="shared" si="22"/>
        <v>1.7226660095625917E-3</v>
      </c>
      <c r="X40" s="44">
        <f t="shared" si="23"/>
        <v>1806.0152750493469</v>
      </c>
      <c r="Y40" s="44">
        <f t="shared" si="24"/>
        <v>2726.3999999999996</v>
      </c>
      <c r="Z40" s="44">
        <f t="shared" si="25"/>
        <v>9189.6121298591243</v>
      </c>
      <c r="AA40" s="50">
        <f t="shared" si="26"/>
        <v>17312.415275049345</v>
      </c>
      <c r="AB40" s="51">
        <f t="shared" si="27"/>
        <v>8604.5057395684671</v>
      </c>
      <c r="AC40" s="44">
        <f t="shared" si="28"/>
        <v>16210.126662031222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2.9502602387155141</v>
      </c>
      <c r="AG40" s="44">
        <f t="shared" si="31"/>
        <v>25136.21723385618</v>
      </c>
      <c r="AH40" s="52">
        <f>HLOOKUP(I40,ElecAvoidedCostsWOCC!$A$5:$Q$50,T40+1,FALSE)</f>
        <v>2.9502602387155141</v>
      </c>
      <c r="AI40" s="44">
        <f t="shared" si="32"/>
        <v>0</v>
      </c>
      <c r="AJ40" s="44">
        <f t="shared" si="33"/>
        <v>25136.21723385618</v>
      </c>
      <c r="AK40" s="44">
        <f>HLOOKUP(I40,ElecAvoidedCostsWOCC!$A$5:$Q$50,G40+1,FALSE)*J40*L40</f>
        <v>0</v>
      </c>
      <c r="AL40" s="44">
        <f t="shared" si="34"/>
        <v>25136.21723385618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25136.21723385618</v>
      </c>
      <c r="AN40" s="48">
        <f t="shared" si="35"/>
        <v>27649.838957241798</v>
      </c>
      <c r="AO40" s="47">
        <f t="shared" si="36"/>
        <v>2.9212854281990182</v>
      </c>
      <c r="AP40" s="47">
        <f t="shared" si="37"/>
        <v>1.705713936338676</v>
      </c>
    </row>
    <row r="41" spans="2:42" x14ac:dyDescent="0.35">
      <c r="B41" s="97" t="s">
        <v>38</v>
      </c>
      <c r="C41" s="61">
        <v>18230407</v>
      </c>
      <c r="D41" s="61" t="s">
        <v>39</v>
      </c>
      <c r="E41" s="38" t="s">
        <v>1092</v>
      </c>
      <c r="F41" s="39" t="s">
        <v>1093</v>
      </c>
      <c r="G41" s="39">
        <v>45</v>
      </c>
      <c r="H41" s="39"/>
      <c r="I41" s="40" t="s">
        <v>274</v>
      </c>
      <c r="J41" s="41">
        <v>3600</v>
      </c>
      <c r="K41" s="41"/>
      <c r="L41" s="41"/>
      <c r="M41" s="42"/>
      <c r="N41" s="42"/>
      <c r="O41" s="43">
        <v>0</v>
      </c>
      <c r="P41" s="44">
        <v>0</v>
      </c>
      <c r="Q41" s="44">
        <v>0</v>
      </c>
      <c r="R41" s="45">
        <v>0</v>
      </c>
      <c r="S41" s="46">
        <v>0</v>
      </c>
      <c r="T41" s="39">
        <f t="shared" si="19"/>
        <v>45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3.2695302314196475</v>
      </c>
      <c r="AG41" s="44">
        <f t="shared" si="31"/>
        <v>0</v>
      </c>
      <c r="AH41" s="52">
        <f>HLOOKUP(I41,ElecAvoidedCostsWOCC!$A$5:$Q$50,T41+1,FALSE)</f>
        <v>3.2695302314196475</v>
      </c>
      <c r="AI41" s="44">
        <f t="shared" si="32"/>
        <v>0</v>
      </c>
      <c r="AJ41" s="44">
        <f t="shared" si="33"/>
        <v>0</v>
      </c>
      <c r="AK41" s="44">
        <f>HLOOKUP(I41,ElecAvoidedCostsWOCC!$A$5:$Q$50,G41+1,FALSE)*J41*L41</f>
        <v>0</v>
      </c>
      <c r="AL41" s="44">
        <f t="shared" si="34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97" t="s">
        <v>38</v>
      </c>
      <c r="C42" s="61">
        <v>18230407</v>
      </c>
      <c r="D42" s="61" t="s">
        <v>39</v>
      </c>
      <c r="E42" s="38" t="s">
        <v>1094</v>
      </c>
      <c r="F42" s="39" t="s">
        <v>1095</v>
      </c>
      <c r="G42" s="39">
        <v>45</v>
      </c>
      <c r="H42" s="39"/>
      <c r="I42" s="40" t="s">
        <v>272</v>
      </c>
      <c r="J42" s="41">
        <v>251811</v>
      </c>
      <c r="K42" s="41">
        <v>0.6</v>
      </c>
      <c r="L42" s="41"/>
      <c r="M42" s="42">
        <v>1</v>
      </c>
      <c r="N42" s="42">
        <v>1.56</v>
      </c>
      <c r="O42" s="43">
        <v>151086.6</v>
      </c>
      <c r="P42" s="44">
        <v>251811</v>
      </c>
      <c r="Q42" s="44">
        <v>392825.16</v>
      </c>
      <c r="R42" s="45">
        <v>0</v>
      </c>
      <c r="S42" s="46">
        <v>0</v>
      </c>
      <c r="T42" s="39">
        <f t="shared" si="19"/>
        <v>45</v>
      </c>
      <c r="U42" s="47">
        <f t="shared" si="20"/>
        <v>1.374674737607638</v>
      </c>
      <c r="V42" s="48">
        <f t="shared" si="21"/>
        <v>0.56000000000000005</v>
      </c>
      <c r="W42" s="49">
        <f t="shared" si="22"/>
        <v>3.0548327502391958E-2</v>
      </c>
      <c r="X42" s="44">
        <f t="shared" si="23"/>
        <v>32026.374114468388</v>
      </c>
      <c r="Y42" s="44">
        <f t="shared" si="24"/>
        <v>141014.15999999997</v>
      </c>
      <c r="Z42" s="44">
        <f t="shared" si="25"/>
        <v>162960.94507267297</v>
      </c>
      <c r="AA42" s="50">
        <f t="shared" si="26"/>
        <v>424851.53411446838</v>
      </c>
      <c r="AB42" s="51">
        <f t="shared" si="27"/>
        <v>152585.15456242787</v>
      </c>
      <c r="AC42" s="44">
        <f t="shared" si="28"/>
        <v>397801.0619049329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2.9502602387155141</v>
      </c>
      <c r="AG42" s="44">
        <f t="shared" si="31"/>
        <v>445744.78858271538</v>
      </c>
      <c r="AH42" s="52">
        <f>HLOOKUP(I42,ElecAvoidedCostsWOCC!$A$5:$Q$50,T42+1,FALSE)</f>
        <v>2.9502602387155141</v>
      </c>
      <c r="AI42" s="44">
        <f t="shared" si="32"/>
        <v>0</v>
      </c>
      <c r="AJ42" s="44">
        <f t="shared" si="33"/>
        <v>445744.78858271538</v>
      </c>
      <c r="AK42" s="44">
        <f>HLOOKUP(I42,ElecAvoidedCostsWOCC!$A$5:$Q$50,G42+1,FALSE)*J42*L42</f>
        <v>0</v>
      </c>
      <c r="AL42" s="44">
        <f t="shared" si="34"/>
        <v>445744.78858271538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445744.78858271538</v>
      </c>
      <c r="AN42" s="48">
        <f t="shared" si="35"/>
        <v>490319.26744098694</v>
      </c>
      <c r="AO42" s="47">
        <f t="shared" si="36"/>
        <v>2.9212854281990177</v>
      </c>
      <c r="AP42" s="47">
        <f t="shared" si="37"/>
        <v>1.2325740537066847</v>
      </c>
    </row>
    <row r="43" spans="2:42" x14ac:dyDescent="0.35">
      <c r="B43" s="97" t="s">
        <v>38</v>
      </c>
      <c r="C43" s="61">
        <v>18230407</v>
      </c>
      <c r="D43" s="61" t="s">
        <v>39</v>
      </c>
      <c r="E43" s="38" t="s">
        <v>1096</v>
      </c>
      <c r="F43" s="39" t="s">
        <v>1097</v>
      </c>
      <c r="G43" s="39">
        <v>45</v>
      </c>
      <c r="H43" s="39"/>
      <c r="I43" s="40" t="s">
        <v>272</v>
      </c>
      <c r="J43" s="41">
        <v>29951</v>
      </c>
      <c r="K43" s="41">
        <v>13</v>
      </c>
      <c r="L43" s="41"/>
      <c r="M43" s="42">
        <v>10</v>
      </c>
      <c r="N43" s="42">
        <v>23.3</v>
      </c>
      <c r="O43" s="43">
        <v>389363</v>
      </c>
      <c r="P43" s="44">
        <v>299510</v>
      </c>
      <c r="Q43" s="44">
        <v>697858.3</v>
      </c>
      <c r="R43" s="45">
        <v>0</v>
      </c>
      <c r="S43" s="46">
        <v>0</v>
      </c>
      <c r="T43" s="39">
        <f t="shared" si="19"/>
        <v>45</v>
      </c>
      <c r="U43" s="47">
        <f t="shared" si="20"/>
        <v>3.5426535500773912</v>
      </c>
      <c r="V43" s="48">
        <f t="shared" si="21"/>
        <v>13.3</v>
      </c>
      <c r="W43" s="49">
        <f t="shared" si="22"/>
        <v>7.8725634446164247E-2</v>
      </c>
      <c r="X43" s="44">
        <f t="shared" si="23"/>
        <v>82534.686096131321</v>
      </c>
      <c r="Y43" s="44">
        <f t="shared" si="24"/>
        <v>398348.30000000005</v>
      </c>
      <c r="Z43" s="44">
        <f t="shared" si="25"/>
        <v>419964.19574158906</v>
      </c>
      <c r="AA43" s="50">
        <f t="shared" si="26"/>
        <v>780392.98609613138</v>
      </c>
      <c r="AB43" s="51">
        <f t="shared" si="27"/>
        <v>393224.902379765</v>
      </c>
      <c r="AC43" s="44">
        <f t="shared" si="28"/>
        <v>730705.04316117172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2.9502602387155141</v>
      </c>
      <c r="AG43" s="44">
        <f t="shared" si="31"/>
        <v>1148722.1773269887</v>
      </c>
      <c r="AH43" s="52">
        <f>HLOOKUP(I43,ElecAvoidedCostsWOCC!$A$5:$Q$50,T43+1,FALSE)</f>
        <v>2.9502602387155141</v>
      </c>
      <c r="AI43" s="44">
        <f t="shared" si="32"/>
        <v>0</v>
      </c>
      <c r="AJ43" s="44">
        <f t="shared" si="33"/>
        <v>1148722.1773269887</v>
      </c>
      <c r="AK43" s="44">
        <f>HLOOKUP(I43,ElecAvoidedCostsWOCC!$A$5:$Q$50,G43+1,FALSE)*J43*L43</f>
        <v>0</v>
      </c>
      <c r="AL43" s="44">
        <f t="shared" si="34"/>
        <v>1148722.1773269887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1148722.1773269887</v>
      </c>
      <c r="AN43" s="48">
        <f t="shared" si="35"/>
        <v>1263594.3950596876</v>
      </c>
      <c r="AO43" s="47">
        <f t="shared" si="36"/>
        <v>2.9212854281990177</v>
      </c>
      <c r="AP43" s="47">
        <f t="shared" si="37"/>
        <v>1.7292810647551209</v>
      </c>
    </row>
    <row r="44" spans="2:42" x14ac:dyDescent="0.35">
      <c r="B44" s="97" t="s">
        <v>38</v>
      </c>
      <c r="C44" s="61">
        <v>18230407</v>
      </c>
      <c r="D44" s="61" t="s">
        <v>39</v>
      </c>
      <c r="E44" s="38" t="s">
        <v>1098</v>
      </c>
      <c r="F44" s="39" t="s">
        <v>1099</v>
      </c>
      <c r="G44" s="39">
        <v>15</v>
      </c>
      <c r="H44" s="39"/>
      <c r="I44" s="40" t="s">
        <v>272</v>
      </c>
      <c r="J44" s="41">
        <v>22498</v>
      </c>
      <c r="K44" s="41">
        <v>59</v>
      </c>
      <c r="L44" s="41"/>
      <c r="M44" s="42">
        <v>35</v>
      </c>
      <c r="N44" s="42">
        <v>57.99</v>
      </c>
      <c r="O44" s="43">
        <v>1327382</v>
      </c>
      <c r="P44" s="44">
        <v>1395745.32</v>
      </c>
      <c r="Q44" s="44">
        <v>1304659.02</v>
      </c>
      <c r="R44" s="45">
        <v>2.13</v>
      </c>
      <c r="S44" s="46">
        <v>0</v>
      </c>
      <c r="T44" s="39">
        <f t="shared" si="19"/>
        <v>15</v>
      </c>
      <c r="U44" s="47">
        <f t="shared" si="20"/>
        <v>4.0257673470162185</v>
      </c>
      <c r="V44" s="48">
        <f t="shared" si="21"/>
        <v>22.990000000000002</v>
      </c>
      <c r="W44" s="49">
        <f t="shared" si="22"/>
        <v>0.26838448980108121</v>
      </c>
      <c r="X44" s="44">
        <f t="shared" si="23"/>
        <v>281369.97274947789</v>
      </c>
      <c r="Y44" s="44">
        <f t="shared" si="24"/>
        <v>-91086.300000000047</v>
      </c>
      <c r="Z44" s="44">
        <f t="shared" si="25"/>
        <v>1431704.8976709701</v>
      </c>
      <c r="AA44" s="50">
        <f t="shared" si="26"/>
        <v>1586028.992749478</v>
      </c>
      <c r="AB44" s="51">
        <f t="shared" si="27"/>
        <v>1340547.6569952902</v>
      </c>
      <c r="AC44" s="44">
        <f t="shared" si="28"/>
        <v>1485045.8733609344</v>
      </c>
      <c r="AD44" s="44">
        <f t="shared" si="29"/>
        <v>442025.39028292452</v>
      </c>
      <c r="AE44" s="44">
        <f t="shared" si="30"/>
        <v>0</v>
      </c>
      <c r="AF44" s="52">
        <f>HLOOKUP(I44,ElecAvoidedCostsWOCC!$A$5:$Q$50,G44+1,FALSE)</f>
        <v>1.3031638418298148</v>
      </c>
      <c r="AG44" s="44">
        <f t="shared" si="31"/>
        <v>1729796.2266957432</v>
      </c>
      <c r="AH44" s="52">
        <f>HLOOKUP(I44,ElecAvoidedCostsWOCC!$A$5:$Q$50,T44+1,FALSE)</f>
        <v>1.3031638418298148</v>
      </c>
      <c r="AI44" s="44">
        <f t="shared" si="32"/>
        <v>0</v>
      </c>
      <c r="AJ44" s="44">
        <f t="shared" si="33"/>
        <v>1729796.2266957432</v>
      </c>
      <c r="AK44" s="44">
        <f>HLOOKUP(I44,ElecAvoidedCostsWOCC!$A$5:$Q$50,G44+1,FALSE)*J44*L44</f>
        <v>0</v>
      </c>
      <c r="AL44" s="44">
        <f t="shared" si="34"/>
        <v>1729796.2266957432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1729796.2266957434</v>
      </c>
      <c r="AN44" s="48">
        <f t="shared" si="35"/>
        <v>2344801.2396482425</v>
      </c>
      <c r="AO44" s="47">
        <f t="shared" si="36"/>
        <v>1.2903653351443818</v>
      </c>
      <c r="AP44" s="47">
        <f t="shared" si="37"/>
        <v>1.5789419584335951</v>
      </c>
    </row>
    <row r="45" spans="2:42" x14ac:dyDescent="0.35">
      <c r="B45" s="97" t="s">
        <v>38</v>
      </c>
      <c r="C45" s="61">
        <v>18230407</v>
      </c>
      <c r="D45" s="61" t="s">
        <v>39</v>
      </c>
      <c r="E45" s="38" t="s">
        <v>1100</v>
      </c>
      <c r="F45" s="39" t="s">
        <v>1101</v>
      </c>
      <c r="G45" s="39">
        <v>15</v>
      </c>
      <c r="H45" s="39"/>
      <c r="I45" s="40" t="s">
        <v>272</v>
      </c>
      <c r="J45" s="41">
        <v>627</v>
      </c>
      <c r="K45" s="41">
        <v>59</v>
      </c>
      <c r="L45" s="41"/>
      <c r="M45" s="42">
        <v>70</v>
      </c>
      <c r="N45" s="42">
        <v>70</v>
      </c>
      <c r="O45" s="43">
        <v>36993</v>
      </c>
      <c r="P45" s="44">
        <v>75240</v>
      </c>
      <c r="Q45" s="44">
        <v>43890</v>
      </c>
      <c r="R45" s="45">
        <v>2.13</v>
      </c>
      <c r="S45" s="46">
        <v>0</v>
      </c>
      <c r="T45" s="39">
        <f t="shared" si="19"/>
        <v>15</v>
      </c>
      <c r="U45" s="47">
        <f t="shared" si="20"/>
        <v>0.11219468959814957</v>
      </c>
      <c r="V45" s="48">
        <f t="shared" si="21"/>
        <v>0</v>
      </c>
      <c r="W45" s="49">
        <f t="shared" si="22"/>
        <v>7.479645973209971E-3</v>
      </c>
      <c r="X45" s="44">
        <f t="shared" si="23"/>
        <v>7841.5402664202447</v>
      </c>
      <c r="Y45" s="44">
        <f t="shared" si="24"/>
        <v>-31350</v>
      </c>
      <c r="Z45" s="44">
        <f t="shared" si="25"/>
        <v>39900.389849751009</v>
      </c>
      <c r="AA45" s="50">
        <f t="shared" si="26"/>
        <v>51731.540266420241</v>
      </c>
      <c r="AB45" s="51">
        <f t="shared" si="27"/>
        <v>37359.915589654498</v>
      </c>
      <c r="AC45" s="44">
        <f t="shared" si="28"/>
        <v>48437.771785037679</v>
      </c>
      <c r="AD45" s="44">
        <f t="shared" si="29"/>
        <v>12318.869219814813</v>
      </c>
      <c r="AE45" s="44">
        <f t="shared" si="30"/>
        <v>0</v>
      </c>
      <c r="AF45" s="52">
        <f>HLOOKUP(I45,ElecAvoidedCostsWOCC!$A$5:$Q$50,G45+1,FALSE)</f>
        <v>1.3031638418298148</v>
      </c>
      <c r="AG45" s="44">
        <f t="shared" si="31"/>
        <v>48207.940000810333</v>
      </c>
      <c r="AH45" s="52">
        <f>HLOOKUP(I45,ElecAvoidedCostsWOCC!$A$5:$Q$50,T45+1,FALSE)</f>
        <v>1.3031638418298148</v>
      </c>
      <c r="AI45" s="44">
        <f t="shared" si="32"/>
        <v>0</v>
      </c>
      <c r="AJ45" s="44">
        <f t="shared" si="33"/>
        <v>48207.940000810333</v>
      </c>
      <c r="AK45" s="44">
        <f>HLOOKUP(I45,ElecAvoidedCostsWOCC!$A$5:$Q$50,G45+1,FALSE)*J45*L45</f>
        <v>0</v>
      </c>
      <c r="AL45" s="44">
        <f t="shared" si="34"/>
        <v>48207.940000810333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48207.94000081034</v>
      </c>
      <c r="AN45" s="48">
        <f t="shared" si="35"/>
        <v>65347.603220706194</v>
      </c>
      <c r="AO45" s="47">
        <f t="shared" si="36"/>
        <v>1.2903653351443818</v>
      </c>
      <c r="AP45" s="47">
        <f t="shared" si="37"/>
        <v>1.3491042385416234</v>
      </c>
    </row>
    <row r="46" spans="2:42" x14ac:dyDescent="0.35">
      <c r="B46" s="97" t="s">
        <v>38</v>
      </c>
      <c r="C46" s="61">
        <v>18230407</v>
      </c>
      <c r="D46" s="61" t="s">
        <v>39</v>
      </c>
      <c r="E46" s="38" t="s">
        <v>1102</v>
      </c>
      <c r="F46" s="39" t="s">
        <v>1103</v>
      </c>
      <c r="G46" s="39">
        <v>20</v>
      </c>
      <c r="H46" s="39"/>
      <c r="I46" s="40" t="s">
        <v>270</v>
      </c>
      <c r="J46" s="41">
        <v>2</v>
      </c>
      <c r="K46" s="41">
        <v>-22.54</v>
      </c>
      <c r="L46" s="41"/>
      <c r="M46" s="42">
        <v>0</v>
      </c>
      <c r="N46" s="42">
        <v>0</v>
      </c>
      <c r="O46" s="43">
        <v>-45.08</v>
      </c>
      <c r="P46" s="44">
        <v>0</v>
      </c>
      <c r="Q46" s="44">
        <v>0</v>
      </c>
      <c r="R46" s="45">
        <v>15.44</v>
      </c>
      <c r="S46" s="46">
        <v>0</v>
      </c>
      <c r="T46" s="39">
        <f t="shared" si="19"/>
        <v>20</v>
      </c>
      <c r="U46" s="47">
        <f t="shared" si="20"/>
        <v>-1.8229526692742164E-4</v>
      </c>
      <c r="V46" s="48">
        <f t="shared" si="21"/>
        <v>0</v>
      </c>
      <c r="W46" s="49">
        <f t="shared" si="22"/>
        <v>-9.1147633463710828E-6</v>
      </c>
      <c r="X46" s="44">
        <f t="shared" si="23"/>
        <v>-9.555770962350298</v>
      </c>
      <c r="Y46" s="44">
        <f t="shared" si="24"/>
        <v>0</v>
      </c>
      <c r="Z46" s="44">
        <f t="shared" si="25"/>
        <v>-48.622971222306262</v>
      </c>
      <c r="AA46" s="50">
        <f t="shared" si="26"/>
        <v>-9.555770962350298</v>
      </c>
      <c r="AB46" s="51">
        <f t="shared" si="27"/>
        <v>-45.527126612646313</v>
      </c>
      <c r="AC46" s="44">
        <f t="shared" si="28"/>
        <v>-8.947351088342975</v>
      </c>
      <c r="AD46" s="44">
        <f t="shared" si="29"/>
        <v>332.29071009013023</v>
      </c>
      <c r="AE46" s="44">
        <f t="shared" si="30"/>
        <v>0</v>
      </c>
      <c r="AF46" s="52">
        <f>HLOOKUP(I46,ElecAvoidedCostsWOCC!$A$5:$Q$50,G46+1,FALSE)</f>
        <v>1.3943258387928787</v>
      </c>
      <c r="AG46" s="44">
        <f t="shared" si="31"/>
        <v>-62.856208812782974</v>
      </c>
      <c r="AH46" s="52">
        <f>HLOOKUP(I46,ElecAvoidedCostsWOCC!$A$5:$Q$50,T46+1,FALSE)</f>
        <v>1.3943258387928787</v>
      </c>
      <c r="AI46" s="44">
        <f t="shared" si="32"/>
        <v>0</v>
      </c>
      <c r="AJ46" s="44">
        <f t="shared" si="33"/>
        <v>-62.856208812782974</v>
      </c>
      <c r="AK46" s="44">
        <f>HLOOKUP(I46,ElecAvoidedCostsWOCC!$A$5:$Q$50,G46+1,FALSE)*J46*L46</f>
        <v>0</v>
      </c>
      <c r="AL46" s="44">
        <f t="shared" si="34"/>
        <v>-62.856208812782974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-62.856208812782974</v>
      </c>
      <c r="AN46" s="48">
        <f t="shared" si="35"/>
        <v>263.14888039606899</v>
      </c>
      <c r="AO46" s="47">
        <f t="shared" si="36"/>
        <v>1.380632020719776</v>
      </c>
      <c r="AP46" s="47">
        <f t="shared" si="37"/>
        <v>-29.41081419493101</v>
      </c>
    </row>
    <row r="47" spans="2:42" x14ac:dyDescent="0.35">
      <c r="B47" s="97" t="s">
        <v>38</v>
      </c>
      <c r="C47" s="61">
        <v>18230407</v>
      </c>
      <c r="D47" s="61" t="s">
        <v>39</v>
      </c>
      <c r="E47" s="38" t="s">
        <v>1104</v>
      </c>
      <c r="F47" s="39" t="s">
        <v>1105</v>
      </c>
      <c r="G47" s="39">
        <v>15</v>
      </c>
      <c r="H47" s="39"/>
      <c r="I47" s="40" t="s">
        <v>262</v>
      </c>
      <c r="J47" s="41">
        <v>1</v>
      </c>
      <c r="K47" s="41"/>
      <c r="L47" s="41"/>
      <c r="M47" s="42">
        <v>0.27</v>
      </c>
      <c r="N47" s="42">
        <v>0.3</v>
      </c>
      <c r="O47" s="43">
        <v>75298</v>
      </c>
      <c r="P47" s="44">
        <v>25217</v>
      </c>
      <c r="Q47" s="44">
        <v>91805</v>
      </c>
      <c r="R47" s="45">
        <v>3.0000000000000001E-3</v>
      </c>
      <c r="S47" s="46">
        <v>0</v>
      </c>
      <c r="T47" s="39">
        <f t="shared" si="19"/>
        <v>15</v>
      </c>
      <c r="U47" s="47">
        <f t="shared" si="20"/>
        <v>0.22836849504937329</v>
      </c>
      <c r="V47" s="48">
        <f t="shared" si="21"/>
        <v>2.9999999999999971E-2</v>
      </c>
      <c r="W47" s="49">
        <f t="shared" si="22"/>
        <v>1.5224566336624886E-2</v>
      </c>
      <c r="X47" s="44">
        <f t="shared" si="23"/>
        <v>15961.189927308182</v>
      </c>
      <c r="Y47" s="44">
        <f t="shared" si="24"/>
        <v>66588</v>
      </c>
      <c r="Z47" s="44">
        <f t="shared" si="25"/>
        <v>81215.893680062494</v>
      </c>
      <c r="AA47" s="50">
        <f t="shared" si="26"/>
        <v>107766.18992730818</v>
      </c>
      <c r="AB47" s="51">
        <f t="shared" si="27"/>
        <v>76044.844269721434</v>
      </c>
      <c r="AC47" s="44">
        <f t="shared" si="28"/>
        <v>100904.67221658069</v>
      </c>
      <c r="AD47" s="44">
        <f t="shared" si="29"/>
        <v>2.767228074626505E-2</v>
      </c>
      <c r="AE47" s="44">
        <f t="shared" si="30"/>
        <v>0</v>
      </c>
      <c r="AF47" s="52">
        <f>HLOOKUP(I47,ElecAvoidedCostsWOCC!$A$5:$Q$50,G47+1,FALSE)</f>
        <v>1.0914944041149737</v>
      </c>
      <c r="AG47" s="44">
        <f t="shared" si="31"/>
        <v>0</v>
      </c>
      <c r="AH47" s="52">
        <f>HLOOKUP(I47,ElecAvoidedCostsWOCC!$A$5:$Q$50,T47+1,FALSE)</f>
        <v>1.0914944041149737</v>
      </c>
      <c r="AI47" s="44">
        <f t="shared" si="32"/>
        <v>0</v>
      </c>
      <c r="AJ47" s="44">
        <f t="shared" si="33"/>
        <v>0</v>
      </c>
      <c r="AK47" s="44">
        <f>HLOOKUP(I47,ElecAvoidedCostsWOCC!$A$5:$Q$50,G47+1,FALSE)*J47*L47</f>
        <v>0</v>
      </c>
      <c r="AL47" s="44">
        <f t="shared" si="34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2.767228074626505E-2</v>
      </c>
      <c r="AO47" s="47">
        <f t="shared" si="36"/>
        <v>0</v>
      </c>
      <c r="AP47" s="47">
        <f t="shared" si="37"/>
        <v>2.7424181792959566E-7</v>
      </c>
    </row>
    <row r="48" spans="2:42" x14ac:dyDescent="0.35">
      <c r="B48" s="97" t="s">
        <v>38</v>
      </c>
      <c r="C48" s="61">
        <v>18230407</v>
      </c>
      <c r="D48" s="61" t="s">
        <v>39</v>
      </c>
      <c r="E48" s="38" t="s">
        <v>1106</v>
      </c>
      <c r="F48" s="39" t="s">
        <v>1107</v>
      </c>
      <c r="G48" s="39">
        <v>12</v>
      </c>
      <c r="H48" s="39"/>
      <c r="I48" s="40" t="s">
        <v>239</v>
      </c>
      <c r="J48" s="41">
        <v>1438</v>
      </c>
      <c r="K48" s="41">
        <v>57</v>
      </c>
      <c r="L48" s="41"/>
      <c r="M48" s="42">
        <v>32.5</v>
      </c>
      <c r="N48" s="42">
        <v>32.5</v>
      </c>
      <c r="O48" s="43">
        <v>81966</v>
      </c>
      <c r="P48" s="44">
        <v>46735</v>
      </c>
      <c r="Q48" s="44">
        <v>46735</v>
      </c>
      <c r="R48" s="45">
        <v>0.72</v>
      </c>
      <c r="S48" s="46">
        <v>0</v>
      </c>
      <c r="T48" s="39">
        <f t="shared" si="19"/>
        <v>12</v>
      </c>
      <c r="U48" s="47">
        <f t="shared" si="20"/>
        <v>0.19887329878846111</v>
      </c>
      <c r="V48" s="48">
        <f t="shared" si="21"/>
        <v>0</v>
      </c>
      <c r="W48" s="49">
        <f t="shared" si="22"/>
        <v>1.6572774899038425E-2</v>
      </c>
      <c r="X48" s="44">
        <f t="shared" si="23"/>
        <v>17374.630051020511</v>
      </c>
      <c r="Y48" s="44">
        <f t="shared" si="24"/>
        <v>0</v>
      </c>
      <c r="Z48" s="44">
        <f t="shared" si="25"/>
        <v>88407.951623947534</v>
      </c>
      <c r="AA48" s="50">
        <f t="shared" si="26"/>
        <v>64109.630051020511</v>
      </c>
      <c r="AB48" s="51">
        <f t="shared" si="27"/>
        <v>82778.980921299182</v>
      </c>
      <c r="AC48" s="44">
        <f t="shared" si="28"/>
        <v>60027.743493464892</v>
      </c>
      <c r="AD48" s="44">
        <f t="shared" si="29"/>
        <v>8311.9132019139597</v>
      </c>
      <c r="AE48" s="44">
        <f t="shared" si="30"/>
        <v>0</v>
      </c>
      <c r="AF48" s="52">
        <f>HLOOKUP(I48,ElecAvoidedCostsWOCC!$A$5:$Q$50,G48+1,FALSE)</f>
        <v>0.94160574272253028</v>
      </c>
      <c r="AG48" s="44">
        <f t="shared" si="31"/>
        <v>77179.656307994912</v>
      </c>
      <c r="AH48" s="52">
        <f>HLOOKUP(I48,ElecAvoidedCostsWOCC!$A$5:$Q$50,T48+1,FALSE)</f>
        <v>0.94160574272253028</v>
      </c>
      <c r="AI48" s="44">
        <f t="shared" si="32"/>
        <v>0</v>
      </c>
      <c r="AJ48" s="44">
        <f t="shared" si="33"/>
        <v>77179.656307994912</v>
      </c>
      <c r="AK48" s="44">
        <f>HLOOKUP(I48,ElecAvoidedCostsWOCC!$A$5:$Q$50,G48+1,FALSE)*J48*L48</f>
        <v>0</v>
      </c>
      <c r="AL48" s="44">
        <f t="shared" si="34"/>
        <v>77179.656307994912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77179.656307994912</v>
      </c>
      <c r="AN48" s="48">
        <f t="shared" si="35"/>
        <v>93209.53514070838</v>
      </c>
      <c r="AO48" s="47">
        <f t="shared" si="36"/>
        <v>0.93235813547127688</v>
      </c>
      <c r="AP48" s="47">
        <f t="shared" si="37"/>
        <v>1.5527742626350085</v>
      </c>
    </row>
    <row r="49" spans="2:42" x14ac:dyDescent="0.35">
      <c r="B49" s="97" t="s">
        <v>38</v>
      </c>
      <c r="C49" s="61">
        <v>18230407</v>
      </c>
      <c r="D49" s="61" t="s">
        <v>39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97" t="s">
        <v>38</v>
      </c>
      <c r="C50" s="61">
        <v>18230407</v>
      </c>
      <c r="D50" s="61" t="s">
        <v>39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97" t="s">
        <v>38</v>
      </c>
      <c r="C51" s="61">
        <v>18230407</v>
      </c>
      <c r="D51" s="61" t="s">
        <v>39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97" t="s">
        <v>38</v>
      </c>
      <c r="C52" s="61">
        <v>18230407</v>
      </c>
      <c r="D52" s="61" t="s">
        <v>39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97" t="s">
        <v>38</v>
      </c>
      <c r="C53" s="61">
        <v>18230407</v>
      </c>
      <c r="D53" s="61" t="s">
        <v>39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97" t="s">
        <v>38</v>
      </c>
      <c r="C54" s="61">
        <v>18230407</v>
      </c>
      <c r="D54" s="61" t="s">
        <v>39</v>
      </c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97" t="s">
        <v>38</v>
      </c>
      <c r="C55" s="61">
        <v>18230407</v>
      </c>
      <c r="D55" s="61" t="s">
        <v>39</v>
      </c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97" t="s">
        <v>38</v>
      </c>
      <c r="C56" s="61">
        <v>18230407</v>
      </c>
      <c r="D56" s="61" t="s">
        <v>39</v>
      </c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97" t="s">
        <v>38</v>
      </c>
      <c r="C57" s="61">
        <v>18230407</v>
      </c>
      <c r="D57" s="61" t="s">
        <v>39</v>
      </c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</sheetData>
  <conditionalFormatting sqref="J5:L80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80 R5:S80">
    <cfRule type="expression" dxfId="267" priority="2">
      <formula>ISTEXT(M5)</formula>
    </cfRule>
  </conditionalFormatting>
  <conditionalFormatting sqref="M5:N80 R5:S80">
    <cfRule type="notContainsBlanks" dxfId="266" priority="3">
      <formula>LEN(TRIM(M5))&gt;0</formula>
    </cfRule>
  </conditionalFormatting>
  <conditionalFormatting sqref="R5:S80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N15" sqref="N1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18230486</v>
      </c>
      <c r="D2" s="20" t="s">
        <v>57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56</v>
      </c>
      <c r="C5" s="61">
        <v>18230486</v>
      </c>
      <c r="D5" s="61" t="s">
        <v>57</v>
      </c>
      <c r="E5" s="38" t="s">
        <v>1108</v>
      </c>
      <c r="F5" s="39" t="s">
        <v>1109</v>
      </c>
      <c r="G5" s="39">
        <v>15</v>
      </c>
      <c r="H5" s="39"/>
      <c r="I5" s="40" t="s">
        <v>260</v>
      </c>
      <c r="J5" s="41">
        <v>1</v>
      </c>
      <c r="K5" s="41">
        <v>226819</v>
      </c>
      <c r="L5" s="41"/>
      <c r="M5" s="42">
        <v>79387</v>
      </c>
      <c r="N5" s="42">
        <v>79387</v>
      </c>
      <c r="O5" s="43">
        <v>226819</v>
      </c>
      <c r="P5" s="44">
        <v>79387</v>
      </c>
      <c r="Q5" s="44">
        <v>79387</v>
      </c>
      <c r="R5" s="45"/>
      <c r="S5" s="46"/>
      <c r="T5" s="39">
        <f t="shared" ref="T5:T24" si="0">G5+H5</f>
        <v>15</v>
      </c>
      <c r="U5" s="47">
        <f t="shared" ref="U5:U24" si="1">(O5/$A$10)*T5</f>
        <v>1.087535085411661</v>
      </c>
      <c r="V5" s="48">
        <f t="shared" ref="V5:V24" si="2">N5-M5</f>
        <v>0</v>
      </c>
      <c r="W5" s="49">
        <f t="shared" ref="W5:W24" si="3">(O5/A$10)</f>
        <v>7.250233902744406E-2</v>
      </c>
      <c r="X5" s="44">
        <f t="shared" ref="X5:X24" si="4">W5*A$8</f>
        <v>30306.667210715761</v>
      </c>
      <c r="Y5" s="44">
        <f t="shared" ref="Y5:Y24" si="5">Q5-P5</f>
        <v>0</v>
      </c>
      <c r="Z5" s="44">
        <f t="shared" ref="Z5:Z24" si="6">X5+(A$6*W5)</f>
        <v>103795.95157840481</v>
      </c>
      <c r="AA5" s="50">
        <f t="shared" ref="AA5:AA24" si="7">Q5+X5</f>
        <v>109693.66721071576</v>
      </c>
      <c r="AB5" s="51">
        <f t="shared" ref="AB5:AC20" si="8">Z5/(1+ElecDiscountRate)^1</f>
        <v>97187.22057903072</v>
      </c>
      <c r="AC5" s="44">
        <f t="shared" si="8"/>
        <v>102709.42622726195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1.0635849653223202</v>
      </c>
      <c r="AG5" s="44">
        <f t="shared" ref="AG5:AG24" si="10">AF5*J5*K5</f>
        <v>241241.27824944333</v>
      </c>
      <c r="AH5" s="52">
        <f>HLOOKUP(I5,ElecAvoidedCostsWOCC!$A$5:$Q$50,T5+1,FALSE)</f>
        <v>1.0635849653223202</v>
      </c>
      <c r="AI5" s="44">
        <f t="shared" ref="AI5:AI24" si="11">AH5*J5*L5</f>
        <v>0</v>
      </c>
      <c r="AJ5" s="44">
        <f>AG5+AI5</f>
        <v>241241.27824944333</v>
      </c>
      <c r="AK5" s="44">
        <f>HLOOKUP(I5,ElecAvoidedCostsWOCC!$A$5:$Q$50,G5+1,FALSE)*J5*L5</f>
        <v>0</v>
      </c>
      <c r="AL5" s="44">
        <f>AG5+AI5-AK5</f>
        <v>241241.27824944333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241241.27824944333</v>
      </c>
      <c r="AN5" s="48">
        <f>AM5*1.1+AD5+AE5</f>
        <v>265365.40607438766</v>
      </c>
      <c r="AO5" s="47">
        <f>IFERROR(AM5/AB5,0)</f>
        <v>2.4822325076502287</v>
      </c>
      <c r="AP5" s="47">
        <f>AN5/AC5</f>
        <v>2.5836519180549398</v>
      </c>
    </row>
    <row r="6" spans="1:42" ht="13.5" customHeight="1" x14ac:dyDescent="0.35">
      <c r="A6" s="53">
        <f>SUMIF('Program Costs'!D:D,C2,'Program Costs'!L:L)</f>
        <v>1013612.6</v>
      </c>
      <c r="B6" s="97" t="s">
        <v>56</v>
      </c>
      <c r="C6" s="61">
        <v>18230486</v>
      </c>
      <c r="D6" s="61" t="s">
        <v>57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0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 t="s">
        <v>56</v>
      </c>
      <c r="C7" s="61">
        <v>18230486</v>
      </c>
      <c r="D7" s="61" t="s">
        <v>57</v>
      </c>
      <c r="E7" s="38" t="s">
        <v>1110</v>
      </c>
      <c r="F7" s="39" t="s">
        <v>1111</v>
      </c>
      <c r="G7" s="39">
        <v>15</v>
      </c>
      <c r="H7" s="39"/>
      <c r="I7" s="40" t="s">
        <v>261</v>
      </c>
      <c r="J7" s="41">
        <v>1</v>
      </c>
      <c r="K7" s="41">
        <v>1480550</v>
      </c>
      <c r="L7" s="41"/>
      <c r="M7" s="42">
        <v>553271</v>
      </c>
      <c r="N7" s="42">
        <v>553271</v>
      </c>
      <c r="O7" s="43">
        <v>1480550</v>
      </c>
      <c r="P7" s="44">
        <v>553271</v>
      </c>
      <c r="Q7" s="44">
        <v>553271</v>
      </c>
      <c r="R7" s="45"/>
      <c r="S7" s="46"/>
      <c r="T7" s="39">
        <f t="shared" si="0"/>
        <v>15</v>
      </c>
      <c r="U7" s="47">
        <f t="shared" si="1"/>
        <v>7.0988324201510205</v>
      </c>
      <c r="V7" s="48">
        <f t="shared" si="2"/>
        <v>0</v>
      </c>
      <c r="W7" s="49">
        <f t="shared" si="3"/>
        <v>0.47325549467673472</v>
      </c>
      <c r="X7" s="44">
        <f t="shared" si="4"/>
        <v>197825.29743462944</v>
      </c>
      <c r="Y7" s="44">
        <f t="shared" si="5"/>
        <v>0</v>
      </c>
      <c r="Z7" s="44">
        <f t="shared" si="6"/>
        <v>677523.02985820069</v>
      </c>
      <c r="AA7" s="50">
        <f t="shared" si="7"/>
        <v>751096.29743462941</v>
      </c>
      <c r="AB7" s="51">
        <f t="shared" si="8"/>
        <v>634384.8594177909</v>
      </c>
      <c r="AC7" s="44">
        <f t="shared" si="8"/>
        <v>703273.68673654436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1593614.9453086033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1593614.9453086033</v>
      </c>
      <c r="AK7" s="44">
        <f>HLOOKUP(I7,ElecAvoidedCostsWOCC!$A$5:$Q$50,G7+1,FALSE)*J7*L7</f>
        <v>0</v>
      </c>
      <c r="AL7" s="44">
        <f t="shared" si="13"/>
        <v>1593614.9453086033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1593614.9453086033</v>
      </c>
      <c r="AN7" s="48">
        <f t="shared" si="14"/>
        <v>1752976.4398394639</v>
      </c>
      <c r="AO7" s="47">
        <f t="shared" si="15"/>
        <v>2.5120633345050978</v>
      </c>
      <c r="AP7" s="47">
        <f t="shared" si="16"/>
        <v>2.4925949497327804</v>
      </c>
    </row>
    <row r="8" spans="1:42" ht="13.5" customHeight="1" x14ac:dyDescent="0.35">
      <c r="A8" s="53">
        <f>SUMIF('Program Costs'!D:D,C2,'Program Costs'!O:O)</f>
        <v>418009.50999999989</v>
      </c>
      <c r="B8" s="97" t="s">
        <v>56</v>
      </c>
      <c r="C8" s="61">
        <v>18230486</v>
      </c>
      <c r="D8" s="61" t="s">
        <v>57</v>
      </c>
      <c r="E8" s="38" t="s">
        <v>1110</v>
      </c>
      <c r="F8" s="39" t="s">
        <v>1111</v>
      </c>
      <c r="G8" s="39">
        <v>15</v>
      </c>
      <c r="H8" s="39"/>
      <c r="I8" s="40" t="s">
        <v>261</v>
      </c>
      <c r="J8" s="41">
        <v>1</v>
      </c>
      <c r="K8" s="41">
        <v>24909</v>
      </c>
      <c r="L8" s="41"/>
      <c r="M8" s="42">
        <v>9964</v>
      </c>
      <c r="N8" s="42">
        <v>9964</v>
      </c>
      <c r="O8" s="43">
        <v>24909</v>
      </c>
      <c r="P8" s="44">
        <v>9964</v>
      </c>
      <c r="Q8" s="44">
        <v>9964</v>
      </c>
      <c r="R8" s="45"/>
      <c r="S8" s="46"/>
      <c r="T8" s="39">
        <f t="shared" si="0"/>
        <v>15</v>
      </c>
      <c r="U8" s="47">
        <f t="shared" si="1"/>
        <v>0.11943184408060639</v>
      </c>
      <c r="V8" s="48">
        <f t="shared" si="2"/>
        <v>0</v>
      </c>
      <c r="W8" s="49">
        <f t="shared" si="3"/>
        <v>7.9621229387070933E-3</v>
      </c>
      <c r="X8" s="44">
        <f t="shared" si="4"/>
        <v>3328.2431081687114</v>
      </c>
      <c r="Y8" s="44">
        <f t="shared" si="5"/>
        <v>0</v>
      </c>
      <c r="Z8" s="44">
        <f t="shared" si="6"/>
        <v>11398.751241591248</v>
      </c>
      <c r="AA8" s="50">
        <f t="shared" si="7"/>
        <v>13292.243108168712</v>
      </c>
      <c r="AB8" s="51">
        <f t="shared" si="8"/>
        <v>10672.98805392439</v>
      </c>
      <c r="AC8" s="44">
        <f t="shared" si="8"/>
        <v>12445.920513266583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26811.221959874372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26811.221959874372</v>
      </c>
      <c r="AK8" s="44">
        <f>HLOOKUP(I8,ElecAvoidedCostsWOCC!$A$5:$Q$50,G8+1,FALSE)*J8*L8</f>
        <v>0</v>
      </c>
      <c r="AL8" s="44">
        <f t="shared" si="13"/>
        <v>26811.221959874372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26811.221959874372</v>
      </c>
      <c r="AN8" s="48">
        <f t="shared" si="14"/>
        <v>29492.344155861811</v>
      </c>
      <c r="AO8" s="47">
        <f t="shared" si="15"/>
        <v>2.5120633345050973</v>
      </c>
      <c r="AP8" s="47">
        <f t="shared" si="16"/>
        <v>2.3696394432557071</v>
      </c>
    </row>
    <row r="9" spans="1:42" ht="13.5" customHeight="1" x14ac:dyDescent="0.35">
      <c r="A9" s="36" t="s">
        <v>242</v>
      </c>
      <c r="B9" s="97" t="s">
        <v>56</v>
      </c>
      <c r="C9" s="61">
        <v>18230486</v>
      </c>
      <c r="D9" s="61" t="s">
        <v>57</v>
      </c>
      <c r="E9" s="38" t="s">
        <v>1110</v>
      </c>
      <c r="F9" s="39" t="s">
        <v>1111</v>
      </c>
      <c r="G9" s="39">
        <v>15</v>
      </c>
      <c r="H9" s="39"/>
      <c r="I9" s="40" t="s">
        <v>261</v>
      </c>
      <c r="J9" s="41">
        <v>1</v>
      </c>
      <c r="K9" s="41">
        <v>1348898</v>
      </c>
      <c r="L9" s="41"/>
      <c r="M9" s="42">
        <v>371318</v>
      </c>
      <c r="N9" s="42">
        <v>371318</v>
      </c>
      <c r="O9" s="43">
        <v>1348898</v>
      </c>
      <c r="P9" s="44">
        <v>371318</v>
      </c>
      <c r="Q9" s="44">
        <v>371318</v>
      </c>
      <c r="R9" s="45"/>
      <c r="S9" s="46"/>
      <c r="T9" s="39">
        <f t="shared" si="0"/>
        <v>15</v>
      </c>
      <c r="U9" s="47">
        <f t="shared" si="1"/>
        <v>6.4675970780296996</v>
      </c>
      <c r="V9" s="48">
        <f t="shared" si="2"/>
        <v>0</v>
      </c>
      <c r="W9" s="49">
        <f t="shared" si="3"/>
        <v>0.43117313853531331</v>
      </c>
      <c r="X9" s="44">
        <f t="shared" si="4"/>
        <v>180234.4723643084</v>
      </c>
      <c r="Y9" s="44">
        <f t="shared" si="5"/>
        <v>0</v>
      </c>
      <c r="Z9" s="44">
        <f t="shared" si="6"/>
        <v>617276.99836524751</v>
      </c>
      <c r="AA9" s="50">
        <f t="shared" si="7"/>
        <v>551552.47236430843</v>
      </c>
      <c r="AB9" s="51">
        <f t="shared" si="8"/>
        <v>577974.71757045644</v>
      </c>
      <c r="AC9" s="44">
        <f t="shared" si="8"/>
        <v>516434.89921751723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1.0763668537425979</v>
      </c>
      <c r="AG9" s="44">
        <f t="shared" si="10"/>
        <v>1451909.0962796828</v>
      </c>
      <c r="AH9" s="52">
        <f>HLOOKUP(I9,ElecAvoidedCostsWOCC!$A$5:$Q$50,T9+1,FALSE)</f>
        <v>1.0763668537425979</v>
      </c>
      <c r="AI9" s="44">
        <f t="shared" si="11"/>
        <v>0</v>
      </c>
      <c r="AJ9" s="44">
        <f t="shared" si="12"/>
        <v>1451909.0962796828</v>
      </c>
      <c r="AK9" s="44">
        <f>HLOOKUP(I9,ElecAvoidedCostsWOCC!$A$5:$Q$50,G9+1,FALSE)*J9*L9</f>
        <v>0</v>
      </c>
      <c r="AL9" s="44">
        <f t="shared" si="13"/>
        <v>1451909.0962796828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1451909.0962796828</v>
      </c>
      <c r="AN9" s="48">
        <f t="shared" si="14"/>
        <v>1597100.0059076513</v>
      </c>
      <c r="AO9" s="47">
        <f t="shared" si="15"/>
        <v>2.5120633345050978</v>
      </c>
      <c r="AP9" s="47">
        <f t="shared" si="16"/>
        <v>3.0925485638703294</v>
      </c>
    </row>
    <row r="10" spans="1:42" ht="13.5" customHeight="1" x14ac:dyDescent="0.35">
      <c r="A10" s="54">
        <f>SUM(O5:O999)</f>
        <v>3128437</v>
      </c>
      <c r="B10" s="97" t="s">
        <v>56</v>
      </c>
      <c r="C10" s="61">
        <v>18230486</v>
      </c>
      <c r="D10" s="61" t="s">
        <v>57</v>
      </c>
      <c r="E10" s="38" t="s">
        <v>1110</v>
      </c>
      <c r="F10" s="39" t="s">
        <v>1111</v>
      </c>
      <c r="G10" s="39">
        <v>15</v>
      </c>
      <c r="H10" s="39"/>
      <c r="I10" s="40" t="s">
        <v>261</v>
      </c>
      <c r="J10" s="41">
        <v>1</v>
      </c>
      <c r="K10" s="41">
        <v>29437</v>
      </c>
      <c r="L10" s="41"/>
      <c r="M10" s="42">
        <v>7359</v>
      </c>
      <c r="N10" s="42">
        <v>7359</v>
      </c>
      <c r="O10" s="43">
        <v>29437</v>
      </c>
      <c r="P10" s="44">
        <v>7359</v>
      </c>
      <c r="Q10" s="44">
        <v>7359</v>
      </c>
      <c r="R10" s="45"/>
      <c r="S10" s="46"/>
      <c r="T10" s="39">
        <f t="shared" si="0"/>
        <v>15</v>
      </c>
      <c r="U10" s="47">
        <f t="shared" si="1"/>
        <v>0.14114236598020033</v>
      </c>
      <c r="V10" s="48">
        <f t="shared" si="2"/>
        <v>0</v>
      </c>
      <c r="W10" s="49">
        <f t="shared" si="3"/>
        <v>9.4094910653466889E-3</v>
      </c>
      <c r="X10" s="44">
        <f t="shared" si="4"/>
        <v>3933.2567495749463</v>
      </c>
      <c r="Y10" s="44">
        <f t="shared" si="5"/>
        <v>0</v>
      </c>
      <c r="Z10" s="44">
        <f t="shared" si="6"/>
        <v>13470.835452997773</v>
      </c>
      <c r="AA10" s="50">
        <f t="shared" si="7"/>
        <v>11292.256749574946</v>
      </c>
      <c r="AB10" s="51">
        <f t="shared" si="8"/>
        <v>12613.141809923009</v>
      </c>
      <c r="AC10" s="44">
        <f t="shared" si="8"/>
        <v>10573.2741100889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1.0763668537425979</v>
      </c>
      <c r="AG10" s="44">
        <f t="shared" si="10"/>
        <v>31685.011073620855</v>
      </c>
      <c r="AH10" s="52">
        <f>HLOOKUP(I10,ElecAvoidedCostsWOCC!$A$5:$Q$50,T10+1,FALSE)</f>
        <v>1.0763668537425979</v>
      </c>
      <c r="AI10" s="44">
        <f t="shared" si="11"/>
        <v>0</v>
      </c>
      <c r="AJ10" s="44">
        <f t="shared" si="12"/>
        <v>31685.011073620855</v>
      </c>
      <c r="AK10" s="44">
        <f>HLOOKUP(I10,ElecAvoidedCostsWOCC!$A$5:$Q$50,G10+1,FALSE)*J10*L10</f>
        <v>0</v>
      </c>
      <c r="AL10" s="44">
        <f t="shared" si="13"/>
        <v>31685.011073620855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31685.011073620855</v>
      </c>
      <c r="AN10" s="48">
        <f t="shared" si="14"/>
        <v>34853.512180982943</v>
      </c>
      <c r="AO10" s="47">
        <f t="shared" si="15"/>
        <v>2.5120633345050978</v>
      </c>
      <c r="AP10" s="47">
        <f t="shared" si="16"/>
        <v>3.2963783798744148</v>
      </c>
    </row>
    <row r="11" spans="1:42" ht="13.5" customHeight="1" x14ac:dyDescent="0.35">
      <c r="A11" s="36" t="s">
        <v>243</v>
      </c>
      <c r="B11" s="37"/>
      <c r="E11" s="38" t="s">
        <v>1112</v>
      </c>
      <c r="F11" s="39" t="s">
        <v>1113</v>
      </c>
      <c r="G11" s="39">
        <v>15</v>
      </c>
      <c r="H11" s="39"/>
      <c r="I11" s="40" t="s">
        <v>262</v>
      </c>
      <c r="J11" s="41">
        <v>1</v>
      </c>
      <c r="K11" s="41">
        <v>17824</v>
      </c>
      <c r="L11" s="41"/>
      <c r="M11" s="42">
        <v>4456</v>
      </c>
      <c r="N11" s="42">
        <v>4456</v>
      </c>
      <c r="O11" s="43">
        <v>17824</v>
      </c>
      <c r="P11" s="44">
        <v>4456</v>
      </c>
      <c r="Q11" s="44">
        <v>4456</v>
      </c>
      <c r="R11" s="45"/>
      <c r="S11" s="46"/>
      <c r="T11" s="39">
        <f t="shared" si="0"/>
        <v>15</v>
      </c>
      <c r="U11" s="47">
        <f t="shared" si="1"/>
        <v>8.5461206346811522E-2</v>
      </c>
      <c r="V11" s="48">
        <f t="shared" si="2"/>
        <v>0</v>
      </c>
      <c r="W11" s="49">
        <f t="shared" si="3"/>
        <v>5.6974137564541017E-3</v>
      </c>
      <c r="X11" s="44">
        <f t="shared" si="4"/>
        <v>2381.573132602638</v>
      </c>
      <c r="Y11" s="44">
        <f t="shared" si="5"/>
        <v>0</v>
      </c>
      <c r="Z11" s="44">
        <f t="shared" si="6"/>
        <v>8156.5435035578466</v>
      </c>
      <c r="AA11" s="50">
        <f t="shared" si="7"/>
        <v>6837.573132602638</v>
      </c>
      <c r="AB11" s="51">
        <f t="shared" si="8"/>
        <v>7637.2130183125901</v>
      </c>
      <c r="AC11" s="44">
        <f t="shared" si="8"/>
        <v>6402.222034272133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1.0914944041149737</v>
      </c>
      <c r="AG11" s="44">
        <f t="shared" si="10"/>
        <v>19454.796258945291</v>
      </c>
      <c r="AH11" s="52">
        <f>HLOOKUP(I11,ElecAvoidedCostsWOCC!$A$5:$Q$50,T11+1,FALSE)</f>
        <v>1.0914944041149737</v>
      </c>
      <c r="AI11" s="44">
        <f t="shared" si="11"/>
        <v>0</v>
      </c>
      <c r="AJ11" s="44">
        <f t="shared" si="12"/>
        <v>19454.796258945291</v>
      </c>
      <c r="AK11" s="44">
        <f>HLOOKUP(I11,ElecAvoidedCostsWOCC!$A$5:$Q$50,G11+1,FALSE)*J11*L11</f>
        <v>0</v>
      </c>
      <c r="AL11" s="44">
        <f t="shared" si="13"/>
        <v>19454.796258945291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19454.796258945291</v>
      </c>
      <c r="AN11" s="48">
        <f t="shared" si="14"/>
        <v>21400.275884839823</v>
      </c>
      <c r="AO11" s="47">
        <f t="shared" si="15"/>
        <v>2.5473685508439239</v>
      </c>
      <c r="AP11" s="47">
        <f t="shared" si="16"/>
        <v>3.3426325688613541</v>
      </c>
    </row>
    <row r="12" spans="1:42" ht="13.5" customHeight="1" x14ac:dyDescent="0.35">
      <c r="A12" s="55">
        <f>SUM(P5:P1000)</f>
        <v>1025755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15.000000000000002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1431622.1099999999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1443764.5099999998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2.5101016782082399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2.7378902442740642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4"/>
  <sheetViews>
    <sheetView zoomScale="70" zoomScaleNormal="70" workbookViewId="0"/>
  </sheetViews>
  <sheetFormatPr defaultColWidth="9.1796875" defaultRowHeight="14.5" x14ac:dyDescent="0.35"/>
  <cols>
    <col min="1" max="1" width="15.453125" style="102" customWidth="1"/>
    <col min="2" max="2" width="14.453125" style="248" customWidth="1"/>
    <col min="3" max="3" width="66.453125" style="248" customWidth="1"/>
    <col min="4" max="4" width="41.1796875" style="248" hidden="1" customWidth="1"/>
    <col min="5" max="5" width="13.54296875" style="248" hidden="1" customWidth="1"/>
    <col min="6" max="6" width="13.81640625" style="248" customWidth="1"/>
    <col min="7" max="7" width="20" style="248" customWidth="1"/>
    <col min="8" max="8" width="17" style="253" customWidth="1"/>
    <col min="9" max="9" width="18" style="251" customWidth="1"/>
    <col min="10" max="10" width="17.81640625" style="102" customWidth="1"/>
    <col min="11" max="11" width="18.453125" style="248" customWidth="1"/>
    <col min="12" max="12" width="17.453125" style="248" customWidth="1"/>
    <col min="13" max="13" width="17.81640625" style="248" hidden="1" customWidth="1"/>
    <col min="14" max="14" width="19.81640625" style="248" customWidth="1"/>
    <col min="15" max="15" width="20.453125" style="248" customWidth="1"/>
    <col min="16" max="16" width="18.26953125" style="248" hidden="1" customWidth="1"/>
    <col min="17" max="17" width="26" style="102" customWidth="1"/>
    <col min="18" max="18" width="22.453125" style="102" customWidth="1"/>
    <col min="19" max="19" width="20.1796875" style="102" customWidth="1"/>
    <col min="20" max="20" width="22.453125" style="102" customWidth="1"/>
    <col min="21" max="21" width="17.453125" style="102" customWidth="1"/>
    <col min="22" max="22" width="17.54296875" style="104" customWidth="1"/>
    <col min="23" max="23" width="9.1796875" style="102"/>
    <col min="24" max="24" width="13.54296875" style="102" hidden="1" customWidth="1"/>
    <col min="25" max="25" width="11.54296875" style="102" hidden="1" customWidth="1"/>
    <col min="26" max="27" width="9.1796875" style="102" hidden="1" customWidth="1"/>
    <col min="28" max="28" width="9.1796875" style="102"/>
    <col min="29" max="29" width="10.6328125" style="102" customWidth="1"/>
    <col min="30" max="148" width="9.1796875" style="102"/>
    <col min="149" max="16384" width="9.1796875" style="248"/>
  </cols>
  <sheetData>
    <row r="1" spans="1:148" s="102" customFormat="1" x14ac:dyDescent="0.35">
      <c r="B1" s="103" t="s">
        <v>2202</v>
      </c>
      <c r="C1" s="104"/>
      <c r="D1" s="104"/>
      <c r="E1" s="104"/>
      <c r="F1" s="105"/>
      <c r="G1" s="539"/>
      <c r="H1" s="540"/>
      <c r="I1" s="540"/>
      <c r="J1" s="540"/>
      <c r="K1" s="539"/>
      <c r="L1" s="540"/>
      <c r="M1" s="540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 x14ac:dyDescent="0.35">
      <c r="B2" s="109" t="s">
        <v>332</v>
      </c>
      <c r="C2" s="110">
        <f>ElecDiscountRate</f>
        <v>6.8000000000000005E-2</v>
      </c>
      <c r="D2" s="110"/>
      <c r="E2" s="111"/>
      <c r="F2" s="112" t="s">
        <v>333</v>
      </c>
      <c r="G2" s="113" t="s">
        <v>334</v>
      </c>
      <c r="H2" s="113" t="s">
        <v>333</v>
      </c>
      <c r="I2" s="113" t="s">
        <v>333</v>
      </c>
      <c r="J2" s="113" t="s">
        <v>333</v>
      </c>
      <c r="K2" s="113" t="s">
        <v>333</v>
      </c>
      <c r="L2" s="113" t="s">
        <v>333</v>
      </c>
      <c r="M2" s="113" t="s">
        <v>333</v>
      </c>
      <c r="N2" s="113" t="s">
        <v>333</v>
      </c>
      <c r="O2" s="113" t="s">
        <v>333</v>
      </c>
      <c r="P2" s="114" t="s">
        <v>333</v>
      </c>
      <c r="Q2" s="115" t="s">
        <v>335</v>
      </c>
      <c r="R2" s="115" t="s">
        <v>335</v>
      </c>
      <c r="S2" s="113" t="s">
        <v>333</v>
      </c>
      <c r="T2" s="113" t="s">
        <v>336</v>
      </c>
      <c r="U2" s="113" t="s">
        <v>335</v>
      </c>
      <c r="V2" s="113" t="s">
        <v>335</v>
      </c>
    </row>
    <row r="3" spans="1:148" s="119" customFormat="1" ht="70.5" customHeight="1" x14ac:dyDescent="0.35">
      <c r="A3" s="116"/>
      <c r="B3" s="117" t="s">
        <v>337</v>
      </c>
      <c r="C3" s="117" t="s">
        <v>338</v>
      </c>
      <c r="D3" s="117" t="s">
        <v>339</v>
      </c>
      <c r="E3" s="117" t="s">
        <v>216</v>
      </c>
      <c r="F3" s="117" t="s">
        <v>340</v>
      </c>
      <c r="G3" s="117" t="s">
        <v>341</v>
      </c>
      <c r="H3" s="117" t="s">
        <v>342</v>
      </c>
      <c r="I3" s="117" t="s">
        <v>343</v>
      </c>
      <c r="J3" s="118" t="s">
        <v>344</v>
      </c>
      <c r="K3" s="117" t="s">
        <v>345</v>
      </c>
      <c r="L3" s="117" t="s">
        <v>346</v>
      </c>
      <c r="M3" s="117" t="s">
        <v>347</v>
      </c>
      <c r="N3" s="117" t="s">
        <v>348</v>
      </c>
      <c r="O3" s="117" t="s">
        <v>349</v>
      </c>
      <c r="P3" s="117" t="s">
        <v>539</v>
      </c>
      <c r="Q3" s="118" t="s">
        <v>350</v>
      </c>
      <c r="R3" s="117" t="s">
        <v>351</v>
      </c>
      <c r="S3" s="117" t="s">
        <v>352</v>
      </c>
      <c r="T3" s="117" t="s">
        <v>538</v>
      </c>
      <c r="U3" s="117" t="s">
        <v>353</v>
      </c>
      <c r="V3" s="118" t="s">
        <v>354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 x14ac:dyDescent="0.35">
      <c r="A4" s="500" t="s">
        <v>357</v>
      </c>
      <c r="B4" s="120"/>
      <c r="C4" s="121" t="s">
        <v>355</v>
      </c>
      <c r="D4" s="122"/>
      <c r="E4" s="123"/>
      <c r="F4" s="123" t="s">
        <v>356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529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 x14ac:dyDescent="0.35">
      <c r="B5" s="124" t="s">
        <v>358</v>
      </c>
      <c r="C5" s="292" t="s">
        <v>359</v>
      </c>
      <c r="D5" s="125"/>
      <c r="E5" s="126"/>
      <c r="F5" s="255"/>
      <c r="G5" s="255"/>
      <c r="H5" s="256" t="s">
        <v>360</v>
      </c>
      <c r="I5" s="256" t="s">
        <v>361</v>
      </c>
      <c r="J5" s="127" t="s">
        <v>362</v>
      </c>
      <c r="K5" s="257" t="s">
        <v>363</v>
      </c>
      <c r="L5" s="257" t="s">
        <v>364</v>
      </c>
      <c r="M5" s="257"/>
      <c r="N5" s="257" t="s">
        <v>531</v>
      </c>
      <c r="O5" s="257" t="s">
        <v>530</v>
      </c>
      <c r="P5" s="257"/>
      <c r="Q5" s="257"/>
      <c r="R5" s="257"/>
      <c r="S5" s="257" t="s">
        <v>365</v>
      </c>
      <c r="T5" s="257" t="s">
        <v>366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" x14ac:dyDescent="0.3">
      <c r="A6" s="500"/>
      <c r="B6" s="130" t="s">
        <v>71</v>
      </c>
      <c r="C6" s="131" t="s">
        <v>367</v>
      </c>
      <c r="D6" s="131"/>
      <c r="E6" s="132">
        <f>F65*(H65/$H$72)</f>
        <v>0</v>
      </c>
      <c r="F6" s="144">
        <f>'E201 LIW {E}'!A16</f>
        <v>23.489205398478084</v>
      </c>
      <c r="G6" s="145" t="s">
        <v>368</v>
      </c>
      <c r="H6" s="258">
        <f>'E201 LIW {E}'!A$10</f>
        <v>1372184.51</v>
      </c>
      <c r="I6" s="259">
        <f>'E201 LIW {E}'!A$8</f>
        <v>278073.16000000015</v>
      </c>
      <c r="J6" s="259">
        <f>'E201 LIW {E}'!A$12</f>
        <v>4408551.6800000025</v>
      </c>
      <c r="K6" s="259">
        <f>'E201 LIW {E}'!A$14</f>
        <v>446735.71000000014</v>
      </c>
      <c r="L6" s="259">
        <f>SUM('E201 LIW {E}'!Q$6:Q$961)</f>
        <v>4855287.3900000025</v>
      </c>
      <c r="M6" s="259"/>
      <c r="N6" s="260">
        <f>'E201 LIW {E}'!A$18</f>
        <v>4686624.84</v>
      </c>
      <c r="O6" s="259">
        <f>'E201 LIW {E}'!A$20</f>
        <v>5133360.5500000026</v>
      </c>
      <c r="P6" s="259">
        <f>SUM('E201 LIW {E}'!R$6:R$961)</f>
        <v>1934.81</v>
      </c>
      <c r="Q6" s="261">
        <f t="shared" ref="Q6:R8" si="0">N6/(1+ElecDiscountRate)^1</f>
        <v>4388225.5056179771</v>
      </c>
      <c r="R6" s="261">
        <f t="shared" si="0"/>
        <v>4806517.3689138601</v>
      </c>
      <c r="S6" s="259">
        <f>SUM('E201 LIW {E}'!AM$6:AM$961)</f>
        <v>2395672.0397413513</v>
      </c>
      <c r="T6" s="259">
        <f>SUM('E201 LIW {E}'!AD$6:AD$961)</f>
        <v>1592427.1745396184</v>
      </c>
      <c r="U6" s="133">
        <f>IFERROR(S6/Q6,0)</f>
        <v>0.54593184344658652</v>
      </c>
      <c r="V6" s="133">
        <f>IFERROR(((S6*1.1)+(T6))/R6,0)</f>
        <v>0.8795695705996045</v>
      </c>
    </row>
    <row r="7" spans="1:148" s="134" customFormat="1" x14ac:dyDescent="0.35">
      <c r="A7" s="135"/>
      <c r="B7" s="136" t="s">
        <v>15</v>
      </c>
      <c r="C7" s="509" t="s">
        <v>369</v>
      </c>
      <c r="D7" s="138"/>
      <c r="E7" s="139"/>
      <c r="F7" s="140"/>
      <c r="G7" s="141"/>
      <c r="H7" s="262">
        <f t="shared" ref="H7:P7" si="1">SUM(H8:H17)</f>
        <v>81456036.330000013</v>
      </c>
      <c r="I7" s="262">
        <f t="shared" si="1"/>
        <v>3800694</v>
      </c>
      <c r="J7" s="262">
        <f t="shared" si="1"/>
        <v>12058119.59</v>
      </c>
      <c r="K7" s="262">
        <f t="shared" si="1"/>
        <v>11028558.389999997</v>
      </c>
      <c r="L7" s="262">
        <f t="shared" si="1"/>
        <v>23086677.98</v>
      </c>
      <c r="M7" s="262">
        <f t="shared" si="1"/>
        <v>0</v>
      </c>
      <c r="N7" s="262">
        <f t="shared" si="1"/>
        <v>18414410.149999999</v>
      </c>
      <c r="O7" s="262">
        <f t="shared" si="1"/>
        <v>26887371.979999997</v>
      </c>
      <c r="P7" s="262">
        <f t="shared" si="1"/>
        <v>3022.2944000000002</v>
      </c>
      <c r="Q7" s="263">
        <f t="shared" si="0"/>
        <v>17241957.069288388</v>
      </c>
      <c r="R7" s="263">
        <f t="shared" si="0"/>
        <v>25175441.928838946</v>
      </c>
      <c r="S7" s="262">
        <f>SUM(S8:S17)</f>
        <v>49960447.451689601</v>
      </c>
      <c r="T7" s="262">
        <f>SUM(T8:T17)</f>
        <v>5355649.0472577037</v>
      </c>
      <c r="U7" s="142">
        <f>S7/Q7</f>
        <v>2.8976088532710618</v>
      </c>
      <c r="V7" s="142">
        <f>((S7*1.1)+(T7))/R7</f>
        <v>2.3956735859729861</v>
      </c>
    </row>
    <row r="8" spans="1:148" s="134" customFormat="1" ht="14" x14ac:dyDescent="0.3">
      <c r="B8" s="130" t="s">
        <v>15</v>
      </c>
      <c r="C8" s="143" t="s">
        <v>370</v>
      </c>
      <c r="D8" s="143"/>
      <c r="E8" s="132"/>
      <c r="F8" s="144">
        <f>'Residential Lighting {E}'!A$16</f>
        <v>14.279652503499147</v>
      </c>
      <c r="G8" s="145" t="s">
        <v>371</v>
      </c>
      <c r="H8" s="258">
        <f>'Residential Lighting {E}'!A$10</f>
        <v>922369.00000000512</v>
      </c>
      <c r="I8" s="259">
        <f>'Residential Lighting {E}'!A$8</f>
        <v>257290.92999999993</v>
      </c>
      <c r="J8" s="259">
        <f>'Residential Lighting {E}'!A$12</f>
        <v>796045.05999999994</v>
      </c>
      <c r="K8" s="264">
        <f>'Residential Lighting {E}'!A$14</f>
        <v>-539914.02999999991</v>
      </c>
      <c r="L8" s="259">
        <f>SUM('Residential Lighting {E}'!Q$5:Q$1000)</f>
        <v>256131.03</v>
      </c>
      <c r="M8" s="259"/>
      <c r="N8" s="260">
        <f>'Residential Lighting {E}'!A$18</f>
        <v>1149355.93</v>
      </c>
      <c r="O8" s="259">
        <f>'Residential Lighting {E}'!A$20</f>
        <v>513421.95999999996</v>
      </c>
      <c r="P8" s="259">
        <f>SUM('Residential Lighting {E}'!R$5:R$1000)</f>
        <v>0</v>
      </c>
      <c r="Q8" s="261">
        <f t="shared" si="0"/>
        <v>1076175.9644194755</v>
      </c>
      <c r="R8" s="261">
        <f t="shared" si="0"/>
        <v>480732.17228464416</v>
      </c>
      <c r="S8" s="259">
        <f>SUM('Residential Lighting {E}'!AM$5:AM$1000)</f>
        <v>999177.10449101147</v>
      </c>
      <c r="T8" s="259">
        <f>SUM('Residential Lighting {E}'!AD$5:AD$1000)</f>
        <v>0</v>
      </c>
      <c r="U8" s="133">
        <f t="shared" ref="U8:U21" si="2">IFERROR(S8/Q8,0)</f>
        <v>0.92845142200327824</v>
      </c>
      <c r="V8" s="133">
        <f t="shared" ref="V8:V21" si="3">IFERROR(((S8*1.1)+(T8))/R8,0)</f>
        <v>2.2862934463419533</v>
      </c>
    </row>
    <row r="9" spans="1:148" s="134" customFormat="1" ht="14" x14ac:dyDescent="0.3">
      <c r="B9" s="130" t="s">
        <v>15</v>
      </c>
      <c r="C9" s="143" t="s">
        <v>372</v>
      </c>
      <c r="D9" s="143"/>
      <c r="E9" s="132">
        <f t="shared" ref="E9:E16" si="4">F9*(H9/$H$72)</f>
        <v>0.51039681015025373</v>
      </c>
      <c r="F9" s="144">
        <f>'SF Existing Space Heat {E}'!A$16</f>
        <v>16.352955580935443</v>
      </c>
      <c r="G9" s="145" t="s">
        <v>368</v>
      </c>
      <c r="H9" s="258">
        <f>'SF Existing Space Heat {E}'!A$10</f>
        <v>7583433</v>
      </c>
      <c r="I9" s="259">
        <f>'SF Existing Space Heat {E}'!A$8</f>
        <v>340432.81000000006</v>
      </c>
      <c r="J9" s="259">
        <f>'SF Existing Space Heat {E}'!A$12</f>
        <v>3480741.04</v>
      </c>
      <c r="K9" s="264">
        <f>'SF Existing Space Heat {E}'!A$14</f>
        <v>7481632.9799999977</v>
      </c>
      <c r="L9" s="259">
        <f>SUM('SF Existing Space Heat {E}'!Q$5:Q$1000)</f>
        <v>10962374.02</v>
      </c>
      <c r="M9" s="259"/>
      <c r="N9" s="260">
        <f>'SF Existing Space Heat {E}'!A$18</f>
        <v>3843297.46</v>
      </c>
      <c r="O9" s="259">
        <f>'SF Existing Space Heat {E}'!A$20</f>
        <v>11302806.83</v>
      </c>
      <c r="P9" s="259">
        <f>SUM('SF Existing Space Heat {E}'!R$5:R$1000)</f>
        <v>1846.7271000000003</v>
      </c>
      <c r="Q9" s="261">
        <f t="shared" ref="Q9:Q21" si="5">N9/(1+ElecDiscountRate)^1</f>
        <v>3598593.1273408239</v>
      </c>
      <c r="R9" s="261">
        <f t="shared" ref="R9:R21" si="6">O9/(1+ElecDiscountRate)^1</f>
        <v>10583152.462546816</v>
      </c>
      <c r="S9" s="259">
        <f>SUM('SF Existing Space Heat {E}'!AM$5:AM$1000)</f>
        <v>9958449.7651944365</v>
      </c>
      <c r="T9" s="259">
        <f>SUM('SF Existing Space Heat {E}'!AD$5:AD$1000)</f>
        <v>2161285.0984083693</v>
      </c>
      <c r="U9" s="133">
        <f t="shared" si="2"/>
        <v>2.7673175079265548</v>
      </c>
      <c r="V9" s="133">
        <f t="shared" si="3"/>
        <v>1.2392885660995203</v>
      </c>
    </row>
    <row r="10" spans="1:148" s="134" customFormat="1" ht="14" x14ac:dyDescent="0.3">
      <c r="B10" s="130" t="s">
        <v>15</v>
      </c>
      <c r="C10" s="143" t="s">
        <v>373</v>
      </c>
      <c r="D10" s="143"/>
      <c r="E10" s="132">
        <f t="shared" si="4"/>
        <v>4.5540534673245064E-2</v>
      </c>
      <c r="F10" s="144">
        <f>'SF Existing Water Heat {E}'!A$16</f>
        <v>12.846130941158263</v>
      </c>
      <c r="G10" s="145" t="s">
        <v>368</v>
      </c>
      <c r="H10" s="258">
        <f>'SF Existing Water Heat {E}'!A$10</f>
        <v>861350.55999999959</v>
      </c>
      <c r="I10" s="259">
        <f>'SF Existing Water Heat {E}'!A$8</f>
        <v>309104</v>
      </c>
      <c r="J10" s="259">
        <f>'SF Existing Water Heat {E}'!A$12</f>
        <v>371225.94999999995</v>
      </c>
      <c r="K10" s="264">
        <f>'SF Existing Water Heat {E}'!A$14</f>
        <v>141219.05000000005</v>
      </c>
      <c r="L10" s="259">
        <f>SUM('SF Existing Water Heat {E}'!Q$5:Q$1000)</f>
        <v>512445</v>
      </c>
      <c r="M10" s="259"/>
      <c r="N10" s="260">
        <f>'SF Existing Water Heat {E}'!A$18</f>
        <v>705775.27</v>
      </c>
      <c r="O10" s="259">
        <f>'SF Existing Water Heat {E}'!A$20</f>
        <v>821549</v>
      </c>
      <c r="P10" s="259">
        <f>SUM('SF Existing Water Heat {E}'!R$5:R$1000)</f>
        <v>75.531499999999994</v>
      </c>
      <c r="Q10" s="261">
        <f t="shared" si="5"/>
        <v>660838.26779026212</v>
      </c>
      <c r="R10" s="261">
        <f t="shared" si="6"/>
        <v>769240.63670411985</v>
      </c>
      <c r="S10" s="259">
        <f>SUM('SF Existing Water Heat {E}'!AM$5:AM$1000)</f>
        <v>846095.12142729526</v>
      </c>
      <c r="T10" s="259">
        <f>SUM('SF Existing Water Heat {E}'!AD$5:AD$1000)</f>
        <v>162115.01513878218</v>
      </c>
      <c r="U10" s="133">
        <f t="shared" si="2"/>
        <v>1.280336146779911</v>
      </c>
      <c r="V10" s="133">
        <f t="shared" si="3"/>
        <v>1.4206473196620115</v>
      </c>
    </row>
    <row r="11" spans="1:148" s="134" customFormat="1" ht="14" x14ac:dyDescent="0.3">
      <c r="B11" s="130" t="s">
        <v>15</v>
      </c>
      <c r="C11" s="146" t="s">
        <v>375</v>
      </c>
      <c r="D11" s="146"/>
      <c r="E11" s="132">
        <f t="shared" si="4"/>
        <v>2.8774267424266704E-2</v>
      </c>
      <c r="F11" s="144">
        <f>'Home Appliances {E}'!A$16</f>
        <v>12.542397571643338</v>
      </c>
      <c r="G11" s="145" t="s">
        <v>368</v>
      </c>
      <c r="H11" s="258">
        <f>'Home Appliances {E}'!A$10</f>
        <v>557414</v>
      </c>
      <c r="I11" s="259">
        <f>'Home Appliances {E}'!A$8</f>
        <v>242241.98000000004</v>
      </c>
      <c r="J11" s="259">
        <f>'Home Appliances {E}'!A$12</f>
        <v>271625</v>
      </c>
      <c r="K11" s="264">
        <f>'Home Appliances {E}'!A$14</f>
        <v>203024.58999999997</v>
      </c>
      <c r="L11" s="259">
        <f>SUM('Home Appliances {E}'!Q$5:Q$999)</f>
        <v>474649.58999999997</v>
      </c>
      <c r="M11" s="259"/>
      <c r="N11" s="260">
        <f>'Home Appliances {E}'!A$18</f>
        <v>548275.39</v>
      </c>
      <c r="O11" s="259">
        <f>'Home Appliances {E}'!A$20</f>
        <v>716891.57000000007</v>
      </c>
      <c r="P11" s="259">
        <f>SUM('Home Appliances {E}'!R$5:R$999)</f>
        <v>252.68999999999997</v>
      </c>
      <c r="Q11" s="261">
        <f t="shared" si="5"/>
        <v>513366.47003745317</v>
      </c>
      <c r="R11" s="261">
        <f t="shared" si="6"/>
        <v>671246.78838951315</v>
      </c>
      <c r="S11" s="259">
        <f>SUM('Home Appliances {E}'!AM$5:AM$999)</f>
        <v>527711.05837133713</v>
      </c>
      <c r="T11" s="259">
        <f>SUM('Home Appliances {E}'!AD$5:AD$999)</f>
        <v>561784.96080605744</v>
      </c>
      <c r="U11" s="133">
        <f t="shared" si="2"/>
        <v>1.0279421995223752</v>
      </c>
      <c r="V11" s="133">
        <f t="shared" si="3"/>
        <v>1.7017096316469671</v>
      </c>
    </row>
    <row r="12" spans="1:148" s="134" customFormat="1" ht="14" x14ac:dyDescent="0.3">
      <c r="B12" s="130" t="s">
        <v>376</v>
      </c>
      <c r="C12" s="143" t="s">
        <v>377</v>
      </c>
      <c r="D12" s="143"/>
      <c r="E12" s="132">
        <f t="shared" si="4"/>
        <v>8.6308989915874074E-2</v>
      </c>
      <c r="F12" s="144">
        <f>'Web-Enabled Thermostats {E}'!A$16</f>
        <v>11.547110051935809</v>
      </c>
      <c r="G12" s="145" t="s">
        <v>368</v>
      </c>
      <c r="H12" s="258">
        <f>'Web-Enabled Thermostats {E}'!A$10</f>
        <v>1816088</v>
      </c>
      <c r="I12" s="259">
        <f>'Web-Enabled Thermostats {E}'!A$8</f>
        <v>290879.66999999993</v>
      </c>
      <c r="J12" s="259">
        <f>'Web-Enabled Thermostats {E}'!A$12</f>
        <v>649350.17999999993</v>
      </c>
      <c r="K12" s="264">
        <f>'Web-Enabled Thermostats {E}'!A$14</f>
        <v>293903.82</v>
      </c>
      <c r="L12" s="259">
        <f>SUM('Web-Enabled Thermostats {E}'!Q$5:Q$1000)</f>
        <v>943254</v>
      </c>
      <c r="M12" s="259"/>
      <c r="N12" s="260">
        <f>'Web-Enabled Thermostats {E}'!A$18</f>
        <v>998491.8899999999</v>
      </c>
      <c r="O12" s="259">
        <f>'Web-Enabled Thermostats {E}'!A$20</f>
        <v>1234133.67</v>
      </c>
      <c r="P12" s="259">
        <f>SUM('Web-Enabled Thermostats {E}'!R$5:R$1000)</f>
        <v>202.10999999999999</v>
      </c>
      <c r="Q12" s="261">
        <f t="shared" si="5"/>
        <v>934917.49999999988</v>
      </c>
      <c r="R12" s="261">
        <f t="shared" si="6"/>
        <v>1155555.8707865167</v>
      </c>
      <c r="S12" s="259">
        <f>SUM('Web-Enabled Thermostats {E}'!AM$5:AM$1000)</f>
        <v>1915051.2070621238</v>
      </c>
      <c r="T12" s="259">
        <f>SUM('Web-Enabled Thermostats {E}'!AD$5:AD$1000)</f>
        <v>980434.40763561754</v>
      </c>
      <c r="U12" s="133">
        <f t="shared" si="2"/>
        <v>2.0483638471438645</v>
      </c>
      <c r="V12" s="133">
        <f t="shared" si="3"/>
        <v>2.6714335614969675</v>
      </c>
    </row>
    <row r="13" spans="1:148" s="134" customFormat="1" ht="14" x14ac:dyDescent="0.3">
      <c r="B13" s="130" t="s">
        <v>15</v>
      </c>
      <c r="C13" s="143" t="s">
        <v>378</v>
      </c>
      <c r="D13" s="143"/>
      <c r="E13" s="132">
        <f t="shared" si="4"/>
        <v>1.1458164982741215E-5</v>
      </c>
      <c r="F13" s="144">
        <f>'Residential Showerheads {E}'!A$16</f>
        <v>10.000000000000002</v>
      </c>
      <c r="G13" s="145" t="s">
        <v>368</v>
      </c>
      <c r="H13" s="258">
        <f>'Residential Showerheads {E}'!A$10</f>
        <v>278.39999999999998</v>
      </c>
      <c r="I13" s="259">
        <f>'Residential Showerheads {E}'!A$8</f>
        <v>3564.2200000000003</v>
      </c>
      <c r="J13" s="259">
        <f>'Residential Showerheads {E}'!A$12</f>
        <v>93</v>
      </c>
      <c r="K13" s="264">
        <f>'Residential Showerheads {E}'!A$14</f>
        <v>227.4</v>
      </c>
      <c r="L13" s="259">
        <f>SUM('Residential Showerheads {E}'!Q$5:Q$1000)</f>
        <v>320.39999999999998</v>
      </c>
      <c r="M13" s="259"/>
      <c r="N13" s="260">
        <f>'Residential Showerheads {E}'!A$18</f>
        <v>3330.9700000000003</v>
      </c>
      <c r="O13" s="259">
        <f>'Residential Showerheads {E}'!A$20</f>
        <v>3884.6200000000003</v>
      </c>
      <c r="P13" s="259">
        <f>SUM('Residential Showerheads {E}'!R$5:R$1000)</f>
        <v>11.16</v>
      </c>
      <c r="Q13" s="261">
        <f t="shared" si="5"/>
        <v>3118.8857677902624</v>
      </c>
      <c r="R13" s="261">
        <f t="shared" si="6"/>
        <v>3637.2846441947568</v>
      </c>
      <c r="S13" s="259">
        <f>SUM('Residential Showerheads {E}'!AM$5:AM$1000)</f>
        <v>219.21965244335729</v>
      </c>
      <c r="T13" s="259">
        <f>SUM('Residential Showerheads {E}'!AD$5:AD$1000)</f>
        <v>791.1298307531888</v>
      </c>
      <c r="U13" s="133">
        <f t="shared" si="2"/>
        <v>7.0287810700638428E-2</v>
      </c>
      <c r="V13" s="133">
        <f t="shared" si="3"/>
        <v>0.28380276756410194</v>
      </c>
    </row>
    <row r="14" spans="1:148" s="134" customFormat="1" ht="14" x14ac:dyDescent="0.3">
      <c r="B14" s="130" t="s">
        <v>15</v>
      </c>
      <c r="C14" s="143" t="s">
        <v>379</v>
      </c>
      <c r="D14" s="143"/>
      <c r="E14" s="132">
        <f t="shared" si="4"/>
        <v>0.20232500135776668</v>
      </c>
      <c r="F14" s="144">
        <f>'SF Existing Weatherization {E}'!A$16</f>
        <v>36.246500545104958</v>
      </c>
      <c r="G14" s="145" t="s">
        <v>368</v>
      </c>
      <c r="H14" s="258">
        <f>'SF Existing Weatherization {E}'!A$10</f>
        <v>1356243.3700000008</v>
      </c>
      <c r="I14" s="259">
        <f>'SF Existing Weatherization {E}'!A$8</f>
        <v>235446.93000000005</v>
      </c>
      <c r="J14" s="259">
        <f>'SF Existing Weatherization {E}'!A$12</f>
        <v>940719.99999999988</v>
      </c>
      <c r="K14" s="264">
        <f>'SF Existing Weatherization {E}'!A$14</f>
        <v>2048965.8199999998</v>
      </c>
      <c r="L14" s="259">
        <f>SUM('SF Existing Weatherization {E}'!Q$5:Q$1000)</f>
        <v>2989685.819999998</v>
      </c>
      <c r="M14" s="259"/>
      <c r="N14" s="260">
        <f>'SF Existing Weatherization {E}'!A$18</f>
        <v>1176597.53</v>
      </c>
      <c r="O14" s="259">
        <f>'SF Existing Weatherization {E}'!A$20</f>
        <v>3225132.7499999981</v>
      </c>
      <c r="P14" s="259">
        <f>SUM('SF Existing Weatherization {E}'!R$5:R$1000)</f>
        <v>634.07579999999996</v>
      </c>
      <c r="Q14" s="261">
        <f t="shared" si="5"/>
        <v>1101683.0805243445</v>
      </c>
      <c r="R14" s="261">
        <f t="shared" si="6"/>
        <v>3019787.2191011216</v>
      </c>
      <c r="S14" s="259">
        <f>SUM('SF Existing Weatherization {E}'!AM$5:AM$1000)</f>
        <v>3652517.5651208218</v>
      </c>
      <c r="T14" s="259">
        <f>SUM('SF Existing Weatherization {E}'!AD$5:AD$1000)</f>
        <v>1489238.4354381247</v>
      </c>
      <c r="U14" s="133">
        <f t="shared" si="2"/>
        <v>3.3153977125457996</v>
      </c>
      <c r="V14" s="133">
        <f t="shared" si="3"/>
        <v>1.8236409910729607</v>
      </c>
    </row>
    <row r="15" spans="1:148" s="134" customFormat="1" ht="14" x14ac:dyDescent="0.3">
      <c r="B15" s="130" t="s">
        <v>15</v>
      </c>
      <c r="C15" s="143" t="s">
        <v>380</v>
      </c>
      <c r="D15" s="143"/>
      <c r="E15" s="132">
        <f t="shared" si="4"/>
        <v>0.41293127580507238</v>
      </c>
      <c r="F15" s="144">
        <f>'Home Energy Reports {E}'!A$16</f>
        <v>2</v>
      </c>
      <c r="G15" s="145" t="s">
        <v>368</v>
      </c>
      <c r="H15" s="258">
        <f>'Home Energy Reports {E}'!A$10</f>
        <v>50165130</v>
      </c>
      <c r="I15" s="259">
        <f>'Home Energy Reports {E}'!A$8</f>
        <v>846370.84</v>
      </c>
      <c r="J15" s="259">
        <f>'Home Energy Reports {E}'!A$12</f>
        <v>971619.36</v>
      </c>
      <c r="K15" s="264">
        <f>'Home Energy Reports {E}'!A$14</f>
        <v>0</v>
      </c>
      <c r="L15" s="259">
        <f>SUM('Home Energy Reports {E}'!Q$5:Q$999)</f>
        <v>971619.36</v>
      </c>
      <c r="M15" s="259"/>
      <c r="N15" s="260">
        <f>'Home Energy Reports {E}'!A$18</f>
        <v>1577453.42</v>
      </c>
      <c r="O15" s="259">
        <f>'Home Energy Reports {E}'!A$20</f>
        <v>1817990.2</v>
      </c>
      <c r="P15" s="259">
        <f>SUM('Home Energy Reports {E}'!R$5:R$999)</f>
        <v>0</v>
      </c>
      <c r="Q15" s="261">
        <f t="shared" si="5"/>
        <v>1477016.3108614231</v>
      </c>
      <c r="R15" s="261">
        <f t="shared" si="6"/>
        <v>1702238.0149812733</v>
      </c>
      <c r="S15" s="259">
        <f>SUM('Home Energy Reports {E}'!AM$5:AM$999)</f>
        <v>8936326.5363475084</v>
      </c>
      <c r="T15" s="259">
        <f>SUM('Home Energy Reports {E}'!AD$5:AD$999)</f>
        <v>0</v>
      </c>
      <c r="U15" s="133">
        <f t="shared" si="2"/>
        <v>6.0502558236040587</v>
      </c>
      <c r="V15" s="133">
        <f t="shared" si="3"/>
        <v>5.7747266266347603</v>
      </c>
    </row>
    <row r="16" spans="1:148" s="134" customFormat="1" ht="14" x14ac:dyDescent="0.3">
      <c r="B16" s="130" t="s">
        <v>15</v>
      </c>
      <c r="C16" s="143" t="s">
        <v>544</v>
      </c>
      <c r="D16" s="143"/>
      <c r="E16" s="132">
        <f t="shared" si="4"/>
        <v>0</v>
      </c>
      <c r="F16" s="144">
        <f>IFERROR('Efficiency Boost {E}'!A$16,0)</f>
        <v>0</v>
      </c>
      <c r="G16" s="145" t="s">
        <v>368</v>
      </c>
      <c r="H16" s="258">
        <f>'Efficiency Boost {E}'!A$10</f>
        <v>0</v>
      </c>
      <c r="I16" s="259">
        <f>'Efficiency Boost {E}'!A$8</f>
        <v>67647.7</v>
      </c>
      <c r="J16" s="259">
        <f>'Efficiency Boost {E}'!A$12</f>
        <v>0</v>
      </c>
      <c r="K16" s="264">
        <f>'Efficiency Boost {E}'!A$14</f>
        <v>0</v>
      </c>
      <c r="L16" s="259">
        <f>SUM('Efficiency Boost {E}'!Q$5:Q$999)</f>
        <v>0</v>
      </c>
      <c r="M16" s="259"/>
      <c r="N16" s="260">
        <f>'Efficiency Boost {E}'!A$18</f>
        <v>67647.7</v>
      </c>
      <c r="O16" s="259">
        <f>'Efficiency Boost {E}'!A$20</f>
        <v>67647.7</v>
      </c>
      <c r="P16" s="259">
        <f>SUM('Efficiency Boost {E}'!R$5:R$999)</f>
        <v>0</v>
      </c>
      <c r="Q16" s="261">
        <f>N16/(1+ElecDiscountRate)^1</f>
        <v>63340.543071161039</v>
      </c>
      <c r="R16" s="261">
        <f>O16/(1+ElecDiscountRate)^1</f>
        <v>63340.543071161039</v>
      </c>
      <c r="S16" s="259">
        <f>SUM('Efficiency Boost {E}'!AM$5:AM$999)</f>
        <v>0</v>
      </c>
      <c r="T16" s="259">
        <f>SUM('Efficiency Boost {E}'!AD$5:AD$999)</f>
        <v>0</v>
      </c>
      <c r="U16" s="133">
        <f>IFERROR(S16/Q16,0)</f>
        <v>0</v>
      </c>
      <c r="V16" s="133">
        <f>IFERROR(((S16*1.1)+(T16))/R16,0)</f>
        <v>0</v>
      </c>
    </row>
    <row r="17" spans="1:425" s="134" customFormat="1" ht="14" x14ac:dyDescent="0.3">
      <c r="B17" s="130" t="s">
        <v>15</v>
      </c>
      <c r="C17" s="143" t="s">
        <v>2135</v>
      </c>
      <c r="D17" s="143"/>
      <c r="E17" s="132"/>
      <c r="F17" s="144">
        <f>IFERROR('Res Midstream HVAC &amp; WH {E}'!A$16,0)</f>
        <v>14.771184358567483</v>
      </c>
      <c r="G17" s="145" t="s">
        <v>368</v>
      </c>
      <c r="H17" s="258">
        <f>'Res Midstream HVAC &amp; WH {E}'!A$10</f>
        <v>18193730</v>
      </c>
      <c r="I17" s="259">
        <f>'Res Midstream HVAC &amp; WH {E}'!A$8</f>
        <v>1207714.92</v>
      </c>
      <c r="J17" s="259">
        <f>'Res Midstream HVAC &amp; WH {E}'!A$12</f>
        <v>4576700</v>
      </c>
      <c r="K17" s="264">
        <f>'Res Midstream HVAC &amp; WH {E}'!A$14</f>
        <v>1399498.7599999998</v>
      </c>
      <c r="L17" s="259">
        <f>SUM('Res Midstream HVAC &amp; WH {E}'!Q$5:Q$999)</f>
        <v>5976198.7600000007</v>
      </c>
      <c r="M17" s="259"/>
      <c r="N17" s="260">
        <f>'Res Midstream HVAC &amp; WH {E}'!A$18</f>
        <v>8344184.5899999999</v>
      </c>
      <c r="O17" s="259">
        <f>'Res Midstream HVAC &amp; WH {E}'!A$20</f>
        <v>7183913.6800000006</v>
      </c>
      <c r="P17" s="259">
        <f>SUM('Res Midstream HVAC &amp; WH {E}'!R$5:R$999)</f>
        <v>0</v>
      </c>
      <c r="Q17" s="261">
        <f>N17/(1+ElecDiscountRate)^1</f>
        <v>7812906.9194756551</v>
      </c>
      <c r="R17" s="261">
        <f>O17/(1+ElecDiscountRate)^1</f>
        <v>6726510.9363295883</v>
      </c>
      <c r="S17" s="259">
        <f>SUM('Res Midstream HVAC &amp; WH {E}'!AM$5:AM$999)</f>
        <v>23124899.874022625</v>
      </c>
      <c r="T17" s="259">
        <f>SUM('Res Midstream HVAC &amp; WH {E}'!AD$5:AD$999)</f>
        <v>0</v>
      </c>
      <c r="U17" s="133">
        <f>IFERROR(S17/Q17,0)</f>
        <v>2.9598330189212851</v>
      </c>
      <c r="V17" s="133">
        <f>IFERROR(((S17*1.1)+(T17))/R17,0)</f>
        <v>3.7816618603916439</v>
      </c>
    </row>
    <row r="18" spans="1:425" s="134" customFormat="1" ht="14" x14ac:dyDescent="0.3">
      <c r="B18" s="130" t="s">
        <v>17</v>
      </c>
      <c r="C18" s="131" t="s">
        <v>381</v>
      </c>
      <c r="D18" s="131"/>
      <c r="E18" s="132"/>
      <c r="F18" s="144">
        <f>'SF New Construction {E}'!A$16</f>
        <v>33.624138947706989</v>
      </c>
      <c r="G18" s="145" t="s">
        <v>368</v>
      </c>
      <c r="H18" s="258">
        <f>'SF New Construction {E}'!A$10</f>
        <v>74618</v>
      </c>
      <c r="I18" s="259">
        <f>'SF New Construction {E}'!A$8</f>
        <v>83035.22000000003</v>
      </c>
      <c r="J18" s="259">
        <f>'SF New Construction {E}'!A$12</f>
        <v>56118.710000000006</v>
      </c>
      <c r="K18" s="264">
        <f>'SF New Construction {E}'!A$14</f>
        <v>163153.49</v>
      </c>
      <c r="L18" s="259">
        <f>SUM('SF New Construction {E}'!Q$5:Q$1000)</f>
        <v>219272.2</v>
      </c>
      <c r="M18" s="259"/>
      <c r="N18" s="260">
        <f>'SF New Construction {E}'!A$18</f>
        <v>139153.93000000002</v>
      </c>
      <c r="O18" s="259">
        <f>'SF New Construction {E}'!A$20</f>
        <v>302307.42000000004</v>
      </c>
      <c r="P18" s="259">
        <f>SUM('SF New Construction {E}'!R$5:R$1000)</f>
        <v>71.81</v>
      </c>
      <c r="Q18" s="261">
        <f t="shared" si="5"/>
        <v>130293.94194756556</v>
      </c>
      <c r="R18" s="261">
        <f t="shared" si="6"/>
        <v>283059.38202247192</v>
      </c>
      <c r="S18" s="259">
        <f>SUM('SF New Construction {E}'!AM$5:AM$1000)</f>
        <v>163645.86889715464</v>
      </c>
      <c r="T18" s="259">
        <f>SUM('SF New Construction {E}'!AD$5:AD$1000)</f>
        <v>6405.2718468288258</v>
      </c>
      <c r="U18" s="133">
        <f t="shared" si="2"/>
        <v>1.2559745023526185</v>
      </c>
      <c r="V18" s="133">
        <f t="shared" si="3"/>
        <v>0.6585746294708561</v>
      </c>
    </row>
    <row r="19" spans="1:425" s="134" customFormat="1" ht="14" x14ac:dyDescent="0.3">
      <c r="B19" s="130" t="s">
        <v>17</v>
      </c>
      <c r="C19" s="131" t="s">
        <v>382</v>
      </c>
      <c r="D19" s="131"/>
      <c r="E19" s="132"/>
      <c r="F19" s="144">
        <f>'MH New Construction {E}'!A$16</f>
        <v>44.738519499032691</v>
      </c>
      <c r="G19" s="145" t="s">
        <v>368</v>
      </c>
      <c r="H19" s="258">
        <f>'MH New Construction {E}'!A$10</f>
        <v>157136</v>
      </c>
      <c r="I19" s="259">
        <f>'MH New Construction {E}'!A$8</f>
        <v>55592.62000000001</v>
      </c>
      <c r="J19" s="259">
        <f>'MH New Construction {E}'!A$12</f>
        <v>95000</v>
      </c>
      <c r="K19" s="264">
        <f>'MH New Construction {E}'!A$14</f>
        <v>102392.68</v>
      </c>
      <c r="L19" s="259">
        <f>SUM('MH New Construction {E}'!Q$5:Q$1000)</f>
        <v>197392.68</v>
      </c>
      <c r="M19" s="259"/>
      <c r="N19" s="260">
        <f>'MH New Construction {E}'!A$18</f>
        <v>165040.70000000001</v>
      </c>
      <c r="O19" s="259">
        <f>'MH New Construction {E}'!A$20</f>
        <v>252985.3</v>
      </c>
      <c r="P19" s="259">
        <f>SUM('MH New Construction {E}'!R$5:R$1000)</f>
        <v>167.31400000000002</v>
      </c>
      <c r="Q19" s="261">
        <f t="shared" si="5"/>
        <v>154532.49063670411</v>
      </c>
      <c r="R19" s="261">
        <f t="shared" si="6"/>
        <v>236877.62172284641</v>
      </c>
      <c r="S19" s="259">
        <f>SUM('MH New Construction {E}'!AM$5:AM$1000)</f>
        <v>510519.8352143697</v>
      </c>
      <c r="T19" s="259">
        <f>SUM('MH New Construction {E}'!AD$5:AD$1000)</f>
        <v>32092.469585114875</v>
      </c>
      <c r="U19" s="133">
        <f t="shared" si="2"/>
        <v>3.3036407626055082</v>
      </c>
      <c r="V19" s="133">
        <f t="shared" si="3"/>
        <v>2.5062067239746515</v>
      </c>
    </row>
    <row r="20" spans="1:425" s="134" customFormat="1" ht="14" x14ac:dyDescent="0.3">
      <c r="B20" s="130" t="s">
        <v>38</v>
      </c>
      <c r="C20" s="147" t="s">
        <v>383</v>
      </c>
      <c r="D20" s="147"/>
      <c r="E20" s="132"/>
      <c r="F20" s="144">
        <f>'Multi Family Retrofit {E}'!A$16</f>
        <v>27.799364292569244</v>
      </c>
      <c r="G20" s="145" t="s">
        <v>368</v>
      </c>
      <c r="H20" s="258">
        <f>'Multi Family Retrofit {E}'!A$10</f>
        <v>4945822.32</v>
      </c>
      <c r="I20" s="259">
        <f>'Multi Family Retrofit {E}'!A$8</f>
        <v>1048383.8799999999</v>
      </c>
      <c r="J20" s="259">
        <f>'Multi Family Retrofit {E}'!A$12</f>
        <v>4143408.3200000003</v>
      </c>
      <c r="K20" s="259">
        <f>'Multi Family Retrofit {E}'!A$14</f>
        <v>1920596.8299999998</v>
      </c>
      <c r="L20" s="259">
        <f>SUM('Multi Family Retrofit {E}'!Q$5:Q$1000)</f>
        <v>6064005.1500000004</v>
      </c>
      <c r="M20" s="259"/>
      <c r="N20" s="260">
        <f>'Multi Family Retrofit {E}'!A$18</f>
        <v>5334529.2</v>
      </c>
      <c r="O20" s="259">
        <f>'Multi Family Retrofit {E}'!A$20</f>
        <v>7112389.0300000003</v>
      </c>
      <c r="P20" s="259">
        <f>SUM('Multi Family Retrofit {E}'!R$5:R$1000)</f>
        <v>162.40839999999997</v>
      </c>
      <c r="Q20" s="261">
        <f t="shared" si="5"/>
        <v>4994877.5280898875</v>
      </c>
      <c r="R20" s="261">
        <f t="shared" si="6"/>
        <v>6659540.290262172</v>
      </c>
      <c r="S20" s="259">
        <f>SUM('Multi Family Retrofit {E}'!AM$5:AM$1000)</f>
        <v>8410045.0020592902</v>
      </c>
      <c r="T20" s="259">
        <f>SUM('Multi Family Retrofit {E}'!AD$5:AD$1000)</f>
        <v>648837.66257981816</v>
      </c>
      <c r="U20" s="133">
        <f t="shared" si="2"/>
        <v>1.683733976411512</v>
      </c>
      <c r="V20" s="133">
        <f t="shared" si="3"/>
        <v>1.4865721556367821</v>
      </c>
    </row>
    <row r="21" spans="1:425" s="134" customFormat="1" ht="14" x14ac:dyDescent="0.3">
      <c r="A21" s="148"/>
      <c r="B21" s="130" t="s">
        <v>56</v>
      </c>
      <c r="C21" s="147" t="s">
        <v>384</v>
      </c>
      <c r="D21" s="147"/>
      <c r="E21" s="132"/>
      <c r="F21" s="144">
        <f>'MF New Construction {E}'!A$16</f>
        <v>15.000000000000002</v>
      </c>
      <c r="G21" s="145" t="s">
        <v>368</v>
      </c>
      <c r="H21" s="258">
        <f>'MF New Construction {E}'!A$10</f>
        <v>3128437</v>
      </c>
      <c r="I21" s="259">
        <f>'MF New Construction {E}'!A$8</f>
        <v>418009.50999999989</v>
      </c>
      <c r="J21" s="259">
        <f>'MF New Construction {E}'!A$12</f>
        <v>1025755</v>
      </c>
      <c r="K21" s="259">
        <f>'MF New Construction {E}'!A$14</f>
        <v>0</v>
      </c>
      <c r="L21" s="259">
        <f>SUM('MF New Construction {E}'!Q$5:Q$1000)</f>
        <v>1025755</v>
      </c>
      <c r="M21" s="259"/>
      <c r="N21" s="260">
        <f>'MF New Construction {E}'!A$18</f>
        <v>1431622.1099999999</v>
      </c>
      <c r="O21" s="259">
        <f>'MF New Construction {E}'!A$20</f>
        <v>1443764.5099999998</v>
      </c>
      <c r="P21" s="259">
        <f>SUM('MF New Construction {E}'!R$5:R$1000)</f>
        <v>0</v>
      </c>
      <c r="Q21" s="261">
        <f t="shared" si="5"/>
        <v>1340470.140449438</v>
      </c>
      <c r="R21" s="261">
        <f t="shared" si="6"/>
        <v>1351839.428838951</v>
      </c>
      <c r="S21" s="259">
        <f>SUM('MF New Construction {E}'!AM$5:AM$1000)</f>
        <v>3364716.34913017</v>
      </c>
      <c r="T21" s="259">
        <f>SUM('MF New Construction {E}'!AD$5:AD$1000)</f>
        <v>0</v>
      </c>
      <c r="U21" s="133">
        <f t="shared" si="2"/>
        <v>2.5101016782082404</v>
      </c>
      <c r="V21" s="133">
        <f t="shared" si="3"/>
        <v>2.7378902442740642</v>
      </c>
    </row>
    <row r="22" spans="1:425" s="156" customFormat="1" x14ac:dyDescent="0.35">
      <c r="A22" s="134"/>
      <c r="B22" s="149" t="s">
        <v>385</v>
      </c>
      <c r="C22" s="149"/>
      <c r="D22" s="149"/>
      <c r="E22" s="150"/>
      <c r="F22" s="151"/>
      <c r="G22" s="152"/>
      <c r="H22" s="153">
        <f t="shared" ref="H22:T22" si="7">SUM(H8:H21,H6)</f>
        <v>91134234.160000011</v>
      </c>
      <c r="I22" s="153">
        <f t="shared" si="7"/>
        <v>5683788.3900000006</v>
      </c>
      <c r="J22" s="153">
        <f t="shared" si="7"/>
        <v>21786953.300000004</v>
      </c>
      <c r="K22" s="153">
        <f t="shared" si="7"/>
        <v>13661437.099999998</v>
      </c>
      <c r="L22" s="153">
        <f t="shared" si="7"/>
        <v>35448390.399999999</v>
      </c>
      <c r="M22" s="153">
        <f t="shared" si="7"/>
        <v>0</v>
      </c>
      <c r="N22" s="153">
        <f t="shared" si="7"/>
        <v>30171380.929999996</v>
      </c>
      <c r="O22" s="153">
        <f t="shared" si="7"/>
        <v>41132178.789999999</v>
      </c>
      <c r="P22" s="153">
        <f t="shared" si="7"/>
        <v>5358.6368000000002</v>
      </c>
      <c r="Q22" s="153">
        <f t="shared" si="7"/>
        <v>28250356.676029962</v>
      </c>
      <c r="R22" s="153">
        <f t="shared" si="7"/>
        <v>38513276.020599246</v>
      </c>
      <c r="S22" s="153">
        <f t="shared" si="7"/>
        <v>64805046.546731934</v>
      </c>
      <c r="T22" s="153">
        <f t="shared" si="7"/>
        <v>7635411.6258090846</v>
      </c>
      <c r="U22" s="154">
        <f>S22/Q22</f>
        <v>2.293954985769016</v>
      </c>
      <c r="V22" s="154">
        <f>((S22*1.1)+(T22))/R22</f>
        <v>2.0491885132026288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 x14ac:dyDescent="0.35">
      <c r="A23" s="134"/>
      <c r="B23" s="157" t="s">
        <v>386</v>
      </c>
      <c r="C23" s="157"/>
      <c r="D23" s="157"/>
      <c r="E23" s="158"/>
      <c r="F23" s="151"/>
      <c r="G23" s="152"/>
      <c r="H23" s="153">
        <f t="shared" ref="H23:T23" si="8">H22-H6</f>
        <v>89762049.650000006</v>
      </c>
      <c r="I23" s="153">
        <f t="shared" si="8"/>
        <v>5405715.2300000004</v>
      </c>
      <c r="J23" s="153">
        <f t="shared" si="8"/>
        <v>17378401.620000001</v>
      </c>
      <c r="K23" s="153">
        <f t="shared" si="8"/>
        <v>13214701.389999997</v>
      </c>
      <c r="L23" s="153">
        <f t="shared" si="8"/>
        <v>30593103.009999998</v>
      </c>
      <c r="M23" s="153">
        <f t="shared" si="8"/>
        <v>0</v>
      </c>
      <c r="N23" s="153">
        <f t="shared" si="8"/>
        <v>25484756.089999996</v>
      </c>
      <c r="O23" s="153">
        <f t="shared" si="8"/>
        <v>35998818.239999995</v>
      </c>
      <c r="P23" s="153">
        <f t="shared" si="8"/>
        <v>3423.8268000000003</v>
      </c>
      <c r="Q23" s="153">
        <f t="shared" si="8"/>
        <v>23862131.170411985</v>
      </c>
      <c r="R23" s="153">
        <f t="shared" si="8"/>
        <v>33706758.651685387</v>
      </c>
      <c r="S23" s="153">
        <f t="shared" si="8"/>
        <v>62409374.506990582</v>
      </c>
      <c r="T23" s="153">
        <f t="shared" si="8"/>
        <v>6042984.4512694664</v>
      </c>
      <c r="U23" s="154">
        <f>S23/Q23</f>
        <v>2.6154149460202247</v>
      </c>
      <c r="V23" s="154">
        <f>((S23*1.1)+(T23))/R23</f>
        <v>2.2159738698346878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" x14ac:dyDescent="0.3">
      <c r="A24" s="134"/>
      <c r="B24" s="130" t="s">
        <v>62</v>
      </c>
      <c r="C24" s="502" t="s">
        <v>534</v>
      </c>
      <c r="D24" s="147"/>
      <c r="E24" s="159"/>
      <c r="F24" s="144"/>
      <c r="G24" s="160"/>
      <c r="H24" s="258">
        <f>SUM(H25:H31)</f>
        <v>55652061</v>
      </c>
      <c r="I24" s="258">
        <f>SUM(I25:I31)</f>
        <v>5964443.5699999994</v>
      </c>
      <c r="J24" s="258">
        <f>SUM(J25:J31)</f>
        <v>13541894.360000001</v>
      </c>
      <c r="K24" s="258">
        <f>SUM(K25:K31)</f>
        <v>15056840.510000002</v>
      </c>
      <c r="L24" s="258">
        <f>SUM(L25:L31)</f>
        <v>28598734.869999997</v>
      </c>
      <c r="M24" s="259"/>
      <c r="N24" s="260">
        <f t="shared" ref="N24:T24" si="9">SUM(N25:N31)</f>
        <v>19381112.809999999</v>
      </c>
      <c r="O24" s="258">
        <f t="shared" si="9"/>
        <v>34563178.439999998</v>
      </c>
      <c r="P24" s="258">
        <f t="shared" si="9"/>
        <v>61.073999999999998</v>
      </c>
      <c r="Q24" s="258">
        <f t="shared" si="9"/>
        <v>18147109.372659177</v>
      </c>
      <c r="R24" s="258">
        <f t="shared" si="9"/>
        <v>32362526.629213482</v>
      </c>
      <c r="S24" s="258">
        <f t="shared" si="9"/>
        <v>52782413.189682662</v>
      </c>
      <c r="T24" s="258">
        <f t="shared" si="9"/>
        <v>15588.265227372882</v>
      </c>
      <c r="U24" s="133">
        <f>IFERROR(S24/Q24,0)</f>
        <v>2.9085851694488478</v>
      </c>
      <c r="V24" s="133">
        <f>IFERROR(((S24*1.1)+(T24))/R24,0)</f>
        <v>1.7945521818884558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" x14ac:dyDescent="0.3">
      <c r="A25" s="134"/>
      <c r="B25" s="130" t="s">
        <v>62</v>
      </c>
      <c r="C25" s="143" t="s">
        <v>387</v>
      </c>
      <c r="D25" s="147"/>
      <c r="E25" s="159">
        <f>F25*(H25/$H$72)</f>
        <v>0.60605774524645595</v>
      </c>
      <c r="F25" s="144">
        <f>'CI Retrofit {E}'!A$16</f>
        <v>11.317963008381501</v>
      </c>
      <c r="G25" s="160" t="s">
        <v>368</v>
      </c>
      <c r="H25" s="258">
        <f>'CI Retrofit {E}'!A$10</f>
        <v>13010677</v>
      </c>
      <c r="I25" s="259">
        <f>'CI Retrofit {E}'!A$8</f>
        <v>1750184.5900000003</v>
      </c>
      <c r="J25" s="259">
        <f>'CI Retrofit {E}'!A$12</f>
        <v>3697942.4</v>
      </c>
      <c r="K25" s="259">
        <f>'CI Retrofit {E}'!A$14</f>
        <v>2504788.3600000003</v>
      </c>
      <c r="L25" s="259">
        <f>SUM('CI Retrofit {E}'!Q$5:Q$1000)</f>
        <v>6202730.7600000007</v>
      </c>
      <c r="M25" s="259"/>
      <c r="N25" s="260">
        <f>'CI Retrofit {E}'!A$18</f>
        <v>5448126.9900000002</v>
      </c>
      <c r="O25" s="259">
        <f>'CI Retrofit {E}'!A$20</f>
        <v>7952915.3500000015</v>
      </c>
      <c r="P25" s="259">
        <f>SUM('CI Retrofit {E}'!R$5:R$1000)</f>
        <v>0</v>
      </c>
      <c r="Q25" s="261">
        <f t="shared" ref="Q25:Q45" si="10">N25/(1+ElecDiscountRate)^1</f>
        <v>5101242.5</v>
      </c>
      <c r="R25" s="261">
        <f t="shared" ref="R25:R45" si="11">O25/(1+ElecDiscountRate)^1</f>
        <v>7446549.9531835215</v>
      </c>
      <c r="S25" s="259">
        <f>SUM('CI Retrofit {E}'!AM$5:AM$1000)</f>
        <v>10888716.066697739</v>
      </c>
      <c r="T25" s="259">
        <f>SUM('CI Retrofit {E}'!AD$5:AD$1000)</f>
        <v>0</v>
      </c>
      <c r="U25" s="133">
        <f t="shared" ref="U25:U36" si="12">IFERROR(S25/Q25,0)</f>
        <v>2.1345223377829496</v>
      </c>
      <c r="V25" s="133">
        <f t="shared" ref="V25:V36" si="13">IFERROR(((S25*1.1)+(T25))/R25,0)</f>
        <v>1.6084747633025545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" x14ac:dyDescent="0.3">
      <c r="A26" s="134"/>
      <c r="B26" s="130" t="s">
        <v>62</v>
      </c>
      <c r="C26" s="143" t="s">
        <v>532</v>
      </c>
      <c r="D26" s="147"/>
      <c r="E26" s="159">
        <f>F26*(H26/$H$72)</f>
        <v>2.1691909138396244</v>
      </c>
      <c r="F26" s="144">
        <f>'Bus Lighting Grants {E}'!A$16</f>
        <v>14.792650598923258</v>
      </c>
      <c r="G26" s="160" t="s">
        <v>368</v>
      </c>
      <c r="H26" s="258">
        <f>'Bus Lighting Grants {E}'!A$10</f>
        <v>35629189</v>
      </c>
      <c r="I26" s="259">
        <f>'Bus Lighting Grants {E}'!A$8</f>
        <v>2596738.2799999993</v>
      </c>
      <c r="J26" s="259">
        <f>'Bus Lighting Grants {E}'!A$12</f>
        <v>8898082.5500000007</v>
      </c>
      <c r="K26" s="259">
        <f>'Bus Lighting Grants {E}'!A$14</f>
        <v>12342126.150000002</v>
      </c>
      <c r="L26" s="259">
        <f>SUM('Bus Lighting Grants {E}'!Q$5:Q$1000)</f>
        <v>21240208.699999996</v>
      </c>
      <c r="M26" s="259"/>
      <c r="N26" s="260">
        <f>'Bus Lighting Grants {E}'!A$18</f>
        <v>11481257.83</v>
      </c>
      <c r="O26" s="259">
        <f>'Bus Lighting Grants {E}'!A$20</f>
        <v>23836946.979999997</v>
      </c>
      <c r="P26" s="259">
        <f>SUM('Bus Lighting Grants {E}'!R$5:R$1000)</f>
        <v>61.073999999999998</v>
      </c>
      <c r="Q26" s="261">
        <f t="shared" ref="Q26:R29" si="14">N26/(1+ElecDiscountRate)^1</f>
        <v>10750241.413857678</v>
      </c>
      <c r="R26" s="261">
        <f t="shared" si="14"/>
        <v>22319238.745318349</v>
      </c>
      <c r="S26" s="259">
        <f>SUM('Bus Lighting Grants {E}'!AM$5:AM$1000)</f>
        <v>38311697.741876699</v>
      </c>
      <c r="T26" s="259">
        <f>SUM('Bus Lighting Grants {E}'!AD$5:AD$1000)</f>
        <v>15588.265227372882</v>
      </c>
      <c r="U26" s="133">
        <f t="shared" ref="U26:U31" si="15">IFERROR(S26/Q26,0)</f>
        <v>3.5637988271119867</v>
      </c>
      <c r="V26" s="133">
        <f t="shared" ref="V26:V31" si="16">IFERROR(((S26*1.1)+(T26))/R26,0)</f>
        <v>1.8888841264863856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" x14ac:dyDescent="0.3">
      <c r="A27" s="134"/>
      <c r="B27" s="130" t="s">
        <v>62</v>
      </c>
      <c r="C27" s="143" t="s">
        <v>533</v>
      </c>
      <c r="D27" s="147"/>
      <c r="E27" s="159">
        <f>F27*(H27/$H$72)</f>
        <v>0.11505153748470906</v>
      </c>
      <c r="F27" s="144">
        <f>'Industrial EM {E}'!A$16</f>
        <v>6.9239298674593366</v>
      </c>
      <c r="G27" s="160" t="s">
        <v>368</v>
      </c>
      <c r="H27" s="258">
        <f>'Industrial EM {E}'!A$10</f>
        <v>4037327</v>
      </c>
      <c r="I27" s="259">
        <f>'Industrial EM {E}'!A$8</f>
        <v>590840.96</v>
      </c>
      <c r="J27" s="259">
        <f>'Industrial EM {E}'!A$12</f>
        <v>451567.84</v>
      </c>
      <c r="K27" s="259">
        <f>'Industrial EM {E}'!A$14</f>
        <v>209926</v>
      </c>
      <c r="L27" s="259">
        <f>SUM('Industrial EM {E}'!Q$5:Q$1000)</f>
        <v>661493.84</v>
      </c>
      <c r="M27" s="259"/>
      <c r="N27" s="260">
        <f>'Industrial EM {E}'!A$18</f>
        <v>1461659.92</v>
      </c>
      <c r="O27" s="259">
        <f>'Industrial EM {E}'!A$20</f>
        <v>1252334.7999999998</v>
      </c>
      <c r="P27" s="259">
        <f>SUM('Industrial EM {E}'!R$5:R$1000)</f>
        <v>0</v>
      </c>
      <c r="Q27" s="261">
        <f t="shared" si="14"/>
        <v>1368595.4307116102</v>
      </c>
      <c r="R27" s="261">
        <f t="shared" si="14"/>
        <v>1172598.1273408236</v>
      </c>
      <c r="S27" s="259">
        <f>SUM('Industrial EM {E}'!AM$5:AM$1000)</f>
        <v>2055586.9496133358</v>
      </c>
      <c r="T27" s="259">
        <f>SUM('Industrial EM {E}'!AD$5:AD$1000)</f>
        <v>0</v>
      </c>
      <c r="U27" s="133">
        <f t="shared" si="15"/>
        <v>1.5019682979246247</v>
      </c>
      <c r="V27" s="133">
        <f t="shared" si="16"/>
        <v>1.9283210435466203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" x14ac:dyDescent="0.3">
      <c r="A28" s="134"/>
      <c r="B28" s="130" t="s">
        <v>62</v>
      </c>
      <c r="C28" s="143" t="s">
        <v>2195</v>
      </c>
      <c r="D28" s="147"/>
      <c r="E28" s="159"/>
      <c r="F28" s="144" t="e">
        <f>'Indust Opt {E}'!A$16</f>
        <v>#DIV/0!</v>
      </c>
      <c r="G28" s="160" t="s">
        <v>368</v>
      </c>
      <c r="H28" s="258">
        <f>'Indust Opt {E}'!A$10</f>
        <v>0</v>
      </c>
      <c r="I28" s="259">
        <f>'Indust Opt {E}'!A$8</f>
        <v>-5960.0400000000009</v>
      </c>
      <c r="J28" s="259">
        <f>'Indust Opt {E}'!A$12</f>
        <v>0</v>
      </c>
      <c r="K28" s="259">
        <f>'Indust Opt {E}'!A$14</f>
        <v>0</v>
      </c>
      <c r="L28" s="259">
        <f>SUM('Indust Opt {E}'!Q$5:Q$1000)</f>
        <v>0</v>
      </c>
      <c r="M28" s="259"/>
      <c r="N28" s="260">
        <f>'Indust Opt {E}'!A$18</f>
        <v>-42571.71</v>
      </c>
      <c r="O28" s="259">
        <f>'Indust Opt {E}'!A$20</f>
        <v>-5960.0400000000009</v>
      </c>
      <c r="P28" s="259">
        <f>SUM('Indust Opt {E}'!R$5:R$1000)</f>
        <v>0</v>
      </c>
      <c r="Q28" s="261">
        <f t="shared" ref="Q28" si="17">N28/(1+ElecDiscountRate)^1</f>
        <v>-39861.151685393255</v>
      </c>
      <c r="R28" s="261">
        <f t="shared" ref="R28" si="18">O28/(1+ElecDiscountRate)^1</f>
        <v>-5580.5617977528091</v>
      </c>
      <c r="S28" s="259">
        <f>SUM('Indust Opt {E}'!AM$5:AM$1000)</f>
        <v>0</v>
      </c>
      <c r="T28" s="259">
        <f>SUM('Indust Opt {E}'!AD$5:AD$1000)</f>
        <v>0</v>
      </c>
      <c r="U28" s="133">
        <f t="shared" si="15"/>
        <v>0</v>
      </c>
      <c r="V28" s="133">
        <f t="shared" si="16"/>
        <v>0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" x14ac:dyDescent="0.3">
      <c r="A29" s="134"/>
      <c r="B29" s="130" t="s">
        <v>62</v>
      </c>
      <c r="C29" s="143" t="s">
        <v>322</v>
      </c>
      <c r="D29" s="147"/>
      <c r="E29" s="159">
        <f>F29*(H29/$H$72)</f>
        <v>1.2780360669354191E-2</v>
      </c>
      <c r="F29" s="144">
        <f>'CBA {E}'!A$16</f>
        <v>5</v>
      </c>
      <c r="G29" s="160" t="s">
        <v>368</v>
      </c>
      <c r="H29" s="258">
        <f>'CBA {E}'!A$10</f>
        <v>621051</v>
      </c>
      <c r="I29" s="259">
        <f>'CBA {E}'!A$8</f>
        <v>123755.83</v>
      </c>
      <c r="J29" s="259">
        <f>'CBA {E}'!A$12</f>
        <v>0</v>
      </c>
      <c r="K29" s="259">
        <f>'CBA {E}'!A$14</f>
        <v>0</v>
      </c>
      <c r="L29" s="259">
        <f>SUM('CBA {E}'!Q$5:Q$1000)</f>
        <v>0</v>
      </c>
      <c r="M29" s="259"/>
      <c r="N29" s="260">
        <f>'CBA {E}'!A$18</f>
        <v>123755.83</v>
      </c>
      <c r="O29" s="259">
        <f>'CBA {E}'!A$20</f>
        <v>123755.83</v>
      </c>
      <c r="P29" s="259">
        <f>SUM('CBA {E}'!R$5:R$1000)</f>
        <v>0</v>
      </c>
      <c r="Q29" s="261">
        <f t="shared" si="14"/>
        <v>115876.24531835206</v>
      </c>
      <c r="R29" s="261">
        <f t="shared" si="14"/>
        <v>115876.24531835206</v>
      </c>
      <c r="S29" s="259">
        <f>SUM('CBA {E}'!AM$5:AM$1000)</f>
        <v>247717.39151906731</v>
      </c>
      <c r="T29" s="259">
        <f>SUM('CBA {E}'!AD$5:AD$1000)</f>
        <v>0</v>
      </c>
      <c r="U29" s="133">
        <f t="shared" si="15"/>
        <v>2.1377754417094041</v>
      </c>
      <c r="V29" s="133">
        <f t="shared" si="16"/>
        <v>2.3515529858803448</v>
      </c>
      <c r="W29" s="161"/>
      <c r="X29" s="161"/>
      <c r="Y29" s="161"/>
      <c r="Z29" s="161"/>
      <c r="AA29" s="161"/>
      <c r="AB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" x14ac:dyDescent="0.3">
      <c r="A30" s="134"/>
      <c r="B30" s="130" t="s">
        <v>62</v>
      </c>
      <c r="C30" s="143" t="s">
        <v>2193</v>
      </c>
      <c r="D30" s="147"/>
      <c r="E30" s="159"/>
      <c r="F30" s="144">
        <f>'SMB Virtual Cx {E}'!A$16</f>
        <v>7</v>
      </c>
      <c r="G30" s="160" t="s">
        <v>368</v>
      </c>
      <c r="H30" s="258">
        <f>'SMB Virtual Cx {E}'!A$10</f>
        <v>2353817</v>
      </c>
      <c r="I30" s="259">
        <f>'SMB Virtual Cx {E}'!A$8</f>
        <v>601111.25</v>
      </c>
      <c r="J30" s="259">
        <f>'SMB Virtual Cx {E}'!A$12</f>
        <v>494301.57</v>
      </c>
      <c r="K30" s="259">
        <f>'SMB Virtual Cx {E}'!A$14</f>
        <v>0</v>
      </c>
      <c r="L30" s="259">
        <f>SUM('SMB Virtual Cx {E}'!Q$5:Q$1000)</f>
        <v>494301.57</v>
      </c>
      <c r="M30" s="259"/>
      <c r="N30" s="260">
        <f>'SMB Virtual Cx {E}'!A$18</f>
        <v>601111.25</v>
      </c>
      <c r="O30" s="259">
        <f>'SMB Virtual Cx {E}'!A$20</f>
        <v>1095412.82</v>
      </c>
      <c r="P30" s="259">
        <f>SUM('SMB Virtual Cx {E}'!R$5:R$1000)</f>
        <v>0</v>
      </c>
      <c r="Q30" s="261">
        <f t="shared" ref="Q30" si="19">N30/(1+ElecDiscountRate)^1</f>
        <v>562838.2490636704</v>
      </c>
      <c r="R30" s="261">
        <f t="shared" ref="R30" si="20">O30/(1+ElecDiscountRate)^1</f>
        <v>1025667.4344569289</v>
      </c>
      <c r="S30" s="259">
        <f>SUM('SMB Virtual Cx {E}'!AM$5:AM$1000)</f>
        <v>1278695.0399758257</v>
      </c>
      <c r="T30" s="259">
        <f>SUM('SMB Virtual Cx {E}'!AD$5:AD$1000)</f>
        <v>0</v>
      </c>
      <c r="U30" s="133">
        <f t="shared" si="15"/>
        <v>2.2718694795583709</v>
      </c>
      <c r="V30" s="133">
        <f t="shared" si="16"/>
        <v>1.3713651196483168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" x14ac:dyDescent="0.3">
      <c r="A31" s="134"/>
      <c r="B31" s="130" t="s">
        <v>62</v>
      </c>
      <c r="C31" s="143" t="s">
        <v>2196</v>
      </c>
      <c r="D31" s="147"/>
      <c r="E31" s="159"/>
      <c r="F31" s="144" t="e">
        <f>'Telecom Efficiency {E}'!A$16</f>
        <v>#DIV/0!</v>
      </c>
      <c r="G31" s="160" t="s">
        <v>368</v>
      </c>
      <c r="H31" s="258">
        <f>'Telecom Efficiency {E}'!A$10</f>
        <v>0</v>
      </c>
      <c r="I31" s="259">
        <f>'Telecom Efficiency {E}'!A$8</f>
        <v>307772.7</v>
      </c>
      <c r="J31" s="259">
        <f>'Telecom Efficiency {E}'!A$12</f>
        <v>0</v>
      </c>
      <c r="K31" s="259">
        <f>'Telecom Efficiency {E}'!A$14</f>
        <v>0</v>
      </c>
      <c r="L31" s="259">
        <f>SUM('Telecom Efficiency {E}'!Q$5:Q$1000)</f>
        <v>0</v>
      </c>
      <c r="M31" s="259"/>
      <c r="N31" s="260">
        <f>'Telecom Efficiency {E}'!A$18</f>
        <v>307772.7</v>
      </c>
      <c r="O31" s="259">
        <f>'Telecom Efficiency {E}'!A$20</f>
        <v>307772.7</v>
      </c>
      <c r="P31" s="259">
        <f>SUM('Telecom Efficiency {E}'!R$5:R$1000)</f>
        <v>0</v>
      </c>
      <c r="Q31" s="261">
        <f t="shared" ref="Q31" si="21">N31/(1+ElecDiscountRate)^1</f>
        <v>288176.68539325841</v>
      </c>
      <c r="R31" s="261">
        <f t="shared" ref="R31" si="22">O31/(1+ElecDiscountRate)^1</f>
        <v>288176.68539325841</v>
      </c>
      <c r="S31" s="259">
        <f>SUM('Telecom Efficiency {E}'!AM$5:AM$1000)</f>
        <v>0</v>
      </c>
      <c r="T31" s="259">
        <f>SUM('Telecom Efficiency {E}'!AD$5:AD$1000)</f>
        <v>0</v>
      </c>
      <c r="U31" s="133">
        <f t="shared" si="15"/>
        <v>0</v>
      </c>
      <c r="V31" s="133">
        <f t="shared" si="16"/>
        <v>0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" x14ac:dyDescent="0.3">
      <c r="A32" s="134"/>
      <c r="B32" s="130" t="s">
        <v>123</v>
      </c>
      <c r="C32" s="147" t="s">
        <v>388</v>
      </c>
      <c r="D32" s="147"/>
      <c r="E32" s="159">
        <f>F32*(H32/$H$72)</f>
        <v>0.58460086200416872</v>
      </c>
      <c r="F32" s="144">
        <f>'CI New Construction {E}'!A$16</f>
        <v>11.160115695452223</v>
      </c>
      <c r="G32" s="160" t="s">
        <v>368</v>
      </c>
      <c r="H32" s="258">
        <f>'CI New Construction {E}'!A$10</f>
        <v>12727553</v>
      </c>
      <c r="I32" s="259">
        <f>'CI New Construction {E}'!A$8</f>
        <v>342797.93000000017</v>
      </c>
      <c r="J32" s="259">
        <f>'CI New Construction {E}'!A$12</f>
        <v>2857521</v>
      </c>
      <c r="K32" s="259">
        <f>'CI New Construction {E}'!A$14</f>
        <v>3273165.71</v>
      </c>
      <c r="L32" s="259">
        <f>SUM('CI New Construction {E}'!Q$5:Q$1000)</f>
        <v>6130686.71</v>
      </c>
      <c r="M32" s="259"/>
      <c r="N32" s="260">
        <f>'CI New Construction {E}'!A$18</f>
        <v>3200318.93</v>
      </c>
      <c r="O32" s="259">
        <f>'CI New Construction {E}'!A$20</f>
        <v>6473484.6400000006</v>
      </c>
      <c r="P32" s="259">
        <f>SUM('CI New Construction {E}'!R$5:R$1000)</f>
        <v>0</v>
      </c>
      <c r="Q32" s="261">
        <f t="shared" si="10"/>
        <v>2996553.3052434456</v>
      </c>
      <c r="R32" s="261">
        <f t="shared" si="11"/>
        <v>6061315.2059925096</v>
      </c>
      <c r="S32" s="259">
        <f>SUM('CI New Construction {E}'!AM$5:AM$1000)</f>
        <v>10531710.509439534</v>
      </c>
      <c r="T32" s="259">
        <f>SUM('CI New Construction {E}'!AD$5:AD$1000)</f>
        <v>0</v>
      </c>
      <c r="U32" s="133">
        <f t="shared" si="12"/>
        <v>3.5146080969128355</v>
      </c>
      <c r="V32" s="133">
        <f t="shared" si="13"/>
        <v>1.9112818203102377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" x14ac:dyDescent="0.3">
      <c r="A33" s="134"/>
      <c r="B33" s="130" t="s">
        <v>129</v>
      </c>
      <c r="C33" s="162" t="s">
        <v>389</v>
      </c>
      <c r="D33" s="162"/>
      <c r="E33" s="159"/>
      <c r="F33" s="144">
        <f>'Com SEM {E}'!A$16</f>
        <v>2.9999999999999996</v>
      </c>
      <c r="G33" s="160" t="s">
        <v>368</v>
      </c>
      <c r="H33" s="258">
        <f>'Com SEM {E}'!A$10</f>
        <v>11640361</v>
      </c>
      <c r="I33" s="259">
        <f>'Com SEM {E}'!A$8</f>
        <v>1222373.3999999999</v>
      </c>
      <c r="J33" s="259">
        <f>'Com SEM {E}'!A$12</f>
        <v>352831</v>
      </c>
      <c r="K33" s="259">
        <f>'Com SEM {E}'!A$14</f>
        <v>130123</v>
      </c>
      <c r="L33" s="259">
        <f>SUM('Com SEM {E}'!Q$5:Q$995)</f>
        <v>482954</v>
      </c>
      <c r="M33" s="259"/>
      <c r="N33" s="260">
        <f>'Com SEM {E}'!A$18</f>
        <v>1575204.4</v>
      </c>
      <c r="O33" s="259">
        <f>'Com SEM {E}'!A$20</f>
        <v>1705327.4</v>
      </c>
      <c r="P33" s="259">
        <f>SUM('Com SEM {E}'!R$5:R$995)</f>
        <v>0</v>
      </c>
      <c r="Q33" s="261">
        <f>N33/(1+ElecDiscountRate)^1</f>
        <v>1474910.4868913856</v>
      </c>
      <c r="R33" s="261">
        <f>O33/(1+ElecDiscountRate)^1</f>
        <v>1596748.501872659</v>
      </c>
      <c r="S33" s="259">
        <f>SUM('Com SEM {E}'!AM$5:AM$995)</f>
        <v>2889445.3473878549</v>
      </c>
      <c r="T33" s="259">
        <f>SUM('Com SEM {E}'!AD$5:AD$995)</f>
        <v>0</v>
      </c>
      <c r="U33" s="133">
        <f t="shared" si="12"/>
        <v>1.9590648877124959</v>
      </c>
      <c r="V33" s="133">
        <f t="shared" si="13"/>
        <v>1.9905388221119606</v>
      </c>
      <c r="W33" s="161"/>
      <c r="X33" s="161"/>
      <c r="Y33" s="161"/>
      <c r="Z33" s="161"/>
      <c r="AA33" s="161"/>
      <c r="AB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" x14ac:dyDescent="0.3">
      <c r="A34" s="134"/>
      <c r="B34" s="130" t="s">
        <v>129</v>
      </c>
      <c r="C34" s="162" t="s">
        <v>390</v>
      </c>
      <c r="D34" s="162"/>
      <c r="E34" s="159"/>
      <c r="F34" s="144">
        <f>'P4P {E}'!A$16</f>
        <v>8.5008883056385329</v>
      </c>
      <c r="G34" s="160" t="s">
        <v>368</v>
      </c>
      <c r="H34" s="258">
        <f>'P4P {E}'!A$10</f>
        <v>1042434</v>
      </c>
      <c r="I34" s="259">
        <f>'P4P {E}'!A$8</f>
        <v>45585.739999999991</v>
      </c>
      <c r="J34" s="259">
        <f>'P4P {E}'!A$12</f>
        <v>261789</v>
      </c>
      <c r="K34" s="259">
        <f>'P4P {E}'!A$14</f>
        <v>335766</v>
      </c>
      <c r="L34" s="259">
        <f>SUM('P4P {E}'!Q$5:Q$1000)</f>
        <v>597555</v>
      </c>
      <c r="M34" s="259"/>
      <c r="N34" s="260">
        <f>'P4P {E}'!A$18</f>
        <v>307374.74</v>
      </c>
      <c r="O34" s="259">
        <f>'P4P {E}'!A$20</f>
        <v>643140.74</v>
      </c>
      <c r="P34" s="259">
        <f>SUM('P4P {E}'!R$5:R$1000)</f>
        <v>0</v>
      </c>
      <c r="Q34" s="261">
        <f>N34/(1+ElecDiscountRate)^1</f>
        <v>287804.06367041194</v>
      </c>
      <c r="R34" s="261">
        <f>O34/(1+ElecDiscountRate)^1</f>
        <v>602191.70411985018</v>
      </c>
      <c r="S34" s="259">
        <f>SUM('P4P {E}'!AM$5:AM$1000)</f>
        <v>661430.40909937723</v>
      </c>
      <c r="T34" s="259">
        <f>SUM('P4P {E}'!AD$5:AD$1000)</f>
        <v>0</v>
      </c>
      <c r="U34" s="133">
        <f t="shared" si="12"/>
        <v>2.298196907521207</v>
      </c>
      <c r="V34" s="133">
        <f t="shared" si="13"/>
        <v>1.2082090221962125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" x14ac:dyDescent="0.3">
      <c r="A35" s="134"/>
      <c r="B35" s="130" t="s">
        <v>126</v>
      </c>
      <c r="C35" s="163" t="s">
        <v>391</v>
      </c>
      <c r="D35" s="163"/>
      <c r="E35" s="159">
        <f>F35*(H35/$H$72)</f>
        <v>0.87657058665830279</v>
      </c>
      <c r="F35" s="144">
        <f>'LPU 449 {E}'!A$16</f>
        <v>17.198919036775038</v>
      </c>
      <c r="G35" s="160" t="s">
        <v>368</v>
      </c>
      <c r="H35" s="258">
        <f>'LPU 449 {E}'!A$10</f>
        <v>12383400</v>
      </c>
      <c r="I35" s="259">
        <f>'LPU 449 {E}'!A$8</f>
        <v>231046.16999999993</v>
      </c>
      <c r="J35" s="259">
        <f>'LPU 449 {E}'!A$12</f>
        <v>4244408</v>
      </c>
      <c r="K35" s="259">
        <f>'LPU 449 {E}'!A$14</f>
        <v>1689319.34</v>
      </c>
      <c r="L35" s="259">
        <f>SUM('LPU 449 {E}'!Q$5:Q$1000)</f>
        <v>5933727.3399999999</v>
      </c>
      <c r="M35" s="259"/>
      <c r="N35" s="260">
        <f>'LPU 449 {E}'!A$18</f>
        <v>4750039.7299999995</v>
      </c>
      <c r="O35" s="259">
        <f>'LPU 449 {E}'!A$20</f>
        <v>6164773.5099999998</v>
      </c>
      <c r="P35" s="259">
        <f>SUM('LPU 449 {E}'!R$5:R$1000)</f>
        <v>0</v>
      </c>
      <c r="Q35" s="261">
        <f t="shared" si="10"/>
        <v>4447602.7434456926</v>
      </c>
      <c r="R35" s="261">
        <f t="shared" si="11"/>
        <v>5772259.8408239698</v>
      </c>
      <c r="S35" s="259">
        <f>SUM('LPU 449 {E}'!AM$5:AM$1000)</f>
        <v>14849716.099965215</v>
      </c>
      <c r="T35" s="259">
        <f>SUM('LPU 449 {E}'!AD$5:AD$1000)</f>
        <v>0</v>
      </c>
      <c r="U35" s="133">
        <f t="shared" si="12"/>
        <v>3.3388135039373346</v>
      </c>
      <c r="V35" s="133">
        <f t="shared" si="13"/>
        <v>2.8298600826032843</v>
      </c>
      <c r="W35" s="161"/>
      <c r="X35" s="161"/>
      <c r="Y35" s="161"/>
      <c r="Z35" s="161"/>
      <c r="AA35" s="161"/>
      <c r="AB35" s="161"/>
      <c r="AC35" s="514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" x14ac:dyDescent="0.3">
      <c r="A36" s="134"/>
      <c r="B36" s="130" t="s">
        <v>126</v>
      </c>
      <c r="C36" s="163" t="s">
        <v>392</v>
      </c>
      <c r="D36" s="163"/>
      <c r="E36" s="159"/>
      <c r="F36" s="144">
        <f>'LPU Non-449 {E}'!A$16</f>
        <v>14.181457557081773</v>
      </c>
      <c r="G36" s="160" t="s">
        <v>368</v>
      </c>
      <c r="H36" s="258">
        <f>'LPU Non-449 {E}'!A$10</f>
        <v>4936383</v>
      </c>
      <c r="I36" s="259">
        <f>'LPU Non-449 {E}'!A$8</f>
        <v>185197.62000000011</v>
      </c>
      <c r="J36" s="259">
        <f>'LPU Non-449 {E}'!A$12</f>
        <v>2572089.1800000002</v>
      </c>
      <c r="K36" s="259">
        <f>'LPU Non-449 {E}'!A$14</f>
        <v>1404987.6800000002</v>
      </c>
      <c r="L36" s="259">
        <f>SUM('LPU Non-449 {E}'!Q$5:Q$1000)</f>
        <v>3977076.86</v>
      </c>
      <c r="M36" s="259"/>
      <c r="N36" s="260">
        <f>'LPU Non-449 {E}'!A$18</f>
        <v>2723963.96</v>
      </c>
      <c r="O36" s="259">
        <f>'LPU Non-449 {E}'!A$20</f>
        <v>4162274.48</v>
      </c>
      <c r="P36" s="259">
        <f>SUM('LPU Non-449 {E}'!R$5:R$1000)</f>
        <v>0</v>
      </c>
      <c r="Q36" s="261">
        <f t="shared" si="10"/>
        <v>2550528.0524344565</v>
      </c>
      <c r="R36" s="261">
        <f t="shared" si="11"/>
        <v>3897260.7490636702</v>
      </c>
      <c r="S36" s="259">
        <f>SUM('LPU Non-449 {E}'!AM$5:AM$1000)</f>
        <v>5096816.1994268615</v>
      </c>
      <c r="T36" s="259">
        <f>SUM('LPU Non-449 {E}'!AD$5:AD$1000)</f>
        <v>0</v>
      </c>
      <c r="U36" s="133">
        <f t="shared" si="12"/>
        <v>1.9983376362247791</v>
      </c>
      <c r="V36" s="133">
        <f t="shared" si="13"/>
        <v>1.4385739575460861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x14ac:dyDescent="0.35">
      <c r="A37" s="134"/>
      <c r="B37" s="130" t="s">
        <v>67</v>
      </c>
      <c r="C37" s="509" t="s">
        <v>393</v>
      </c>
      <c r="D37" s="164"/>
      <c r="E37" s="165">
        <f>F37*(H37/$H$72)</f>
        <v>0</v>
      </c>
      <c r="F37" s="140"/>
      <c r="G37" s="141"/>
      <c r="H37" s="262">
        <f t="shared" ref="H37:O37" si="23">SUM(H38:H42)</f>
        <v>35094020.299999997</v>
      </c>
      <c r="I37" s="262">
        <f t="shared" si="23"/>
        <v>1999354.6199999999</v>
      </c>
      <c r="J37" s="262">
        <f t="shared" si="23"/>
        <v>8402250.1900000013</v>
      </c>
      <c r="K37" s="262">
        <f t="shared" si="23"/>
        <v>2895061.69</v>
      </c>
      <c r="L37" s="262">
        <f t="shared" si="23"/>
        <v>11297311.880000003</v>
      </c>
      <c r="M37" s="262">
        <f t="shared" si="23"/>
        <v>0</v>
      </c>
      <c r="N37" s="262">
        <f t="shared" si="23"/>
        <v>12122930.66</v>
      </c>
      <c r="O37" s="262">
        <f t="shared" si="23"/>
        <v>13296666.5</v>
      </c>
      <c r="P37" s="262">
        <f>SUM(P38:P42)</f>
        <v>30689.356199999998</v>
      </c>
      <c r="Q37" s="263">
        <f t="shared" si="10"/>
        <v>11351058.670411985</v>
      </c>
      <c r="R37" s="263">
        <f t="shared" si="11"/>
        <v>12450062.265917603</v>
      </c>
      <c r="S37" s="262">
        <f>SUM(S38:S42)</f>
        <v>34198031.330598168</v>
      </c>
      <c r="T37" s="262">
        <f>SUM(T38:T42)</f>
        <v>6130682.1784836352</v>
      </c>
      <c r="U37" s="142">
        <f>S37/Q37</f>
        <v>3.0127613928857397</v>
      </c>
      <c r="V37" s="142">
        <f>((S37*1.1)+(T37))/R37</f>
        <v>3.5139195055999379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" x14ac:dyDescent="0.3">
      <c r="A38" s="134"/>
      <c r="B38" s="130" t="s">
        <v>67</v>
      </c>
      <c r="C38" s="143" t="s">
        <v>394</v>
      </c>
      <c r="D38" s="143"/>
      <c r="E38" s="166"/>
      <c r="F38" s="144">
        <f>'Lighting to Go {E}'!A$16</f>
        <v>13.162852136251026</v>
      </c>
      <c r="G38" s="145"/>
      <c r="H38" s="258">
        <f>'Lighting to Go {E}'!A$10</f>
        <v>18550348</v>
      </c>
      <c r="I38" s="259">
        <f>'Lighting to Go {E}'!A$8</f>
        <v>369639.91000000015</v>
      </c>
      <c r="J38" s="259">
        <f>'Lighting to Go {E}'!A$12</f>
        <v>1863628.44</v>
      </c>
      <c r="K38" s="259">
        <f>'Lighting to Go {E}'!A$14</f>
        <v>2340033.79</v>
      </c>
      <c r="L38" s="259">
        <f>SUM('Lighting to Go {E}'!Q$5:Q$999)</f>
        <v>4203662.2300000004</v>
      </c>
      <c r="M38" s="259"/>
      <c r="N38" s="260">
        <f>'Lighting to Go {E}'!A$18</f>
        <v>2896512.2</v>
      </c>
      <c r="O38" s="259">
        <f>'Lighting to Go {E}'!A$20</f>
        <v>4573302.1400000006</v>
      </c>
      <c r="P38" s="259">
        <f>SUM('Lighting to Go {E}'!R$5:R$999)</f>
        <v>428.34200000000004</v>
      </c>
      <c r="Q38" s="261">
        <f t="shared" si="10"/>
        <v>2712090.0749063669</v>
      </c>
      <c r="R38" s="261">
        <f t="shared" si="11"/>
        <v>4282118.1086142324</v>
      </c>
      <c r="S38" s="259">
        <f>SUM('Lighting to Go {E}'!AM$5:AM$999)</f>
        <v>18175870.662017126</v>
      </c>
      <c r="T38" s="259">
        <f>SUM('Lighting to Go {E}'!AD$5:AD$999)</f>
        <v>1764417.454691241</v>
      </c>
      <c r="U38" s="133">
        <f t="shared" ref="U38:U43" si="24">IFERROR(S38/Q38,0)</f>
        <v>6.7017946159640864</v>
      </c>
      <c r="V38" s="133">
        <f t="shared" ref="V38:V43" si="25">IFERROR(((S38*1.1)+(T38))/R38,0)</f>
        <v>5.0811011352396598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" x14ac:dyDescent="0.3">
      <c r="A39" s="134"/>
      <c r="B39" s="130" t="s">
        <v>67</v>
      </c>
      <c r="C39" s="143" t="s">
        <v>2194</v>
      </c>
      <c r="D39" s="143"/>
      <c r="E39" s="159"/>
      <c r="F39" s="144">
        <f>'Commercial Foodservice {E}'!A$16</f>
        <v>12.627076720989637</v>
      </c>
      <c r="G39" s="160" t="s">
        <v>368</v>
      </c>
      <c r="H39" s="258">
        <f>'Commercial Foodservice {E}'!A$10</f>
        <v>1366081.44</v>
      </c>
      <c r="I39" s="259">
        <f>'Commercial Foodservice {E}'!A$8</f>
        <v>114844.71000000002</v>
      </c>
      <c r="J39" s="259">
        <f>'Commercial Foodservice {E}'!A$12</f>
        <v>258085</v>
      </c>
      <c r="K39" s="259">
        <f>'Commercial Foodservice {E}'!A$14</f>
        <v>-7156.0699999999961</v>
      </c>
      <c r="L39" s="259">
        <f>SUM('Commercial Foodservice {E}'!Q$5:Q$935)</f>
        <v>250928.93000000002</v>
      </c>
      <c r="M39" s="259"/>
      <c r="N39" s="260">
        <f>'Commercial Foodservice {E}'!A$18</f>
        <v>509446.65</v>
      </c>
      <c r="O39" s="259">
        <f>'Commercial Foodservice {E}'!A$20</f>
        <v>365773.64</v>
      </c>
      <c r="P39" s="259">
        <f>SUM('Commercial Foodservice {E}'!R$5:R$935)</f>
        <v>28154.3482</v>
      </c>
      <c r="Q39" s="261">
        <f t="shared" si="10"/>
        <v>477009.97191011236</v>
      </c>
      <c r="R39" s="261">
        <f t="shared" si="11"/>
        <v>342484.68164794007</v>
      </c>
      <c r="S39" s="259">
        <f>SUM('Commercial Foodservice {E}'!AM$5:AM$935)</f>
        <v>1281116.1318002138</v>
      </c>
      <c r="T39" s="259">
        <f>SUM('Commercial Foodservice {E}'!AD$5:AD$935)</f>
        <v>754013.04474210704</v>
      </c>
      <c r="U39" s="133">
        <f t="shared" si="24"/>
        <v>2.6857219078045333</v>
      </c>
      <c r="V39" s="133">
        <f t="shared" si="25"/>
        <v>6.3163140007121941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" x14ac:dyDescent="0.3">
      <c r="A40" s="134"/>
      <c r="B40" s="130" t="s">
        <v>67</v>
      </c>
      <c r="C40" s="143" t="s">
        <v>395</v>
      </c>
      <c r="D40" s="143"/>
      <c r="E40" s="159"/>
      <c r="F40" s="144">
        <f>'Commercial HVAC {E}'!A$16</f>
        <v>14.834256250056848</v>
      </c>
      <c r="G40" s="160" t="s">
        <v>368</v>
      </c>
      <c r="H40" s="258">
        <f>'Commercial HVAC {E}'!A$10</f>
        <v>650867.67999999993</v>
      </c>
      <c r="I40" s="259">
        <f>'Commercial HVAC {E}'!A$8</f>
        <v>93015.26999999999</v>
      </c>
      <c r="J40" s="259">
        <f>'Commercial HVAC {E}'!A$12</f>
        <v>139882.81</v>
      </c>
      <c r="K40" s="259">
        <f>'Commercial HVAC {E}'!A$14</f>
        <v>142880.72</v>
      </c>
      <c r="L40" s="259">
        <f>SUM('Commercial HVAC {E}'!Q$5:Q$1000)</f>
        <v>282763.53000000003</v>
      </c>
      <c r="M40" s="259"/>
      <c r="N40" s="260">
        <f>'Commercial HVAC {E}'!A$18</f>
        <v>232898.08</v>
      </c>
      <c r="O40" s="259">
        <f>'Commercial HVAC {E}'!A$20</f>
        <v>375778.80000000005</v>
      </c>
      <c r="P40" s="259">
        <f>SUM('Commercial HVAC {E}'!R$5:R$1000)</f>
        <v>0</v>
      </c>
      <c r="Q40" s="261">
        <f t="shared" si="10"/>
        <v>218069.36329588012</v>
      </c>
      <c r="R40" s="261">
        <f t="shared" si="11"/>
        <v>351852.80898876407</v>
      </c>
      <c r="S40" s="259">
        <f>SUM('Commercial HVAC {E}'!AM$5:AM$1000)</f>
        <v>701452.72062006476</v>
      </c>
      <c r="T40" s="259">
        <f>SUM('Commercial HVAC {E}'!AD$5:AD$1000)</f>
        <v>0</v>
      </c>
      <c r="U40" s="133">
        <f t="shared" si="24"/>
        <v>3.2166495559870194</v>
      </c>
      <c r="V40" s="133">
        <f t="shared" si="25"/>
        <v>2.1929567505789365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 ht="14" x14ac:dyDescent="0.3">
      <c r="A41" s="134"/>
      <c r="B41" s="130" t="s">
        <v>67</v>
      </c>
      <c r="C41" s="143" t="s">
        <v>396</v>
      </c>
      <c r="D41" s="143"/>
      <c r="E41" s="159"/>
      <c r="F41" s="144">
        <f>'Commercial Midstream {E}'!A$16</f>
        <v>14.866936420329409</v>
      </c>
      <c r="G41" s="160" t="s">
        <v>368</v>
      </c>
      <c r="H41" s="258">
        <f>'Commercial Midstream {E}'!A$10</f>
        <v>641573</v>
      </c>
      <c r="I41" s="259">
        <f>'Commercial Midstream {E}'!A$8</f>
        <v>95737.139999999956</v>
      </c>
      <c r="J41" s="259">
        <f>'Commercial Midstream {E}'!A$12</f>
        <v>366185</v>
      </c>
      <c r="K41" s="259">
        <f>'Commercial Midstream {E}'!A$14</f>
        <v>272016.42999999993</v>
      </c>
      <c r="L41" s="259">
        <f>SUM('Commercial Midstream {E}'!Q$5:Q$1000)</f>
        <v>638201.43000000017</v>
      </c>
      <c r="M41" s="259"/>
      <c r="N41" s="260">
        <f>'Commercial Midstream {E}'!A$18</f>
        <v>591541.21</v>
      </c>
      <c r="O41" s="259">
        <f>'Commercial Midstream {E}'!A$20</f>
        <v>733938.57000000007</v>
      </c>
      <c r="P41" s="259">
        <f>SUM('Commercial Midstream {E}'!R$5:R$1000)</f>
        <v>2.4750000000000001</v>
      </c>
      <c r="Q41" s="261">
        <f t="shared" si="10"/>
        <v>553877.53745318344</v>
      </c>
      <c r="R41" s="261">
        <f t="shared" si="11"/>
        <v>687208.39887640451</v>
      </c>
      <c r="S41" s="259">
        <f>SUM('Commercial Midstream {E}'!AM$5:AM$1000)</f>
        <v>813298.0499205204</v>
      </c>
      <c r="T41" s="259">
        <f>SUM('Commercial Midstream {E}'!AD$5:AD$1000)</f>
        <v>1800.5533027739118</v>
      </c>
      <c r="U41" s="133">
        <f t="shared" si="24"/>
        <v>1.4683716073054587</v>
      </c>
      <c r="V41" s="133">
        <f t="shared" si="25"/>
        <v>1.3044491448023912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21" customFormat="1" ht="14" x14ac:dyDescent="0.3">
      <c r="A42" s="134"/>
      <c r="B42" s="130" t="s">
        <v>67</v>
      </c>
      <c r="C42" s="143" t="s">
        <v>397</v>
      </c>
      <c r="D42" s="143"/>
      <c r="E42" s="159"/>
      <c r="F42" s="144">
        <f>'SBDI {E}'!A$16</f>
        <v>12.691959421068358</v>
      </c>
      <c r="G42" s="160" t="s">
        <v>368</v>
      </c>
      <c r="H42" s="258">
        <f>'SBDI {E}'!A$10</f>
        <v>13885150.18</v>
      </c>
      <c r="I42" s="259">
        <f>'SBDI {E}'!A$8</f>
        <v>1326117.5899999999</v>
      </c>
      <c r="J42" s="259">
        <f>'SBDI {E}'!A$12</f>
        <v>5774468.9400000013</v>
      </c>
      <c r="K42" s="259">
        <f>'SBDI {E}'!A$14</f>
        <v>147286.82</v>
      </c>
      <c r="L42" s="259">
        <f>SUM('SBDI {E}'!Q$5:Q$996)</f>
        <v>5921755.7600000007</v>
      </c>
      <c r="M42" s="259"/>
      <c r="N42" s="260">
        <f>'SBDI {E}'!A$18</f>
        <v>7892532.5199999996</v>
      </c>
      <c r="O42" s="259">
        <f>'SBDI {E}'!A$20</f>
        <v>7247873.3500000006</v>
      </c>
      <c r="P42" s="259">
        <f>SUM('SBDI {E}'!R$5:R$996)</f>
        <v>2104.1909999999998</v>
      </c>
      <c r="Q42" s="261">
        <f t="shared" si="10"/>
        <v>7390011.722846441</v>
      </c>
      <c r="R42" s="261">
        <f t="shared" si="11"/>
        <v>6786398.2677902626</v>
      </c>
      <c r="S42" s="259">
        <f>SUM('SBDI {E}'!AM$5:AM$996)</f>
        <v>13226293.766240241</v>
      </c>
      <c r="T42" s="259">
        <f>SUM('SBDI {E}'!AD$5:AD$996)</f>
        <v>3610451.1257475135</v>
      </c>
      <c r="U42" s="133">
        <f t="shared" si="24"/>
        <v>1.7897527449585446</v>
      </c>
      <c r="V42" s="133">
        <f t="shared" si="25"/>
        <v>2.6758485947988291</v>
      </c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</row>
    <row r="43" spans="1:425" s="21" customFormat="1" ht="14" x14ac:dyDescent="0.3">
      <c r="A43" s="134"/>
      <c r="B43" s="130" t="s">
        <v>67</v>
      </c>
      <c r="C43" s="143" t="s">
        <v>398</v>
      </c>
      <c r="D43" s="143"/>
      <c r="E43" s="159"/>
      <c r="F43" s="144">
        <f>'Lodging Rebates {E}'!A$16</f>
        <v>13.098163008909181</v>
      </c>
      <c r="G43" s="160" t="s">
        <v>368</v>
      </c>
      <c r="H43" s="258">
        <f>'Lodging Rebates {E}'!A$10</f>
        <v>1481281</v>
      </c>
      <c r="I43" s="259">
        <f>'Lodging Rebates {E}'!A$8</f>
        <v>96685</v>
      </c>
      <c r="J43" s="259">
        <f>'Lodging Rebates {E}'!A$12</f>
        <v>1556076.52</v>
      </c>
      <c r="K43" s="259">
        <f>'Lodging Rebates {E}'!A$14</f>
        <v>163130.87999999995</v>
      </c>
      <c r="L43" s="259">
        <f>SUM('Lodging Rebates {E}'!Q$5:Q$998)</f>
        <v>1719207.4</v>
      </c>
      <c r="M43" s="259"/>
      <c r="N43" s="260">
        <f>'Lodging Rebates {E}'!A$18</f>
        <v>1652761.52</v>
      </c>
      <c r="O43" s="259">
        <f>'Lodging Rebates {E}'!A$20</f>
        <v>1815892.4</v>
      </c>
      <c r="P43" s="259">
        <f>SUM('Lodging Rebates {E}'!R$5:R$998)</f>
        <v>0</v>
      </c>
      <c r="Q43" s="261">
        <f>N43/(1+ElecDiscountRate)^1</f>
        <v>1547529.5131086141</v>
      </c>
      <c r="R43" s="261">
        <f>O43/(1+ElecDiscountRate)^1</f>
        <v>1700273.7827715355</v>
      </c>
      <c r="S43" s="259">
        <f>SUM('Lodging Rebates {E}'!AM$5:AM$998)</f>
        <v>1706608.562039549</v>
      </c>
      <c r="T43" s="259">
        <f>SUM('Lodging Rebates {E}'!AD$5:AD$998)</f>
        <v>0</v>
      </c>
      <c r="U43" s="133">
        <f t="shared" si="24"/>
        <v>1.1027954863435097</v>
      </c>
      <c r="V43" s="133">
        <f t="shared" si="25"/>
        <v>1.1040983147922545</v>
      </c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C43" s="161"/>
      <c r="HD43" s="161"/>
      <c r="HE43" s="161"/>
      <c r="HF43" s="161"/>
      <c r="HG43" s="161"/>
      <c r="HH43" s="161"/>
      <c r="HI43" s="161"/>
      <c r="HJ43" s="161"/>
      <c r="HK43" s="161"/>
      <c r="HL43" s="161"/>
      <c r="HM43" s="161"/>
      <c r="HN43" s="161"/>
      <c r="HO43" s="161"/>
      <c r="HP43" s="161"/>
      <c r="HQ43" s="161"/>
      <c r="HR43" s="161"/>
      <c r="HS43" s="161"/>
      <c r="HT43" s="161"/>
      <c r="HU43" s="161"/>
      <c r="HV43" s="161"/>
      <c r="HW43" s="161"/>
      <c r="HX43" s="161"/>
      <c r="HY43" s="161"/>
      <c r="HZ43" s="161"/>
      <c r="IA43" s="161"/>
      <c r="IB43" s="161"/>
      <c r="IC43" s="161"/>
      <c r="ID43" s="161"/>
      <c r="IE43" s="161"/>
      <c r="IF43" s="161"/>
      <c r="IG43" s="161"/>
      <c r="IH43" s="161"/>
      <c r="II43" s="161"/>
      <c r="IJ43" s="161"/>
      <c r="IK43" s="161"/>
      <c r="IL43" s="161"/>
      <c r="IM43" s="161"/>
      <c r="IN43" s="161"/>
      <c r="IO43" s="161"/>
      <c r="IP43" s="161"/>
      <c r="IQ43" s="161"/>
      <c r="IR43" s="161"/>
      <c r="IS43" s="161"/>
      <c r="IT43" s="161"/>
      <c r="IU43" s="161"/>
      <c r="IV43" s="161"/>
      <c r="IW43" s="161"/>
      <c r="IX43" s="161"/>
      <c r="IY43" s="161"/>
      <c r="IZ43" s="161"/>
      <c r="JA43" s="161"/>
      <c r="JB43" s="161"/>
      <c r="JC43" s="161"/>
      <c r="JD43" s="161"/>
      <c r="JE43" s="161"/>
      <c r="JF43" s="161"/>
      <c r="JG43" s="161"/>
      <c r="JH43" s="161"/>
      <c r="JI43" s="161"/>
      <c r="JJ43" s="161"/>
      <c r="JK43" s="161"/>
      <c r="JL43" s="161"/>
      <c r="JM43" s="161"/>
      <c r="JN43" s="161"/>
      <c r="JO43" s="161"/>
      <c r="JP43" s="161"/>
      <c r="JQ43" s="161"/>
      <c r="JR43" s="161"/>
      <c r="JS43" s="161"/>
      <c r="JT43" s="161"/>
      <c r="JU43" s="161"/>
      <c r="JV43" s="161"/>
      <c r="JW43" s="161"/>
      <c r="JX43" s="161"/>
      <c r="JY43" s="161"/>
      <c r="JZ43" s="161"/>
      <c r="KA43" s="161"/>
      <c r="KB43" s="161"/>
      <c r="KC43" s="161"/>
      <c r="KD43" s="161"/>
      <c r="KE43" s="161"/>
      <c r="KF43" s="161"/>
      <c r="KG43" s="161"/>
      <c r="KH43" s="161"/>
      <c r="KI43" s="161"/>
      <c r="KJ43" s="161"/>
      <c r="KK43" s="161"/>
      <c r="KL43" s="161"/>
      <c r="KM43" s="161"/>
      <c r="KN43" s="161"/>
      <c r="KO43" s="161"/>
      <c r="KP43" s="161"/>
      <c r="KQ43" s="161"/>
      <c r="KR43" s="161"/>
      <c r="KS43" s="161"/>
      <c r="KT43" s="161"/>
      <c r="KU43" s="161"/>
      <c r="KV43" s="161"/>
      <c r="KW43" s="161"/>
      <c r="KX43" s="161"/>
      <c r="KY43" s="161"/>
      <c r="KZ43" s="161"/>
      <c r="LA43" s="161"/>
      <c r="LB43" s="161"/>
      <c r="LC43" s="161"/>
      <c r="LD43" s="161"/>
      <c r="LE43" s="161"/>
      <c r="LF43" s="161"/>
      <c r="LG43" s="161"/>
      <c r="LH43" s="161"/>
      <c r="LI43" s="161"/>
      <c r="LJ43" s="161"/>
      <c r="LK43" s="161"/>
      <c r="LL43" s="161"/>
      <c r="LM43" s="161"/>
      <c r="LN43" s="161"/>
      <c r="LO43" s="161"/>
      <c r="LP43" s="161"/>
      <c r="LQ43" s="161"/>
      <c r="LR43" s="161"/>
      <c r="LS43" s="161"/>
      <c r="LT43" s="161"/>
      <c r="LU43" s="161"/>
      <c r="LV43" s="161"/>
      <c r="LW43" s="161"/>
      <c r="LX43" s="161"/>
      <c r="LY43" s="161"/>
      <c r="LZ43" s="161"/>
      <c r="MA43" s="161"/>
      <c r="MB43" s="161"/>
      <c r="MC43" s="161"/>
      <c r="MD43" s="161"/>
      <c r="ME43" s="161"/>
      <c r="MF43" s="161"/>
      <c r="MG43" s="161"/>
      <c r="MH43" s="161"/>
      <c r="MI43" s="161"/>
      <c r="MJ43" s="161"/>
      <c r="MK43" s="161"/>
      <c r="ML43" s="161"/>
      <c r="MM43" s="161"/>
      <c r="MN43" s="161"/>
      <c r="MO43" s="161"/>
      <c r="MP43" s="161"/>
      <c r="MQ43" s="161"/>
      <c r="MR43" s="161"/>
      <c r="MS43" s="161"/>
      <c r="MT43" s="161"/>
      <c r="MU43" s="161"/>
      <c r="MV43" s="161"/>
      <c r="MW43" s="161"/>
      <c r="MX43" s="161"/>
      <c r="MY43" s="161"/>
      <c r="MZ43" s="161"/>
      <c r="NA43" s="161"/>
      <c r="NB43" s="161"/>
      <c r="NC43" s="161"/>
      <c r="ND43" s="161"/>
      <c r="NE43" s="161"/>
      <c r="NF43" s="161"/>
      <c r="NG43" s="161"/>
      <c r="NH43" s="161"/>
      <c r="NI43" s="161"/>
      <c r="NJ43" s="161"/>
      <c r="NK43" s="161"/>
      <c r="NL43" s="161"/>
      <c r="NM43" s="161"/>
      <c r="NN43" s="161"/>
      <c r="NO43" s="161"/>
      <c r="NP43" s="161"/>
      <c r="NQ43" s="161"/>
      <c r="NR43" s="161"/>
      <c r="NS43" s="161"/>
      <c r="NT43" s="161"/>
      <c r="NU43" s="161"/>
      <c r="NV43" s="161"/>
      <c r="NW43" s="161"/>
      <c r="NX43" s="161"/>
      <c r="NY43" s="161"/>
      <c r="NZ43" s="161"/>
      <c r="OA43" s="161"/>
      <c r="OB43" s="161"/>
      <c r="OC43" s="161"/>
      <c r="OD43" s="161"/>
      <c r="OE43" s="161"/>
      <c r="OF43" s="161"/>
      <c r="OG43" s="161"/>
      <c r="OH43" s="161"/>
      <c r="OI43" s="161"/>
      <c r="OJ43" s="161"/>
      <c r="OK43" s="161"/>
      <c r="OL43" s="161"/>
      <c r="OM43" s="161"/>
      <c r="ON43" s="161"/>
      <c r="OO43" s="161"/>
      <c r="OP43" s="161"/>
      <c r="OQ43" s="161"/>
      <c r="OR43" s="161"/>
      <c r="OS43" s="161"/>
      <c r="OT43" s="161"/>
      <c r="OU43" s="161"/>
      <c r="OV43" s="161"/>
      <c r="OW43" s="161"/>
      <c r="OX43" s="161"/>
      <c r="OY43" s="161"/>
      <c r="OZ43" s="161"/>
      <c r="PA43" s="161"/>
      <c r="PB43" s="161"/>
      <c r="PC43" s="161"/>
      <c r="PD43" s="161"/>
      <c r="PE43" s="161"/>
      <c r="PF43" s="161"/>
      <c r="PG43" s="161"/>
      <c r="PH43" s="161"/>
      <c r="PI43" s="161"/>
    </row>
    <row r="44" spans="1:425" s="156" customFormat="1" x14ac:dyDescent="0.35">
      <c r="A44" s="148"/>
      <c r="B44" s="149" t="s">
        <v>399</v>
      </c>
      <c r="C44" s="149"/>
      <c r="D44" s="149"/>
      <c r="E44" s="150"/>
      <c r="F44" s="151"/>
      <c r="G44" s="152"/>
      <c r="H44" s="153">
        <f t="shared" ref="H44:P44" si="26">SUM(H25:H36,H38:H43)</f>
        <v>134957493.30000001</v>
      </c>
      <c r="I44" s="153">
        <f t="shared" si="26"/>
        <v>10087484.050000001</v>
      </c>
      <c r="J44" s="153">
        <f t="shared" si="26"/>
        <v>33788859.25</v>
      </c>
      <c r="K44" s="153">
        <f t="shared" si="26"/>
        <v>24948394.809999999</v>
      </c>
      <c r="L44" s="153">
        <f t="shared" si="26"/>
        <v>58737254.060000002</v>
      </c>
      <c r="M44" s="153">
        <f t="shared" si="26"/>
        <v>0</v>
      </c>
      <c r="N44" s="153">
        <f t="shared" si="26"/>
        <v>45713706.749999993</v>
      </c>
      <c r="O44" s="153">
        <f t="shared" si="26"/>
        <v>68824738.109999999</v>
      </c>
      <c r="P44" s="153">
        <f t="shared" si="26"/>
        <v>30750.430199999999</v>
      </c>
      <c r="Q44" s="167">
        <f t="shared" si="10"/>
        <v>42803096.207865156</v>
      </c>
      <c r="R44" s="167">
        <f t="shared" si="11"/>
        <v>64442638.679775275</v>
      </c>
      <c r="S44" s="153">
        <f>SUM(S25:S36,S38:S43)</f>
        <v>122716171.64763923</v>
      </c>
      <c r="T44" s="153">
        <f>SUM(T25:T36,T38:T43)</f>
        <v>6146270.4437110089</v>
      </c>
      <c r="U44" s="168">
        <f>S44/Q44</f>
        <v>2.8669928701347049</v>
      </c>
      <c r="V44" s="168">
        <f>((S44*1.1)+(T44))/R44</f>
        <v>2.1900726312190533</v>
      </c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  <c r="IU44" s="155"/>
      <c r="IV44" s="155"/>
      <c r="IW44" s="155"/>
      <c r="IX44" s="155"/>
      <c r="IY44" s="155"/>
      <c r="IZ44" s="155"/>
      <c r="JA44" s="155"/>
      <c r="JB44" s="155"/>
      <c r="JC44" s="155"/>
      <c r="JD44" s="155"/>
      <c r="JE44" s="155"/>
      <c r="JF44" s="155"/>
      <c r="JG44" s="155"/>
      <c r="JH44" s="155"/>
      <c r="JI44" s="155"/>
      <c r="JJ44" s="155"/>
      <c r="JK44" s="155"/>
      <c r="JL44" s="155"/>
      <c r="JM44" s="155"/>
      <c r="JN44" s="155"/>
      <c r="JO44" s="155"/>
      <c r="JP44" s="155"/>
      <c r="JQ44" s="155"/>
      <c r="JR44" s="155"/>
      <c r="JS44" s="155"/>
      <c r="JT44" s="155"/>
      <c r="JU44" s="155"/>
      <c r="JV44" s="155"/>
      <c r="JW44" s="155"/>
      <c r="JX44" s="155"/>
      <c r="JY44" s="155"/>
      <c r="JZ44" s="155"/>
      <c r="KA44" s="155"/>
      <c r="KB44" s="155"/>
      <c r="KC44" s="155"/>
      <c r="KD44" s="155"/>
      <c r="KE44" s="155"/>
      <c r="KF44" s="155"/>
      <c r="KG44" s="155"/>
      <c r="KH44" s="155"/>
      <c r="KI44" s="155"/>
      <c r="KJ44" s="155"/>
      <c r="KK44" s="155"/>
      <c r="KL44" s="155"/>
      <c r="KM44" s="155"/>
      <c r="KN44" s="155"/>
      <c r="KO44" s="155"/>
      <c r="KP44" s="155"/>
      <c r="KQ44" s="155"/>
      <c r="KR44" s="155"/>
      <c r="KS44" s="155"/>
      <c r="KT44" s="155"/>
      <c r="KU44" s="155"/>
      <c r="KV44" s="155"/>
      <c r="KW44" s="155"/>
      <c r="KX44" s="155"/>
      <c r="KY44" s="155"/>
      <c r="KZ44" s="155"/>
      <c r="LA44" s="155"/>
      <c r="LB44" s="155"/>
      <c r="LC44" s="155"/>
      <c r="LD44" s="155"/>
      <c r="LE44" s="155"/>
      <c r="LF44" s="155"/>
      <c r="LG44" s="155"/>
      <c r="LH44" s="155"/>
      <c r="LI44" s="155"/>
      <c r="LJ44" s="155"/>
      <c r="LK44" s="155"/>
      <c r="LL44" s="155"/>
      <c r="LM44" s="155"/>
      <c r="LN44" s="155"/>
      <c r="LO44" s="155"/>
      <c r="LP44" s="155"/>
      <c r="LQ44" s="155"/>
      <c r="LR44" s="155"/>
      <c r="LS44" s="155"/>
      <c r="LT44" s="155"/>
      <c r="LU44" s="155"/>
      <c r="LV44" s="155"/>
      <c r="LW44" s="155"/>
      <c r="LX44" s="155"/>
      <c r="LY44" s="155"/>
      <c r="LZ44" s="155"/>
      <c r="MA44" s="155"/>
      <c r="MB44" s="155"/>
      <c r="MC44" s="155"/>
      <c r="MD44" s="155"/>
      <c r="ME44" s="155"/>
      <c r="MF44" s="155"/>
      <c r="MG44" s="155"/>
      <c r="MH44" s="155"/>
      <c r="MI44" s="155"/>
      <c r="MJ44" s="155"/>
      <c r="MK44" s="155"/>
      <c r="ML44" s="155"/>
      <c r="MM44" s="155"/>
      <c r="MN44" s="155"/>
      <c r="MO44" s="155"/>
      <c r="MP44" s="155"/>
      <c r="MQ44" s="155"/>
      <c r="MR44" s="155"/>
      <c r="MS44" s="155"/>
      <c r="MT44" s="155"/>
      <c r="MU44" s="155"/>
      <c r="MV44" s="155"/>
      <c r="MW44" s="155"/>
      <c r="MX44" s="155"/>
      <c r="MY44" s="155"/>
      <c r="MZ44" s="155"/>
      <c r="NA44" s="155"/>
      <c r="NB44" s="155"/>
      <c r="NC44" s="155"/>
      <c r="ND44" s="155"/>
      <c r="NE44" s="155"/>
      <c r="NF44" s="155"/>
      <c r="NG44" s="155"/>
      <c r="NH44" s="155"/>
      <c r="NI44" s="155"/>
      <c r="NJ44" s="155"/>
      <c r="NK44" s="155"/>
      <c r="NL44" s="155"/>
      <c r="NM44" s="155"/>
      <c r="NN44" s="155"/>
      <c r="NO44" s="155"/>
      <c r="NP44" s="155"/>
      <c r="NQ44" s="155"/>
      <c r="NR44" s="155"/>
      <c r="NS44" s="155"/>
      <c r="NT44" s="155"/>
      <c r="NU44" s="155"/>
      <c r="NV44" s="155"/>
      <c r="NW44" s="155"/>
      <c r="NX44" s="155"/>
      <c r="NY44" s="155"/>
      <c r="NZ44" s="155"/>
      <c r="OA44" s="155"/>
      <c r="OB44" s="155"/>
      <c r="OC44" s="155"/>
      <c r="OD44" s="155"/>
      <c r="OE44" s="155"/>
      <c r="OF44" s="155"/>
      <c r="OG44" s="155"/>
      <c r="OH44" s="155"/>
      <c r="OI44" s="155"/>
      <c r="OJ44" s="155"/>
      <c r="OK44" s="155"/>
      <c r="OL44" s="155"/>
      <c r="OM44" s="155"/>
      <c r="ON44" s="155"/>
      <c r="OO44" s="155"/>
      <c r="OP44" s="155"/>
      <c r="OQ44" s="155"/>
      <c r="OR44" s="155"/>
      <c r="OS44" s="155"/>
      <c r="OT44" s="155"/>
      <c r="OU44" s="155"/>
      <c r="OV44" s="155"/>
      <c r="OW44" s="155"/>
      <c r="OX44" s="155"/>
      <c r="OY44" s="155"/>
      <c r="OZ44" s="155"/>
      <c r="PA44" s="155"/>
      <c r="PB44" s="155"/>
      <c r="PC44" s="155"/>
      <c r="PD44" s="155"/>
      <c r="PE44" s="155"/>
      <c r="PF44" s="155"/>
      <c r="PG44" s="155"/>
      <c r="PH44" s="155"/>
      <c r="PI44" s="155"/>
    </row>
    <row r="45" spans="1:425" s="156" customFormat="1" x14ac:dyDescent="0.35">
      <c r="A45" s="148"/>
      <c r="B45" s="130" t="s">
        <v>400</v>
      </c>
      <c r="C45" s="147" t="s">
        <v>401</v>
      </c>
      <c r="D45" s="106"/>
      <c r="E45" s="169">
        <f>F45*(H45/$H$72)</f>
        <v>0</v>
      </c>
      <c r="F45" s="170">
        <v>0</v>
      </c>
      <c r="G45" s="160" t="s">
        <v>368</v>
      </c>
      <c r="H45" s="265">
        <f>'Residential Pilots {E}'!A10</f>
        <v>489261</v>
      </c>
      <c r="I45" s="265">
        <f>'Residential Pilots {E}'!A$8</f>
        <v>288302.47000000003</v>
      </c>
      <c r="J45" s="265">
        <f>'Residential Pilots {E}'!A$12</f>
        <v>80395</v>
      </c>
      <c r="K45" s="265">
        <f>'Residential Pilots {E}'!A$14</f>
        <v>80372.03</v>
      </c>
      <c r="L45" s="265">
        <f>SUM('Residential Pilots {E}'!Q$5:Q$997)</f>
        <v>160767.03</v>
      </c>
      <c r="M45" s="171"/>
      <c r="N45" s="260">
        <f>'Residential Pilots {E}'!A$18</f>
        <v>410122.26</v>
      </c>
      <c r="O45" s="259">
        <f>'Residential Pilots {E}'!A$20</f>
        <v>449069.5</v>
      </c>
      <c r="P45" s="259">
        <f>SUM('Residential Pilots {E}'!R$5:R$999)</f>
        <v>0</v>
      </c>
      <c r="Q45" s="266">
        <f t="shared" si="10"/>
        <v>384009.60674157302</v>
      </c>
      <c r="R45" s="266">
        <f t="shared" si="11"/>
        <v>420477.05992509361</v>
      </c>
      <c r="S45" s="259">
        <f>SUM('Residential Pilots {E}'!AM$5:AM$999)</f>
        <v>43237.93795036526</v>
      </c>
      <c r="T45" s="259">
        <f>SUM('Residential Pilots {E}'!AD$5:AD$999)</f>
        <v>0</v>
      </c>
      <c r="U45" s="133">
        <f>IFERROR(S45/Q45,0)</f>
        <v>0.11259597986949087</v>
      </c>
      <c r="V45" s="133">
        <f>IFERROR(((S45*1.1)+(T45))/R45,0)</f>
        <v>0.11311373741500839</v>
      </c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  <c r="IU45" s="155"/>
      <c r="IV45" s="155"/>
      <c r="IW45" s="155"/>
      <c r="IX45" s="155"/>
      <c r="IY45" s="155"/>
      <c r="IZ45" s="155"/>
      <c r="JA45" s="155"/>
      <c r="JB45" s="155"/>
      <c r="JC45" s="155"/>
      <c r="JD45" s="155"/>
      <c r="JE45" s="155"/>
      <c r="JF45" s="155"/>
      <c r="JG45" s="155"/>
      <c r="JH45" s="155"/>
      <c r="JI45" s="155"/>
      <c r="JJ45" s="155"/>
      <c r="JK45" s="155"/>
      <c r="JL45" s="155"/>
      <c r="JM45" s="155"/>
      <c r="JN45" s="155"/>
      <c r="JO45" s="155"/>
      <c r="JP45" s="155"/>
      <c r="JQ45" s="155"/>
      <c r="JR45" s="155"/>
      <c r="JS45" s="155"/>
      <c r="JT45" s="155"/>
      <c r="JU45" s="155"/>
      <c r="JV45" s="155"/>
      <c r="JW45" s="155"/>
      <c r="JX45" s="155"/>
      <c r="JY45" s="155"/>
      <c r="JZ45" s="155"/>
      <c r="KA45" s="155"/>
      <c r="KB45" s="155"/>
      <c r="KC45" s="155"/>
      <c r="KD45" s="155"/>
      <c r="KE45" s="155"/>
      <c r="KF45" s="155"/>
      <c r="KG45" s="155"/>
      <c r="KH45" s="155"/>
      <c r="KI45" s="155"/>
      <c r="KJ45" s="155"/>
      <c r="KK45" s="155"/>
      <c r="KL45" s="155"/>
      <c r="KM45" s="155"/>
      <c r="KN45" s="155"/>
      <c r="KO45" s="155"/>
      <c r="KP45" s="155"/>
      <c r="KQ45" s="155"/>
      <c r="KR45" s="155"/>
      <c r="KS45" s="155"/>
      <c r="KT45" s="155"/>
      <c r="KU45" s="155"/>
      <c r="KV45" s="155"/>
      <c r="KW45" s="155"/>
      <c r="KX45" s="155"/>
      <c r="KY45" s="155"/>
      <c r="KZ45" s="155"/>
      <c r="LA45" s="155"/>
      <c r="LB45" s="155"/>
      <c r="LC45" s="155"/>
      <c r="LD45" s="155"/>
      <c r="LE45" s="155"/>
      <c r="LF45" s="155"/>
      <c r="LG45" s="155"/>
      <c r="LH45" s="155"/>
      <c r="LI45" s="155"/>
      <c r="LJ45" s="155"/>
      <c r="LK45" s="155"/>
      <c r="LL45" s="155"/>
      <c r="LM45" s="155"/>
      <c r="LN45" s="155"/>
      <c r="LO45" s="155"/>
      <c r="LP45" s="155"/>
      <c r="LQ45" s="155"/>
      <c r="LR45" s="155"/>
      <c r="LS45" s="155"/>
      <c r="LT45" s="155"/>
      <c r="LU45" s="155"/>
      <c r="LV45" s="155"/>
      <c r="LW45" s="155"/>
      <c r="LX45" s="155"/>
      <c r="LY45" s="155"/>
      <c r="LZ45" s="155"/>
      <c r="MA45" s="155"/>
      <c r="MB45" s="155"/>
      <c r="MC45" s="155"/>
      <c r="MD45" s="155"/>
      <c r="ME45" s="155"/>
      <c r="MF45" s="155"/>
      <c r="MG45" s="155"/>
      <c r="MH45" s="155"/>
      <c r="MI45" s="155"/>
      <c r="MJ45" s="155"/>
      <c r="MK45" s="155"/>
      <c r="ML45" s="155"/>
      <c r="MM45" s="155"/>
      <c r="MN45" s="155"/>
      <c r="MO45" s="155"/>
      <c r="MP45" s="155"/>
      <c r="MQ45" s="155"/>
      <c r="MR45" s="155"/>
      <c r="MS45" s="155"/>
      <c r="MT45" s="155"/>
      <c r="MU45" s="155"/>
      <c r="MV45" s="155"/>
      <c r="MW45" s="155"/>
      <c r="MX45" s="155"/>
      <c r="MY45" s="155"/>
      <c r="MZ45" s="155"/>
      <c r="NA45" s="155"/>
      <c r="NB45" s="155"/>
      <c r="NC45" s="155"/>
      <c r="ND45" s="155"/>
      <c r="NE45" s="155"/>
      <c r="NF45" s="155"/>
      <c r="NG45" s="155"/>
      <c r="NH45" s="155"/>
      <c r="NI45" s="155"/>
      <c r="NJ45" s="155"/>
      <c r="NK45" s="155"/>
      <c r="NL45" s="155"/>
      <c r="NM45" s="155"/>
      <c r="NN45" s="155"/>
      <c r="NO45" s="155"/>
      <c r="NP45" s="155"/>
      <c r="NQ45" s="155"/>
      <c r="NR45" s="155"/>
      <c r="NS45" s="155"/>
      <c r="NT45" s="155"/>
      <c r="NU45" s="155"/>
      <c r="NV45" s="155"/>
      <c r="NW45" s="155"/>
      <c r="NX45" s="155"/>
      <c r="NY45" s="155"/>
      <c r="NZ45" s="155"/>
      <c r="OA45" s="155"/>
      <c r="OB45" s="155"/>
      <c r="OC45" s="155"/>
      <c r="OD45" s="155"/>
      <c r="OE45" s="155"/>
      <c r="OF45" s="155"/>
      <c r="OG45" s="155"/>
      <c r="OH45" s="155"/>
      <c r="OI45" s="155"/>
      <c r="OJ45" s="155"/>
      <c r="OK45" s="155"/>
      <c r="OL45" s="155"/>
      <c r="OM45" s="155"/>
      <c r="ON45" s="155"/>
      <c r="OO45" s="155"/>
      <c r="OP45" s="155"/>
      <c r="OQ45" s="155"/>
      <c r="OR45" s="155"/>
      <c r="OS45" s="155"/>
      <c r="OT45" s="155"/>
      <c r="OU45" s="155"/>
      <c r="OV45" s="155"/>
      <c r="OW45" s="155"/>
      <c r="OX45" s="155"/>
      <c r="OY45" s="155"/>
      <c r="OZ45" s="155"/>
      <c r="PA45" s="155"/>
      <c r="PB45" s="155"/>
      <c r="PC45" s="155"/>
      <c r="PD45" s="155"/>
      <c r="PE45" s="155"/>
      <c r="PF45" s="155"/>
      <c r="PG45" s="155"/>
      <c r="PH45" s="155"/>
      <c r="PI45" s="155"/>
    </row>
    <row r="46" spans="1:425" s="102" customFormat="1" x14ac:dyDescent="0.35">
      <c r="A46" s="134"/>
      <c r="B46" s="172" t="s">
        <v>303</v>
      </c>
      <c r="C46" s="147" t="s">
        <v>402</v>
      </c>
      <c r="D46" s="106"/>
      <c r="E46" s="169"/>
      <c r="F46" s="170">
        <v>0</v>
      </c>
      <c r="G46" s="160" t="s">
        <v>368</v>
      </c>
      <c r="H46" s="265">
        <f>'Commercial Pilots {E}'!A10</f>
        <v>470354</v>
      </c>
      <c r="I46" s="265">
        <f>'Commercial Pilots {E}'!A$8</f>
        <v>2467.1999999999998</v>
      </c>
      <c r="J46" s="265">
        <f>'Commercial Pilots {E}'!A$12</f>
        <v>98774.34</v>
      </c>
      <c r="K46" s="265">
        <f>'Commercial Pilots {E}'!A$14</f>
        <v>0</v>
      </c>
      <c r="L46" s="265">
        <f>SUM('Commercial Pilots {E}'!Q$5:Q$998)</f>
        <v>98774.34</v>
      </c>
      <c r="M46" s="173"/>
      <c r="N46" s="260">
        <f>'Commercial Pilots {E}'!A$18</f>
        <v>2467.1999999999998</v>
      </c>
      <c r="O46" s="259">
        <f>'Commercial Pilots {E}'!A$20</f>
        <v>101241.54</v>
      </c>
      <c r="P46" s="259">
        <f>SUM('Commercial Pilots {E}'!R$5:R$1000)</f>
        <v>0</v>
      </c>
      <c r="Q46" s="269">
        <f>N46/(1+ElecDiscountRate)^1</f>
        <v>2310.1123595505615</v>
      </c>
      <c r="R46" s="269">
        <f>O46/(1+ElecDiscountRate)^1</f>
        <v>94795.449438202239</v>
      </c>
      <c r="S46" s="259">
        <f>SUM('Commercial Pilots {E}'!AM$5:AM$1000)</f>
        <v>255516.60423592385</v>
      </c>
      <c r="T46" s="259">
        <f>SUM('Commercial Pilots {E}'!AD$5:AD$1000)</f>
        <v>0</v>
      </c>
      <c r="U46" s="133">
        <f>IFERROR(S46/Q46,0)</f>
        <v>110.60786856516161</v>
      </c>
      <c r="V46" s="133">
        <f>IFERROR(((S46*1.1)+(T46))/R46,0)</f>
        <v>2.9649974373795915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02" customFormat="1" x14ac:dyDescent="0.35">
      <c r="A47" s="134"/>
      <c r="B47" s="149" t="s">
        <v>403</v>
      </c>
      <c r="C47" s="149"/>
      <c r="D47" s="149"/>
      <c r="E47" s="150"/>
      <c r="F47" s="151"/>
      <c r="G47" s="152"/>
      <c r="H47" s="153">
        <f t="shared" ref="H47:O47" si="27">SUM(H45:H46)</f>
        <v>959615</v>
      </c>
      <c r="I47" s="153">
        <f t="shared" si="27"/>
        <v>290769.67000000004</v>
      </c>
      <c r="J47" s="153">
        <f t="shared" si="27"/>
        <v>179169.34</v>
      </c>
      <c r="K47" s="153">
        <f t="shared" si="27"/>
        <v>80372.03</v>
      </c>
      <c r="L47" s="153">
        <f t="shared" si="27"/>
        <v>259541.37</v>
      </c>
      <c r="M47" s="153">
        <f t="shared" si="27"/>
        <v>0</v>
      </c>
      <c r="N47" s="153">
        <f t="shared" si="27"/>
        <v>412589.46</v>
      </c>
      <c r="O47" s="153">
        <f t="shared" si="27"/>
        <v>550311.04</v>
      </c>
      <c r="P47" s="153">
        <f>SUM(P45:P46)</f>
        <v>0</v>
      </c>
      <c r="Q47" s="153">
        <f>SUM(Q45:Q46)</f>
        <v>386319.71910112357</v>
      </c>
      <c r="R47" s="153">
        <f>SUM(R45:R46)</f>
        <v>515272.50936329586</v>
      </c>
      <c r="S47" s="153">
        <f>SUM(S45:S46)</f>
        <v>298754.54218628909</v>
      </c>
      <c r="T47" s="153">
        <f>SUM(T45:T46)</f>
        <v>0</v>
      </c>
      <c r="U47" s="168">
        <f>S47/Q47</f>
        <v>0.77333495396357621</v>
      </c>
      <c r="V47" s="168">
        <f>((S47*1.1)+(T47))/R47</f>
        <v>0.6377790206797459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76" customFormat="1" x14ac:dyDescent="0.35">
      <c r="A48" s="102"/>
      <c r="B48" s="130" t="s">
        <v>404</v>
      </c>
      <c r="C48" s="174" t="s">
        <v>405</v>
      </c>
      <c r="D48" s="174"/>
      <c r="E48" s="169">
        <f>F48*(H48/$H$72)</f>
        <v>0.84105601567915278</v>
      </c>
      <c r="F48" s="144">
        <f>'Residential Lighting {E}'!A$16</f>
        <v>14.279652503499147</v>
      </c>
      <c r="G48" s="160" t="s">
        <v>406</v>
      </c>
      <c r="H48" s="258">
        <f>'NEEA {E}'!A10</f>
        <v>14310718.605800306</v>
      </c>
      <c r="I48" s="259">
        <f>'NEEA {E}'!A$8</f>
        <v>1072519.4100000001</v>
      </c>
      <c r="J48" s="259">
        <f>'NEEA {E}'!A$12</f>
        <v>0</v>
      </c>
      <c r="K48" s="259">
        <f>'NEEA {E}'!A$14</f>
        <v>0</v>
      </c>
      <c r="L48" s="259">
        <f>SUM('NEEA {E}'!Q$5:Q$1000)</f>
        <v>0</v>
      </c>
      <c r="M48" s="259"/>
      <c r="N48" s="260">
        <f>'NEEA {E}'!A$18</f>
        <v>4276053.2</v>
      </c>
      <c r="O48" s="259">
        <f>SUM(I48:K48)</f>
        <v>1072519.4100000001</v>
      </c>
      <c r="P48" s="259">
        <f>SUM('NEEA {E}'!R$5:R$1000)</f>
        <v>0</v>
      </c>
      <c r="Q48" s="261">
        <f>N48/(1+ElecDiscountRate)^1</f>
        <v>4003795.1310861423</v>
      </c>
      <c r="R48" s="261">
        <f>O48/(1+ElecDiscountRate)^1</f>
        <v>1004231.6573033709</v>
      </c>
      <c r="S48" s="259">
        <f>SUM('NEEA {E}'!AM$5:AM$1000)</f>
        <v>5708088.1985412408</v>
      </c>
      <c r="T48" s="259">
        <f>SUM('NEEA {E}'!AD$5:AD$1000)</f>
        <v>0</v>
      </c>
      <c r="U48" s="133">
        <f>IFERROR(S48/Q48,0)</f>
        <v>1.4256693990715656</v>
      </c>
      <c r="V48" s="133">
        <f>IFERROR(((S48*1.1)+(T48))/R48,0)</f>
        <v>6.2524388399145607</v>
      </c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76" customFormat="1" x14ac:dyDescent="0.35">
      <c r="A49" s="102"/>
      <c r="B49" s="130" t="s">
        <v>92</v>
      </c>
      <c r="C49" s="175" t="s">
        <v>407</v>
      </c>
      <c r="D49" s="175"/>
      <c r="E49" s="169">
        <f>F49*(H49/$H$72)</f>
        <v>0.18403232885744689</v>
      </c>
      <c r="F49" s="144">
        <f>'T&amp;D {E}'!A$16</f>
        <v>15</v>
      </c>
      <c r="G49" s="160" t="s">
        <v>406</v>
      </c>
      <c r="H49" s="258">
        <f>'T&amp;D {E}'!A$10</f>
        <v>2980966</v>
      </c>
      <c r="I49" s="259">
        <f>'T&amp;D {E}'!A$8</f>
        <v>0</v>
      </c>
      <c r="J49" s="259">
        <f>'T&amp;D {E}'!A$12</f>
        <v>0</v>
      </c>
      <c r="K49" s="259">
        <f>'T&amp;D {E}'!A$14</f>
        <v>182814</v>
      </c>
      <c r="L49" s="259">
        <f>SUM('T&amp;D {E}'!Q$5:Q$1000)</f>
        <v>182814</v>
      </c>
      <c r="M49" s="259"/>
      <c r="N49" s="260">
        <f>'T&amp;D {E}'!A$18</f>
        <v>0</v>
      </c>
      <c r="O49" s="259">
        <f>SUM(I49:K49)</f>
        <v>182814</v>
      </c>
      <c r="P49" s="259">
        <f>SUM('T&amp;D {E}'!R$5:R$1000)</f>
        <v>0</v>
      </c>
      <c r="Q49" s="261">
        <f>N49/(1+ElecDiscountRate)^1</f>
        <v>0</v>
      </c>
      <c r="R49" s="261">
        <f>O49/(1+ElecDiscountRate)^1</f>
        <v>171174.15730337077</v>
      </c>
      <c r="S49" s="259">
        <f>SUM('T&amp;D {E}'!AM$5:AM$1000)</f>
        <v>3208612.9945336571</v>
      </c>
      <c r="T49" s="259">
        <f>SUM('T&amp;D {E}'!AD$5:AD$1000)</f>
        <v>0</v>
      </c>
      <c r="U49" s="133">
        <f>IFERROR(S49/Q49,0)</f>
        <v>0</v>
      </c>
      <c r="V49" s="133">
        <f>IFERROR(((S49*1.1)+(T49))/R49,0)</f>
        <v>20.619200640969186</v>
      </c>
      <c r="W49" s="106"/>
      <c r="X49" s="106">
        <v>18230134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 x14ac:dyDescent="0.35">
      <c r="B50" s="172" t="s">
        <v>164</v>
      </c>
      <c r="C50" s="175" t="s">
        <v>408</v>
      </c>
      <c r="D50" s="175"/>
      <c r="E50" s="169"/>
      <c r="F50" s="144" t="e">
        <f>'TDSM {E}'!A$16</f>
        <v>#DIV/0!</v>
      </c>
      <c r="G50" s="160" t="s">
        <v>406</v>
      </c>
      <c r="H50" s="258">
        <f>'TDSM {E}'!A$10</f>
        <v>0</v>
      </c>
      <c r="I50" s="259">
        <f>'TDSM {E}'!A$8</f>
        <v>243127.72</v>
      </c>
      <c r="J50" s="259">
        <f>'TDSM {E}'!A$12</f>
        <v>0</v>
      </c>
      <c r="K50" s="259">
        <v>0</v>
      </c>
      <c r="L50" s="259">
        <v>0</v>
      </c>
      <c r="M50" s="259"/>
      <c r="N50" s="260">
        <f>'TDSM {E}'!A$18</f>
        <v>243127.72</v>
      </c>
      <c r="O50" s="259">
        <f>SUM(I50:K50)</f>
        <v>243127.72</v>
      </c>
      <c r="P50" s="259">
        <v>0</v>
      </c>
      <c r="Q50" s="266">
        <v>0</v>
      </c>
      <c r="R50" s="261">
        <f>O50/(1+ElecDiscountRate)^1</f>
        <v>227647.67790262171</v>
      </c>
      <c r="S50" s="259">
        <f>SUM('TDSM {E}'!AM$5:AM$1000)</f>
        <v>0</v>
      </c>
      <c r="T50" s="259">
        <v>0</v>
      </c>
      <c r="U50" s="133">
        <f>IFERROR(S50/Q50,0)</f>
        <v>0</v>
      </c>
      <c r="V50" s="133">
        <f>IFERROR(((S50*1.1)+(T50))/R50,0)</f>
        <v>0</v>
      </c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 x14ac:dyDescent="0.35">
      <c r="B51" s="177" t="s">
        <v>409</v>
      </c>
      <c r="C51" s="177"/>
      <c r="D51" s="177"/>
      <c r="E51" s="177"/>
      <c r="F51" s="178"/>
      <c r="G51" s="179"/>
      <c r="H51" s="180">
        <f>SUM(H48:H50)</f>
        <v>17291684.605800308</v>
      </c>
      <c r="I51" s="180">
        <f>SUM(I48:I50)</f>
        <v>1315647.1300000001</v>
      </c>
      <c r="J51" s="180">
        <f t="shared" ref="J51:T51" si="28">SUM(J48:J50)</f>
        <v>0</v>
      </c>
      <c r="K51" s="180">
        <f t="shared" si="28"/>
        <v>182814</v>
      </c>
      <c r="L51" s="180">
        <f t="shared" si="28"/>
        <v>182814</v>
      </c>
      <c r="M51" s="180">
        <f t="shared" si="28"/>
        <v>0</v>
      </c>
      <c r="N51" s="180">
        <f t="shared" si="28"/>
        <v>4519180.92</v>
      </c>
      <c r="O51" s="180">
        <f t="shared" si="28"/>
        <v>1498461.1300000001</v>
      </c>
      <c r="P51" s="180">
        <f>SUM(P48:P50)</f>
        <v>0</v>
      </c>
      <c r="Q51" s="180">
        <f t="shared" si="28"/>
        <v>4003795.1310861423</v>
      </c>
      <c r="R51" s="180">
        <f t="shared" si="28"/>
        <v>1403053.4925093632</v>
      </c>
      <c r="S51" s="180">
        <f t="shared" si="28"/>
        <v>8916701.1930748969</v>
      </c>
      <c r="T51" s="180">
        <f t="shared" si="28"/>
        <v>0</v>
      </c>
      <c r="U51" s="181">
        <f>S51/Q51</f>
        <v>2.2270622999274168</v>
      </c>
      <c r="V51" s="181">
        <f>((S51*1.1)+(T51))/R51</f>
        <v>6.9907322598514048</v>
      </c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 x14ac:dyDescent="0.35">
      <c r="B52" s="182"/>
      <c r="C52" s="183" t="s">
        <v>410</v>
      </c>
      <c r="D52" s="183"/>
      <c r="E52" s="184"/>
      <c r="F52" s="184"/>
      <c r="G52" s="185"/>
      <c r="H52" s="241"/>
      <c r="I52" s="242"/>
      <c r="J52" s="243"/>
      <c r="K52" s="186"/>
      <c r="L52" s="186"/>
      <c r="M52" s="186"/>
      <c r="N52" s="187"/>
      <c r="O52" s="187"/>
      <c r="P52" s="187"/>
      <c r="Q52" s="187"/>
      <c r="R52" s="187"/>
      <c r="S52" s="188"/>
      <c r="T52" s="189"/>
      <c r="U52" s="190"/>
      <c r="V52" s="190"/>
      <c r="W52" s="106"/>
      <c r="X52" s="106">
        <v>18230745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 x14ac:dyDescent="0.35">
      <c r="B53" s="191"/>
      <c r="C53" s="192" t="s">
        <v>411</v>
      </c>
      <c r="D53" s="191">
        <v>18230745</v>
      </c>
      <c r="E53" s="191"/>
      <c r="F53" s="191"/>
      <c r="G53" s="193"/>
      <c r="H53" s="191"/>
      <c r="I53" s="194">
        <f>SUMIF('Program Costs'!D:D,D53,'Program Costs'!N:N)</f>
        <v>977319.69</v>
      </c>
      <c r="J53" s="194"/>
      <c r="K53" s="191"/>
      <c r="L53" s="191"/>
      <c r="M53" s="191"/>
      <c r="N53" s="194">
        <f>I53</f>
        <v>977319.69</v>
      </c>
      <c r="O53" s="194">
        <f>I53</f>
        <v>977319.69</v>
      </c>
      <c r="P53" s="195"/>
      <c r="Q53" s="196">
        <f t="shared" ref="Q53:R55" si="29">N53/(1+ElecDiscountRate)^1</f>
        <v>915093.34269662912</v>
      </c>
      <c r="R53" s="196">
        <f t="shared" si="29"/>
        <v>915093.34269662912</v>
      </c>
      <c r="S53" s="191"/>
      <c r="T53" s="197"/>
      <c r="U53" s="191"/>
      <c r="V53" s="198"/>
      <c r="W53" s="106"/>
      <c r="X53" s="106">
        <v>18230507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102" customFormat="1" x14ac:dyDescent="0.35">
      <c r="B54" s="191"/>
      <c r="C54" s="199" t="s">
        <v>412</v>
      </c>
      <c r="D54" s="200">
        <v>18230507</v>
      </c>
      <c r="E54" s="201"/>
      <c r="F54" s="201"/>
      <c r="G54" s="202"/>
      <c r="H54" s="203"/>
      <c r="I54" s="194">
        <f>SUMIF('Program Costs'!D:D,D54,'Program Costs'!N:N)</f>
        <v>837766.34000000008</v>
      </c>
      <c r="J54" s="194"/>
      <c r="K54" s="204"/>
      <c r="L54" s="204"/>
      <c r="M54" s="204"/>
      <c r="N54" s="194">
        <f t="shared" ref="N54:N64" si="30">I54</f>
        <v>837766.34000000008</v>
      </c>
      <c r="O54" s="194">
        <f t="shared" ref="O54:O64" si="31">I54</f>
        <v>837766.34000000008</v>
      </c>
      <c r="P54" s="205"/>
      <c r="Q54" s="196">
        <f t="shared" si="29"/>
        <v>784425.41198501876</v>
      </c>
      <c r="R54" s="196">
        <f t="shared" si="29"/>
        <v>784425.41198501876</v>
      </c>
      <c r="S54" s="206"/>
      <c r="T54" s="206"/>
      <c r="U54" s="207"/>
      <c r="V54" s="207"/>
      <c r="W54" s="106"/>
      <c r="X54" s="106">
        <v>18230418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102" customFormat="1" x14ac:dyDescent="0.35">
      <c r="B55" s="191"/>
      <c r="C55" s="208" t="s">
        <v>413</v>
      </c>
      <c r="D55" s="209">
        <v>18230418</v>
      </c>
      <c r="E55" s="201"/>
      <c r="F55" s="201"/>
      <c r="G55" s="202"/>
      <c r="H55" s="203"/>
      <c r="I55" s="194">
        <f>SUMIF('Program Costs'!D:D,D55,'Program Costs'!N:N)</f>
        <v>552934.44999999995</v>
      </c>
      <c r="J55" s="194"/>
      <c r="K55" s="204"/>
      <c r="L55" s="204"/>
      <c r="M55" s="204"/>
      <c r="N55" s="194">
        <f t="shared" si="30"/>
        <v>552934.44999999995</v>
      </c>
      <c r="O55" s="194">
        <f t="shared" si="31"/>
        <v>552934.44999999995</v>
      </c>
      <c r="P55" s="196"/>
      <c r="Q55" s="196">
        <f t="shared" si="29"/>
        <v>517728.8857677902</v>
      </c>
      <c r="R55" s="196">
        <f t="shared" si="29"/>
        <v>517728.8857677902</v>
      </c>
      <c r="S55" s="206"/>
      <c r="T55" s="206"/>
      <c r="U55" s="207"/>
      <c r="V55" s="207"/>
      <c r="W55" s="106"/>
      <c r="X55" s="106">
        <v>18230810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214" customFormat="1" x14ac:dyDescent="0.35">
      <c r="A56" s="210"/>
      <c r="B56" s="191"/>
      <c r="C56" s="192" t="s">
        <v>414</v>
      </c>
      <c r="D56" s="191">
        <v>18230810</v>
      </c>
      <c r="E56" s="191"/>
      <c r="F56" s="191"/>
      <c r="G56" s="191"/>
      <c r="H56" s="191"/>
      <c r="I56" s="194">
        <f>SUMIF('Program Costs'!D:D,D56,'Program Costs'!N:N)</f>
        <v>500099.98</v>
      </c>
      <c r="J56" s="194"/>
      <c r="K56" s="191"/>
      <c r="L56" s="191"/>
      <c r="M56" s="191"/>
      <c r="N56" s="194">
        <f t="shared" si="30"/>
        <v>500099.98</v>
      </c>
      <c r="O56" s="194">
        <f t="shared" si="31"/>
        <v>500099.98</v>
      </c>
      <c r="P56" s="195"/>
      <c r="Q56" s="196">
        <f t="shared" ref="Q56:R58" si="32">N56/(1+ElecDiscountRate)^1</f>
        <v>468258.40823970031</v>
      </c>
      <c r="R56" s="196">
        <f t="shared" si="32"/>
        <v>468258.40823970031</v>
      </c>
      <c r="S56" s="191"/>
      <c r="T56" s="197"/>
      <c r="U56" s="191"/>
      <c r="V56" s="198"/>
      <c r="W56" s="106"/>
      <c r="X56" s="106">
        <v>18230730</v>
      </c>
      <c r="Y56" s="106"/>
      <c r="Z56" s="106"/>
      <c r="AA56" s="106"/>
      <c r="AB56" s="106"/>
      <c r="AC56" s="106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3"/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  <c r="DZ56" s="213"/>
      <c r="EA56" s="213"/>
      <c r="EB56" s="213"/>
      <c r="EC56" s="213"/>
      <c r="ED56" s="213"/>
      <c r="EE56" s="213"/>
      <c r="EF56" s="213"/>
      <c r="EG56" s="213"/>
      <c r="EH56" s="213"/>
      <c r="EI56" s="213"/>
      <c r="EJ56" s="213"/>
      <c r="EK56" s="213"/>
      <c r="EL56" s="213"/>
      <c r="EM56" s="213"/>
      <c r="EN56" s="213"/>
      <c r="EO56" s="213"/>
      <c r="EP56" s="213"/>
      <c r="EQ56" s="213"/>
      <c r="ER56" s="213"/>
      <c r="ES56" s="213"/>
      <c r="ET56" s="213"/>
      <c r="EU56" s="213"/>
      <c r="EV56" s="213"/>
      <c r="EW56" s="213"/>
      <c r="EX56" s="213"/>
      <c r="EY56" s="213"/>
      <c r="EZ56" s="213"/>
      <c r="FA56" s="213"/>
      <c r="FB56" s="213"/>
      <c r="FC56" s="213"/>
      <c r="FD56" s="213"/>
      <c r="FE56" s="213"/>
      <c r="FF56" s="213"/>
      <c r="FG56" s="213"/>
      <c r="FH56" s="213"/>
      <c r="FI56" s="213"/>
      <c r="FJ56" s="213"/>
      <c r="FK56" s="213"/>
      <c r="FL56" s="213"/>
      <c r="FM56" s="213"/>
      <c r="FN56" s="213"/>
      <c r="FO56" s="213"/>
      <c r="FP56" s="213"/>
      <c r="FQ56" s="213"/>
      <c r="FR56" s="213"/>
      <c r="FS56" s="213"/>
      <c r="FT56" s="213"/>
      <c r="FU56" s="213"/>
      <c r="FV56" s="213"/>
      <c r="FW56" s="213"/>
      <c r="FX56" s="213"/>
      <c r="FY56" s="213"/>
      <c r="FZ56" s="213"/>
      <c r="GA56" s="213"/>
      <c r="GB56" s="213"/>
      <c r="GC56" s="213"/>
      <c r="GD56" s="213"/>
      <c r="GE56" s="213"/>
      <c r="GF56" s="213"/>
      <c r="GG56" s="213"/>
      <c r="GH56" s="213"/>
      <c r="GI56" s="213"/>
      <c r="GJ56" s="213"/>
      <c r="GK56" s="213"/>
      <c r="GL56" s="213"/>
      <c r="GM56" s="213"/>
      <c r="GN56" s="213"/>
      <c r="GO56" s="213"/>
      <c r="GP56" s="213"/>
      <c r="GQ56" s="213"/>
      <c r="GR56" s="213"/>
      <c r="GS56" s="213"/>
      <c r="GT56" s="213"/>
      <c r="GU56" s="213"/>
      <c r="GV56" s="213"/>
      <c r="GW56" s="213"/>
      <c r="GX56" s="213"/>
      <c r="GY56" s="213"/>
      <c r="GZ56" s="213"/>
      <c r="HA56" s="213"/>
      <c r="HB56" s="213"/>
      <c r="HC56" s="213"/>
      <c r="HD56" s="213"/>
      <c r="HE56" s="213"/>
      <c r="HF56" s="213"/>
      <c r="HG56" s="213"/>
      <c r="HH56" s="213"/>
      <c r="HI56" s="213"/>
      <c r="HJ56" s="213"/>
      <c r="HK56" s="213"/>
      <c r="HL56" s="213"/>
      <c r="HM56" s="213"/>
      <c r="HN56" s="213"/>
      <c r="HO56" s="213"/>
      <c r="HP56" s="213"/>
      <c r="HQ56" s="213"/>
      <c r="HR56" s="213"/>
      <c r="HS56" s="213"/>
      <c r="HT56" s="213"/>
      <c r="HU56" s="213"/>
      <c r="HV56" s="213"/>
      <c r="HW56" s="213"/>
      <c r="HX56" s="213"/>
      <c r="HY56" s="213"/>
      <c r="HZ56" s="213"/>
      <c r="IA56" s="213"/>
      <c r="IB56" s="213"/>
      <c r="IC56" s="213"/>
      <c r="ID56" s="213"/>
      <c r="IE56" s="213"/>
      <c r="IF56" s="213"/>
      <c r="IG56" s="213"/>
      <c r="IH56" s="213"/>
      <c r="II56" s="213"/>
      <c r="IJ56" s="213"/>
      <c r="IK56" s="213"/>
      <c r="IL56" s="213"/>
      <c r="IM56" s="213"/>
      <c r="IN56" s="213"/>
      <c r="IO56" s="213"/>
      <c r="IP56" s="213"/>
      <c r="IQ56" s="213"/>
      <c r="IR56" s="213"/>
      <c r="IS56" s="213"/>
      <c r="IT56" s="213"/>
      <c r="IU56" s="213"/>
      <c r="IV56" s="213"/>
      <c r="IW56" s="213"/>
      <c r="IX56" s="213"/>
      <c r="IY56" s="213"/>
      <c r="IZ56" s="213"/>
      <c r="JA56" s="213"/>
      <c r="JB56" s="213"/>
      <c r="JC56" s="213"/>
      <c r="JD56" s="213"/>
      <c r="JE56" s="213"/>
      <c r="JF56" s="213"/>
      <c r="JG56" s="213"/>
      <c r="JH56" s="213"/>
      <c r="JI56" s="213"/>
      <c r="JJ56" s="213"/>
      <c r="JK56" s="213"/>
      <c r="JL56" s="213"/>
      <c r="JM56" s="213"/>
      <c r="JN56" s="213"/>
      <c r="JO56" s="213"/>
      <c r="JP56" s="213"/>
      <c r="JQ56" s="213"/>
      <c r="JR56" s="213"/>
      <c r="JS56" s="213"/>
      <c r="JT56" s="213"/>
      <c r="JU56" s="213"/>
      <c r="JV56" s="213"/>
      <c r="JW56" s="213"/>
      <c r="JX56" s="213"/>
      <c r="JY56" s="213"/>
      <c r="JZ56" s="213"/>
      <c r="KA56" s="213"/>
      <c r="KB56" s="213"/>
      <c r="KC56" s="213"/>
      <c r="KD56" s="213"/>
      <c r="KE56" s="213"/>
      <c r="KF56" s="213"/>
      <c r="KG56" s="213"/>
      <c r="KH56" s="213"/>
      <c r="KI56" s="213"/>
      <c r="KJ56" s="213"/>
      <c r="KK56" s="213"/>
      <c r="KL56" s="213"/>
      <c r="KM56" s="213"/>
      <c r="KN56" s="213"/>
      <c r="KO56" s="213"/>
      <c r="KP56" s="213"/>
      <c r="KQ56" s="213"/>
      <c r="KR56" s="213"/>
      <c r="KS56" s="213"/>
      <c r="KT56" s="213"/>
      <c r="KU56" s="213"/>
      <c r="KV56" s="213"/>
      <c r="KW56" s="213"/>
      <c r="KX56" s="213"/>
      <c r="KY56" s="213"/>
      <c r="KZ56" s="213"/>
      <c r="LA56" s="213"/>
      <c r="LB56" s="213"/>
      <c r="LC56" s="213"/>
      <c r="LD56" s="213"/>
      <c r="LE56" s="213"/>
      <c r="LF56" s="213"/>
      <c r="LG56" s="213"/>
      <c r="LH56" s="213"/>
      <c r="LI56" s="213"/>
      <c r="LJ56" s="213"/>
      <c r="LK56" s="213"/>
      <c r="LL56" s="213"/>
      <c r="LM56" s="213"/>
      <c r="LN56" s="213"/>
      <c r="LO56" s="213"/>
      <c r="LP56" s="213"/>
      <c r="LQ56" s="213"/>
      <c r="LR56" s="213"/>
      <c r="LS56" s="213"/>
      <c r="LT56" s="213"/>
      <c r="LU56" s="213"/>
      <c r="LV56" s="213"/>
      <c r="LW56" s="213"/>
      <c r="LX56" s="213"/>
      <c r="LY56" s="213"/>
      <c r="LZ56" s="213"/>
      <c r="MA56" s="213"/>
      <c r="MB56" s="213"/>
      <c r="MC56" s="213"/>
      <c r="MD56" s="213"/>
      <c r="ME56" s="213"/>
      <c r="MF56" s="213"/>
      <c r="MG56" s="213"/>
      <c r="MH56" s="213"/>
      <c r="MI56" s="213"/>
      <c r="MJ56" s="213"/>
      <c r="MK56" s="213"/>
      <c r="ML56" s="213"/>
      <c r="MM56" s="213"/>
      <c r="MN56" s="213"/>
      <c r="MO56" s="213"/>
      <c r="MP56" s="213"/>
      <c r="MQ56" s="213"/>
      <c r="MR56" s="213"/>
      <c r="MS56" s="213"/>
      <c r="MT56" s="213"/>
      <c r="MU56" s="213"/>
      <c r="MV56" s="213"/>
      <c r="MW56" s="213"/>
      <c r="MX56" s="213"/>
      <c r="MY56" s="213"/>
      <c r="MZ56" s="213"/>
      <c r="NA56" s="213"/>
      <c r="NB56" s="213"/>
      <c r="NC56" s="213"/>
      <c r="ND56" s="213"/>
      <c r="NE56" s="213"/>
      <c r="NF56" s="213"/>
      <c r="NG56" s="213"/>
      <c r="NH56" s="213"/>
      <c r="NI56" s="213"/>
      <c r="NJ56" s="213"/>
      <c r="NK56" s="213"/>
      <c r="NL56" s="213"/>
      <c r="NM56" s="213"/>
      <c r="NN56" s="213"/>
      <c r="NO56" s="213"/>
      <c r="NP56" s="213"/>
      <c r="NQ56" s="213"/>
      <c r="NR56" s="213"/>
      <c r="NS56" s="213"/>
      <c r="NT56" s="213"/>
      <c r="NU56" s="213"/>
      <c r="NV56" s="213"/>
      <c r="NW56" s="213"/>
      <c r="NX56" s="213"/>
      <c r="NY56" s="213"/>
      <c r="NZ56" s="213"/>
      <c r="OA56" s="213"/>
      <c r="OB56" s="213"/>
      <c r="OC56" s="213"/>
      <c r="OD56" s="213"/>
      <c r="OE56" s="213"/>
      <c r="OF56" s="213"/>
      <c r="OG56" s="213"/>
      <c r="OH56" s="213"/>
      <c r="OI56" s="213"/>
      <c r="OJ56" s="213"/>
      <c r="OK56" s="213"/>
      <c r="OL56" s="213"/>
      <c r="OM56" s="213"/>
      <c r="ON56" s="213"/>
      <c r="OO56" s="213"/>
      <c r="OP56" s="213"/>
      <c r="OQ56" s="213"/>
      <c r="OR56" s="213"/>
      <c r="OS56" s="213"/>
      <c r="OT56" s="213"/>
      <c r="OU56" s="213"/>
      <c r="OV56" s="213"/>
      <c r="OW56" s="213"/>
      <c r="OX56" s="213"/>
      <c r="OY56" s="213"/>
      <c r="OZ56" s="213"/>
      <c r="PA56" s="213"/>
      <c r="PB56" s="213"/>
      <c r="PC56" s="213"/>
      <c r="PD56" s="213"/>
      <c r="PE56" s="213"/>
      <c r="PF56" s="213"/>
      <c r="PG56" s="213"/>
      <c r="PH56" s="213"/>
      <c r="PI56" s="213"/>
    </row>
    <row r="57" spans="1:425" s="102" customFormat="1" x14ac:dyDescent="0.35">
      <c r="B57" s="191"/>
      <c r="C57" s="211" t="s">
        <v>415</v>
      </c>
      <c r="D57" s="212">
        <v>18230730</v>
      </c>
      <c r="E57" s="191"/>
      <c r="F57" s="191"/>
      <c r="G57" s="191"/>
      <c r="H57" s="191"/>
      <c r="I57" s="194">
        <f>SUMIF('Program Costs'!D:D,D57,'Program Costs'!N:N)</f>
        <v>233933.38</v>
      </c>
      <c r="J57" s="194"/>
      <c r="K57" s="191"/>
      <c r="L57" s="191"/>
      <c r="M57" s="191"/>
      <c r="N57" s="194">
        <f t="shared" si="30"/>
        <v>233933.38</v>
      </c>
      <c r="O57" s="194">
        <f t="shared" si="31"/>
        <v>233933.38</v>
      </c>
      <c r="P57" s="195"/>
      <c r="Q57" s="196">
        <f t="shared" si="32"/>
        <v>219038.74531835204</v>
      </c>
      <c r="R57" s="196">
        <f t="shared" si="32"/>
        <v>219038.74531835204</v>
      </c>
      <c r="S57" s="191"/>
      <c r="T57" s="197"/>
      <c r="U57" s="191"/>
      <c r="V57" s="198"/>
      <c r="W57" s="106"/>
      <c r="X57" s="106">
        <v>18230746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 x14ac:dyDescent="0.35">
      <c r="B58" s="191"/>
      <c r="C58" s="211" t="s">
        <v>416</v>
      </c>
      <c r="D58" s="212">
        <v>18230746</v>
      </c>
      <c r="E58" s="191"/>
      <c r="F58" s="191"/>
      <c r="G58" s="191"/>
      <c r="H58" s="191"/>
      <c r="I58" s="194">
        <f>SUMIF('Program Costs'!D:D,D58,'Program Costs'!N:N)</f>
        <v>-99065.25999999998</v>
      </c>
      <c r="J58" s="194"/>
      <c r="K58" s="191"/>
      <c r="L58" s="191"/>
      <c r="M58" s="191"/>
      <c r="N58" s="194">
        <f t="shared" si="30"/>
        <v>-99065.25999999998</v>
      </c>
      <c r="O58" s="194">
        <f t="shared" si="31"/>
        <v>-99065.25999999998</v>
      </c>
      <c r="P58" s="195"/>
      <c r="Q58" s="196">
        <f t="shared" si="32"/>
        <v>-92757.734082396986</v>
      </c>
      <c r="R58" s="196">
        <f t="shared" si="32"/>
        <v>-92757.734082396986</v>
      </c>
      <c r="S58" s="191"/>
      <c r="T58" s="197"/>
      <c r="U58" s="191"/>
      <c r="V58" s="198"/>
      <c r="W58" s="106"/>
      <c r="X58" s="106">
        <v>18230411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 x14ac:dyDescent="0.35">
      <c r="B59" s="191"/>
      <c r="C59" s="211" t="s">
        <v>417</v>
      </c>
      <c r="D59" s="212">
        <v>18230411</v>
      </c>
      <c r="E59" s="191"/>
      <c r="F59" s="191"/>
      <c r="G59" s="191"/>
      <c r="H59" s="191"/>
      <c r="I59" s="194">
        <f>SUMIF('Program Costs'!D:D,D59,'Program Costs'!N:N)</f>
        <v>3344401.79</v>
      </c>
      <c r="J59" s="194"/>
      <c r="K59" s="191"/>
      <c r="L59" s="191"/>
      <c r="M59" s="191"/>
      <c r="N59" s="194">
        <f t="shared" si="30"/>
        <v>3344401.79</v>
      </c>
      <c r="O59" s="194">
        <f t="shared" si="31"/>
        <v>3344401.79</v>
      </c>
      <c r="P59" s="195"/>
      <c r="Q59" s="196">
        <f t="shared" ref="Q59:Q64" si="33">N59/(1+ElecDiscountRate)^1</f>
        <v>3131462.3501872658</v>
      </c>
      <c r="R59" s="196">
        <f t="shared" ref="R59:R64" si="34">O59/(1+ElecDiscountRate)^1</f>
        <v>3131462.3501872658</v>
      </c>
      <c r="S59" s="191"/>
      <c r="T59" s="197"/>
      <c r="U59" s="191"/>
      <c r="V59" s="198"/>
      <c r="W59" s="106"/>
      <c r="X59" s="106">
        <v>18230610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 x14ac:dyDescent="0.35">
      <c r="A60" s="134"/>
      <c r="B60" s="191"/>
      <c r="C60" s="215" t="s">
        <v>418</v>
      </c>
      <c r="D60" s="216">
        <v>18230610</v>
      </c>
      <c r="E60" s="201"/>
      <c r="F60" s="201"/>
      <c r="G60" s="202"/>
      <c r="H60" s="203"/>
      <c r="I60" s="194">
        <f>SUMIF('Program Costs'!D:D,D60,'Program Costs'!N:N)</f>
        <v>1062064.4700000002</v>
      </c>
      <c r="J60" s="194"/>
      <c r="K60" s="204"/>
      <c r="L60" s="204"/>
      <c r="M60" s="204"/>
      <c r="N60" s="194">
        <f t="shared" si="30"/>
        <v>1062064.4700000002</v>
      </c>
      <c r="O60" s="194">
        <f t="shared" si="31"/>
        <v>1062064.4700000002</v>
      </c>
      <c r="P60" s="196"/>
      <c r="Q60" s="196">
        <f t="shared" si="33"/>
        <v>994442.38764044957</v>
      </c>
      <c r="R60" s="196">
        <f t="shared" si="34"/>
        <v>994442.38764044957</v>
      </c>
      <c r="S60" s="206"/>
      <c r="T60" s="206"/>
      <c r="U60" s="207"/>
      <c r="V60" s="207"/>
      <c r="W60" s="106"/>
      <c r="X60" s="106">
        <v>18230811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 x14ac:dyDescent="0.35">
      <c r="B61" s="191"/>
      <c r="C61" s="192" t="s">
        <v>419</v>
      </c>
      <c r="D61" s="191">
        <v>18230811</v>
      </c>
      <c r="E61" s="191"/>
      <c r="F61" s="191"/>
      <c r="G61" s="191"/>
      <c r="H61" s="191"/>
      <c r="I61" s="194">
        <f>SUMIF('Program Costs'!D:D,D61,'Program Costs'!N:N)</f>
        <v>904421.01</v>
      </c>
      <c r="J61" s="194"/>
      <c r="K61" s="191"/>
      <c r="L61" s="191"/>
      <c r="M61" s="191"/>
      <c r="N61" s="194">
        <f t="shared" si="30"/>
        <v>904421.01</v>
      </c>
      <c r="O61" s="194">
        <f t="shared" si="31"/>
        <v>904421.01</v>
      </c>
      <c r="P61" s="195"/>
      <c r="Q61" s="196">
        <f t="shared" si="33"/>
        <v>846836.15168539318</v>
      </c>
      <c r="R61" s="196">
        <f t="shared" si="34"/>
        <v>846836.15168539318</v>
      </c>
      <c r="S61" s="191"/>
      <c r="T61" s="197"/>
      <c r="U61" s="191"/>
      <c r="V61" s="198"/>
      <c r="W61" s="106"/>
      <c r="X61" s="106">
        <v>18230508</v>
      </c>
      <c r="Y61" s="106">
        <v>18230408</v>
      </c>
      <c r="Z61" s="106">
        <v>18230400</v>
      </c>
      <c r="AA61" s="106">
        <v>18230509</v>
      </c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 x14ac:dyDescent="0.35">
      <c r="B62" s="191"/>
      <c r="C62" s="215" t="s">
        <v>420</v>
      </c>
      <c r="D62" s="217"/>
      <c r="E62" s="201"/>
      <c r="F62" s="201"/>
      <c r="G62" s="202"/>
      <c r="H62" s="203"/>
      <c r="I62" s="194">
        <f>SUMIF('Program Costs'!D:D,X61,'Program Costs'!N:N)+SUMIF('Program Costs'!D:D,Y61,'Program Costs'!N:N)+SUMIF('Program Costs'!D:D,Z61,'Program Costs'!N:N)+SUMIF('Program Costs'!D:D,AA61,'Program Costs'!N:N)</f>
        <v>1497274.18</v>
      </c>
      <c r="J62" s="194"/>
      <c r="K62" s="204"/>
      <c r="L62" s="204"/>
      <c r="M62" s="204"/>
      <c r="N62" s="194">
        <f t="shared" si="30"/>
        <v>1497274.18</v>
      </c>
      <c r="O62" s="194">
        <f t="shared" si="31"/>
        <v>1497274.18</v>
      </c>
      <c r="P62" s="196"/>
      <c r="Q62" s="196">
        <f t="shared" si="33"/>
        <v>1401942.1161048687</v>
      </c>
      <c r="R62" s="196">
        <f t="shared" si="34"/>
        <v>1401942.1161048687</v>
      </c>
      <c r="S62" s="206"/>
      <c r="T62" s="206"/>
      <c r="U62" s="207"/>
      <c r="V62" s="207"/>
      <c r="W62" s="106"/>
      <c r="X62" s="106">
        <v>18230466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 x14ac:dyDescent="0.35">
      <c r="B63" s="191"/>
      <c r="C63" s="192" t="s">
        <v>421</v>
      </c>
      <c r="D63" s="191">
        <v>18230466</v>
      </c>
      <c r="E63" s="201"/>
      <c r="F63" s="201"/>
      <c r="G63" s="202"/>
      <c r="H63" s="203"/>
      <c r="I63" s="194">
        <f>SUMIF('Program Costs'!D:D,D63,'Program Costs'!N:N)</f>
        <v>1303856.1399999999</v>
      </c>
      <c r="J63" s="194"/>
      <c r="K63" s="218"/>
      <c r="L63" s="218"/>
      <c r="M63" s="218"/>
      <c r="N63" s="194">
        <f t="shared" si="30"/>
        <v>1303856.1399999999</v>
      </c>
      <c r="O63" s="194">
        <f t="shared" si="31"/>
        <v>1303856.1399999999</v>
      </c>
      <c r="P63" s="219"/>
      <c r="Q63" s="196">
        <f t="shared" si="33"/>
        <v>1220839.0823970037</v>
      </c>
      <c r="R63" s="196">
        <f t="shared" si="34"/>
        <v>1220839.0823970037</v>
      </c>
      <c r="S63" s="219"/>
      <c r="T63" s="194"/>
      <c r="U63" s="207"/>
      <c r="V63" s="207"/>
      <c r="W63" s="106"/>
      <c r="X63" s="106">
        <v>18230487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 x14ac:dyDescent="0.35">
      <c r="B64" s="191"/>
      <c r="C64" s="215" t="s">
        <v>422</v>
      </c>
      <c r="D64" s="216">
        <v>18230487</v>
      </c>
      <c r="E64" s="201"/>
      <c r="F64" s="201"/>
      <c r="G64" s="202"/>
      <c r="H64" s="203"/>
      <c r="I64" s="194">
        <f>SUMIF('Program Costs'!D:D,D64,'Program Costs'!N:N)</f>
        <v>621295.46</v>
      </c>
      <c r="J64" s="194"/>
      <c r="K64" s="204"/>
      <c r="L64" s="204"/>
      <c r="M64" s="204"/>
      <c r="N64" s="194">
        <f t="shared" si="30"/>
        <v>621295.46</v>
      </c>
      <c r="O64" s="194">
        <f t="shared" si="31"/>
        <v>621295.46</v>
      </c>
      <c r="P64" s="196"/>
      <c r="Q64" s="196">
        <f t="shared" si="33"/>
        <v>581737.3220973782</v>
      </c>
      <c r="R64" s="196">
        <f t="shared" si="34"/>
        <v>581737.3220973782</v>
      </c>
      <c r="S64" s="20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 x14ac:dyDescent="0.35">
      <c r="B65" s="137"/>
      <c r="C65" s="137" t="s">
        <v>423</v>
      </c>
      <c r="D65" s="137"/>
      <c r="E65" s="137"/>
      <c r="F65" s="137"/>
      <c r="G65" s="137"/>
      <c r="H65" s="137">
        <f>SUM(H60:H64)</f>
        <v>0</v>
      </c>
      <c r="I65" s="220">
        <f>SUM(I53:I64)</f>
        <v>11736301.629999999</v>
      </c>
      <c r="J65" s="137">
        <f>SUM(J53:J64)</f>
        <v>0</v>
      </c>
      <c r="K65" s="137">
        <f>SUM(K60:K64)</f>
        <v>0</v>
      </c>
      <c r="L65" s="137">
        <f>SUM(L60:L64)</f>
        <v>0</v>
      </c>
      <c r="M65" s="137">
        <f>SUM(M60:M64)</f>
        <v>0</v>
      </c>
      <c r="N65" s="221">
        <f>SUM(N53:N64)</f>
        <v>11736301.629999999</v>
      </c>
      <c r="O65" s="221">
        <f>SUM(O53:O64)</f>
        <v>11736301.629999999</v>
      </c>
      <c r="P65" s="221">
        <f>SUM(P53:P64)</f>
        <v>0</v>
      </c>
      <c r="Q65" s="221">
        <f>SUM(Q53:Q64)</f>
        <v>10989046.470037451</v>
      </c>
      <c r="R65" s="221">
        <f>SUM(R53:R64)</f>
        <v>10989046.470037451</v>
      </c>
      <c r="S65" s="137">
        <f>SUM(S60:S64)</f>
        <v>0</v>
      </c>
      <c r="T65" s="137">
        <f>SUM(T60:T64)</f>
        <v>0</v>
      </c>
      <c r="U65" s="137"/>
      <c r="V65" s="137"/>
      <c r="W65" s="106"/>
      <c r="X65" s="106">
        <v>18230809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02" customFormat="1" x14ac:dyDescent="0.35">
      <c r="A66" s="134"/>
      <c r="B66" s="191"/>
      <c r="C66" s="208" t="s">
        <v>424</v>
      </c>
      <c r="D66" s="209">
        <v>18230809</v>
      </c>
      <c r="E66" s="201"/>
      <c r="F66" s="201"/>
      <c r="G66" s="202"/>
      <c r="H66" s="203"/>
      <c r="I66" s="194">
        <f>SUMIF('Program Costs'!D:D,D66,'Program Costs'!N:N)</f>
        <v>673398.52</v>
      </c>
      <c r="J66" s="194"/>
      <c r="K66" s="204"/>
      <c r="L66" s="204"/>
      <c r="M66" s="204"/>
      <c r="N66" s="222">
        <f>I66</f>
        <v>673398.52</v>
      </c>
      <c r="O66" s="222">
        <f>I66</f>
        <v>673398.52</v>
      </c>
      <c r="P66" s="196"/>
      <c r="Q66" s="196">
        <f t="shared" ref="Q66:R71" si="35">N66/(1+ElecDiscountRate)^1</f>
        <v>630522.95880149805</v>
      </c>
      <c r="R66" s="196">
        <f t="shared" si="35"/>
        <v>630522.95880149805</v>
      </c>
      <c r="S66" s="206"/>
      <c r="T66" s="206"/>
      <c r="U66" s="207"/>
      <c r="V66" s="207"/>
      <c r="W66" s="106"/>
      <c r="X66" s="106">
        <v>18230469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176" customFormat="1" x14ac:dyDescent="0.35">
      <c r="A67" s="102"/>
      <c r="B67" s="191"/>
      <c r="C67" s="208" t="s">
        <v>425</v>
      </c>
      <c r="D67" s="209">
        <v>18230469</v>
      </c>
      <c r="E67" s="201"/>
      <c r="F67" s="201"/>
      <c r="G67" s="202"/>
      <c r="H67" s="203"/>
      <c r="I67" s="194">
        <f>SUMIF('Program Costs'!D:D,D67,'Program Costs'!N:N)</f>
        <v>472099.08</v>
      </c>
      <c r="J67" s="194"/>
      <c r="K67" s="204"/>
      <c r="L67" s="204"/>
      <c r="M67" s="204"/>
      <c r="N67" s="222">
        <f>I67</f>
        <v>472099.08</v>
      </c>
      <c r="O67" s="222">
        <f>I67</f>
        <v>472099.08</v>
      </c>
      <c r="P67" s="196"/>
      <c r="Q67" s="196">
        <f t="shared" si="35"/>
        <v>442040.3370786517</v>
      </c>
      <c r="R67" s="196">
        <f t="shared" si="35"/>
        <v>442040.3370786517</v>
      </c>
      <c r="S67" s="206"/>
      <c r="T67" s="206"/>
      <c r="U67" s="207"/>
      <c r="V67" s="207"/>
      <c r="W67" s="106"/>
      <c r="X67" s="106">
        <v>18230413</v>
      </c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24" customFormat="1" ht="14.15" customHeight="1" x14ac:dyDescent="0.35">
      <c r="A68" s="102"/>
      <c r="B68" s="191"/>
      <c r="C68" s="208" t="s">
        <v>426</v>
      </c>
      <c r="D68" s="209">
        <v>18230413</v>
      </c>
      <c r="E68" s="201"/>
      <c r="F68" s="201"/>
      <c r="G68" s="202"/>
      <c r="H68" s="203"/>
      <c r="I68" s="194">
        <f>SUMIF('Program Costs'!D:D,D68,'Program Costs'!N:N)</f>
        <v>161034.83000000002</v>
      </c>
      <c r="J68" s="194"/>
      <c r="K68" s="204"/>
      <c r="L68" s="204"/>
      <c r="M68" s="204"/>
      <c r="N68" s="222">
        <f>I68</f>
        <v>161034.83000000002</v>
      </c>
      <c r="O68" s="222">
        <f>I68</f>
        <v>161034.83000000002</v>
      </c>
      <c r="P68" s="196"/>
      <c r="Q68" s="196">
        <f t="shared" si="35"/>
        <v>150781.67602996255</v>
      </c>
      <c r="R68" s="196">
        <f t="shared" si="35"/>
        <v>150781.67602996255</v>
      </c>
      <c r="S68" s="206"/>
      <c r="T68" s="206"/>
      <c r="U68" s="207"/>
      <c r="V68" s="207"/>
      <c r="W68" s="106"/>
      <c r="X68" s="106">
        <v>18230802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224" customFormat="1" ht="14.15" customHeight="1" x14ac:dyDescent="0.35">
      <c r="A69" s="102"/>
      <c r="B69" s="191"/>
      <c r="C69" s="208" t="s">
        <v>427</v>
      </c>
      <c r="D69" s="209">
        <v>18230802</v>
      </c>
      <c r="E69" s="201"/>
      <c r="F69" s="201"/>
      <c r="G69" s="202"/>
      <c r="H69" s="203"/>
      <c r="I69" s="194">
        <f>SUMIF('Program Costs'!D:D,D69,'Program Costs'!N:N)</f>
        <v>1526342.27</v>
      </c>
      <c r="J69" s="194"/>
      <c r="K69" s="204"/>
      <c r="L69" s="204"/>
      <c r="M69" s="204"/>
      <c r="N69" s="222">
        <f>I69</f>
        <v>1526342.27</v>
      </c>
      <c r="O69" s="222">
        <f>I69</f>
        <v>1526342.27</v>
      </c>
      <c r="P69" s="196"/>
      <c r="Q69" s="196">
        <f t="shared" si="35"/>
        <v>1429159.4288389513</v>
      </c>
      <c r="R69" s="196">
        <f t="shared" si="35"/>
        <v>1429159.4288389513</v>
      </c>
      <c r="S69" s="206"/>
      <c r="T69" s="206"/>
      <c r="U69" s="207"/>
      <c r="V69" s="207"/>
      <c r="W69" s="106"/>
      <c r="X69" s="106">
        <v>18230624</v>
      </c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29" customFormat="1" x14ac:dyDescent="0.35">
      <c r="A70" s="225"/>
      <c r="B70" s="191"/>
      <c r="C70" s="208" t="s">
        <v>428</v>
      </c>
      <c r="D70" s="209">
        <v>18230624</v>
      </c>
      <c r="E70" s="201"/>
      <c r="F70" s="201"/>
      <c r="G70" s="202"/>
      <c r="H70" s="203"/>
      <c r="I70" s="194">
        <f>SUMIF('Program Costs'!D:D,D70,'Program Costs'!N:N)</f>
        <v>64162</v>
      </c>
      <c r="J70" s="194"/>
      <c r="K70" s="204"/>
      <c r="L70" s="204"/>
      <c r="M70" s="204"/>
      <c r="N70" s="222">
        <f>I70</f>
        <v>64162</v>
      </c>
      <c r="O70" s="222">
        <f>I70</f>
        <v>64162</v>
      </c>
      <c r="P70" s="196"/>
      <c r="Q70" s="196">
        <f t="shared" si="35"/>
        <v>60076.779026217228</v>
      </c>
      <c r="R70" s="196">
        <f t="shared" si="35"/>
        <v>60076.779026217228</v>
      </c>
      <c r="S70" s="206"/>
      <c r="T70" s="206"/>
      <c r="U70" s="207"/>
      <c r="V70" s="207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 s="240" customFormat="1" x14ac:dyDescent="0.35">
      <c r="A71" s="230"/>
      <c r="B71" s="226"/>
      <c r="C71" s="226" t="s">
        <v>429</v>
      </c>
      <c r="D71" s="226"/>
      <c r="E71" s="226"/>
      <c r="F71" s="226"/>
      <c r="G71" s="226"/>
      <c r="H71" s="226">
        <f t="shared" ref="H71:P71" si="36">SUM(H66:H70)</f>
        <v>0</v>
      </c>
      <c r="I71" s="227">
        <f t="shared" si="36"/>
        <v>2897036.7</v>
      </c>
      <c r="J71" s="226">
        <f t="shared" si="36"/>
        <v>0</v>
      </c>
      <c r="K71" s="226">
        <f t="shared" si="36"/>
        <v>0</v>
      </c>
      <c r="L71" s="226">
        <f t="shared" si="36"/>
        <v>0</v>
      </c>
      <c r="M71" s="226">
        <f t="shared" si="36"/>
        <v>0</v>
      </c>
      <c r="N71" s="228">
        <f t="shared" si="36"/>
        <v>2897036.7</v>
      </c>
      <c r="O71" s="228">
        <f t="shared" si="36"/>
        <v>2897036.7</v>
      </c>
      <c r="P71" s="228">
        <f t="shared" si="36"/>
        <v>0</v>
      </c>
      <c r="Q71" s="228">
        <f t="shared" si="35"/>
        <v>2712581.1797752809</v>
      </c>
      <c r="R71" s="228">
        <f t="shared" si="35"/>
        <v>2712581.1797752809</v>
      </c>
      <c r="S71" s="226">
        <f>SUM(S66:S70)</f>
        <v>0</v>
      </c>
      <c r="T71" s="226">
        <f>SUM(T66:T70)</f>
        <v>0</v>
      </c>
      <c r="U71" s="226"/>
      <c r="V71" s="226">
        <f>((S71*1.1)+(T71))/R71</f>
        <v>0</v>
      </c>
      <c r="W71" s="106"/>
      <c r="X71" s="106"/>
      <c r="Y71" s="106"/>
      <c r="Z71" s="106"/>
      <c r="AA71" s="106"/>
      <c r="AB71" s="106"/>
      <c r="AC71" s="106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  <c r="DT71" s="239"/>
      <c r="DU71" s="239"/>
      <c r="DV71" s="239"/>
      <c r="DW71" s="239"/>
      <c r="DX71" s="239"/>
      <c r="DY71" s="239"/>
      <c r="DZ71" s="239"/>
      <c r="EA71" s="239"/>
      <c r="EB71" s="239"/>
      <c r="EC71" s="239"/>
      <c r="ED71" s="239"/>
      <c r="EE71" s="239"/>
      <c r="EF71" s="239"/>
      <c r="EG71" s="239"/>
      <c r="EH71" s="239"/>
      <c r="EI71" s="239"/>
      <c r="EJ71" s="239"/>
      <c r="EK71" s="239"/>
      <c r="EL71" s="239"/>
      <c r="EM71" s="239"/>
      <c r="EN71" s="239"/>
      <c r="EO71" s="239"/>
      <c r="EP71" s="239"/>
      <c r="EQ71" s="239"/>
      <c r="ER71" s="239"/>
      <c r="ES71" s="239"/>
      <c r="ET71" s="239"/>
      <c r="EU71" s="239"/>
      <c r="EV71" s="239"/>
      <c r="EW71" s="239"/>
      <c r="EX71" s="239"/>
      <c r="EY71" s="239"/>
      <c r="EZ71" s="239"/>
      <c r="FA71" s="239"/>
      <c r="FB71" s="239"/>
      <c r="FC71" s="239"/>
      <c r="FD71" s="239"/>
      <c r="FE71" s="239"/>
      <c r="FF71" s="239"/>
      <c r="FG71" s="239"/>
      <c r="FH71" s="239"/>
      <c r="FI71" s="239"/>
      <c r="FJ71" s="239"/>
      <c r="FK71" s="239"/>
      <c r="FL71" s="239"/>
      <c r="FM71" s="239"/>
      <c r="FN71" s="239"/>
      <c r="FO71" s="239"/>
      <c r="FP71" s="239"/>
      <c r="FQ71" s="239"/>
      <c r="FR71" s="239"/>
      <c r="FS71" s="239"/>
      <c r="FT71" s="239"/>
      <c r="FU71" s="239"/>
      <c r="FV71" s="239"/>
      <c r="FW71" s="239"/>
      <c r="FX71" s="239"/>
      <c r="FY71" s="239"/>
      <c r="FZ71" s="239"/>
      <c r="GA71" s="239"/>
      <c r="GB71" s="239"/>
      <c r="GC71" s="239"/>
      <c r="GD71" s="239"/>
      <c r="GE71" s="239"/>
      <c r="GF71" s="239"/>
      <c r="GG71" s="239"/>
      <c r="GH71" s="239"/>
      <c r="GI71" s="239"/>
      <c r="GJ71" s="239"/>
      <c r="GK71" s="239"/>
      <c r="GL71" s="239"/>
      <c r="GM71" s="239"/>
      <c r="GN71" s="239"/>
      <c r="GO71" s="239"/>
      <c r="GP71" s="239"/>
      <c r="GQ71" s="239"/>
      <c r="GR71" s="239"/>
      <c r="GS71" s="239"/>
      <c r="GT71" s="239"/>
      <c r="GU71" s="239"/>
      <c r="GV71" s="239"/>
      <c r="GW71" s="239"/>
      <c r="GX71" s="239"/>
      <c r="GY71" s="239"/>
      <c r="GZ71" s="239"/>
      <c r="HA71" s="239"/>
      <c r="HB71" s="239"/>
      <c r="HC71" s="239"/>
      <c r="HD71" s="239"/>
      <c r="HE71" s="239"/>
      <c r="HF71" s="239"/>
      <c r="HG71" s="239"/>
      <c r="HH71" s="239"/>
      <c r="HI71" s="239"/>
      <c r="HJ71" s="239"/>
      <c r="HK71" s="239"/>
      <c r="HL71" s="239"/>
      <c r="HM71" s="239"/>
      <c r="HN71" s="239"/>
      <c r="HO71" s="239"/>
      <c r="HP71" s="239"/>
      <c r="HQ71" s="239"/>
      <c r="HR71" s="239"/>
      <c r="HS71" s="239"/>
      <c r="HT71" s="239"/>
      <c r="HU71" s="239"/>
      <c r="HV71" s="239"/>
      <c r="HW71" s="239"/>
      <c r="HX71" s="239"/>
      <c r="HY71" s="239"/>
      <c r="HZ71" s="239"/>
      <c r="IA71" s="239"/>
      <c r="IB71" s="239"/>
      <c r="IC71" s="239"/>
      <c r="ID71" s="239"/>
      <c r="IE71" s="239"/>
      <c r="IF71" s="239"/>
      <c r="IG71" s="239"/>
      <c r="IH71" s="239"/>
      <c r="II71" s="239"/>
      <c r="IJ71" s="239"/>
      <c r="IK71" s="239"/>
      <c r="IL71" s="239"/>
      <c r="IM71" s="239"/>
      <c r="IN71" s="239"/>
      <c r="IO71" s="239"/>
      <c r="IP71" s="239"/>
      <c r="IQ71" s="239"/>
      <c r="IR71" s="239"/>
      <c r="IS71" s="239"/>
      <c r="IT71" s="239"/>
      <c r="IU71" s="239"/>
      <c r="IV71" s="239"/>
      <c r="IW71" s="239"/>
      <c r="IX71" s="239"/>
      <c r="IY71" s="239"/>
      <c r="IZ71" s="239"/>
      <c r="JA71" s="239"/>
      <c r="JB71" s="239"/>
      <c r="JC71" s="239"/>
      <c r="JD71" s="239"/>
      <c r="JE71" s="239"/>
      <c r="JF71" s="239"/>
      <c r="JG71" s="239"/>
      <c r="JH71" s="239"/>
      <c r="JI71" s="239"/>
      <c r="JJ71" s="239"/>
      <c r="JK71" s="239"/>
      <c r="JL71" s="239"/>
      <c r="JM71" s="239"/>
      <c r="JN71" s="239"/>
      <c r="JO71" s="239"/>
      <c r="JP71" s="239"/>
      <c r="JQ71" s="239"/>
      <c r="JR71" s="239"/>
      <c r="JS71" s="239"/>
      <c r="JT71" s="239"/>
      <c r="JU71" s="239"/>
      <c r="JV71" s="239"/>
      <c r="JW71" s="239"/>
      <c r="JX71" s="239"/>
      <c r="JY71" s="239"/>
      <c r="JZ71" s="239"/>
      <c r="KA71" s="239"/>
      <c r="KB71" s="239"/>
      <c r="KC71" s="239"/>
      <c r="KD71" s="239"/>
      <c r="KE71" s="239"/>
      <c r="KF71" s="239"/>
      <c r="KG71" s="239"/>
      <c r="KH71" s="239"/>
      <c r="KI71" s="239"/>
      <c r="KJ71" s="239"/>
      <c r="KK71" s="239"/>
      <c r="KL71" s="239"/>
      <c r="KM71" s="239"/>
      <c r="KN71" s="239"/>
      <c r="KO71" s="239"/>
      <c r="KP71" s="239"/>
      <c r="KQ71" s="239"/>
      <c r="KR71" s="239"/>
      <c r="KS71" s="239"/>
      <c r="KT71" s="239"/>
      <c r="KU71" s="239"/>
      <c r="KV71" s="239"/>
      <c r="KW71" s="239"/>
      <c r="KX71" s="239"/>
      <c r="KY71" s="239"/>
      <c r="KZ71" s="239"/>
      <c r="LA71" s="239"/>
      <c r="LB71" s="239"/>
      <c r="LC71" s="239"/>
      <c r="LD71" s="239"/>
      <c r="LE71" s="239"/>
      <c r="LF71" s="239"/>
      <c r="LG71" s="239"/>
      <c r="LH71" s="239"/>
      <c r="LI71" s="239"/>
      <c r="LJ71" s="239"/>
      <c r="LK71" s="239"/>
      <c r="LL71" s="239"/>
      <c r="LM71" s="239"/>
      <c r="LN71" s="239"/>
      <c r="LO71" s="239"/>
      <c r="LP71" s="239"/>
      <c r="LQ71" s="239"/>
      <c r="LR71" s="239"/>
      <c r="LS71" s="239"/>
      <c r="LT71" s="239"/>
      <c r="LU71" s="239"/>
      <c r="LV71" s="239"/>
      <c r="LW71" s="239"/>
      <c r="LX71" s="239"/>
      <c r="LY71" s="239"/>
      <c r="LZ71" s="239"/>
      <c r="MA71" s="239"/>
      <c r="MB71" s="239"/>
      <c r="MC71" s="239"/>
      <c r="MD71" s="239"/>
      <c r="ME71" s="239"/>
      <c r="MF71" s="239"/>
      <c r="MG71" s="239"/>
      <c r="MH71" s="239"/>
      <c r="MI71" s="239"/>
      <c r="MJ71" s="239"/>
      <c r="MK71" s="239"/>
      <c r="ML71" s="239"/>
      <c r="MM71" s="239"/>
      <c r="MN71" s="239"/>
      <c r="MO71" s="239"/>
      <c r="MP71" s="239"/>
      <c r="MQ71" s="239"/>
      <c r="MR71" s="239"/>
      <c r="MS71" s="239"/>
      <c r="MT71" s="239"/>
      <c r="MU71" s="239"/>
      <c r="MV71" s="239"/>
      <c r="MW71" s="239"/>
      <c r="MX71" s="239"/>
      <c r="MY71" s="239"/>
      <c r="MZ71" s="239"/>
      <c r="NA71" s="239"/>
      <c r="NB71" s="239"/>
      <c r="NC71" s="239"/>
      <c r="ND71" s="239"/>
      <c r="NE71" s="239"/>
      <c r="NF71" s="239"/>
      <c r="NG71" s="239"/>
      <c r="NH71" s="239"/>
      <c r="NI71" s="239"/>
      <c r="NJ71" s="239"/>
      <c r="NK71" s="239"/>
      <c r="NL71" s="239"/>
      <c r="NM71" s="239"/>
      <c r="NN71" s="239"/>
      <c r="NO71" s="239"/>
      <c r="NP71" s="239"/>
      <c r="NQ71" s="239"/>
      <c r="NR71" s="239"/>
      <c r="NS71" s="239"/>
      <c r="NT71" s="239"/>
      <c r="NU71" s="239"/>
      <c r="NV71" s="239"/>
      <c r="NW71" s="239"/>
      <c r="NX71" s="239"/>
      <c r="NY71" s="239"/>
      <c r="NZ71" s="239"/>
      <c r="OA71" s="239"/>
      <c r="OB71" s="239"/>
      <c r="OC71" s="239"/>
      <c r="OD71" s="239"/>
      <c r="OE71" s="239"/>
      <c r="OF71" s="239"/>
      <c r="OG71" s="239"/>
      <c r="OH71" s="239"/>
      <c r="OI71" s="239"/>
      <c r="OJ71" s="239"/>
      <c r="OK71" s="239"/>
      <c r="OL71" s="239"/>
      <c r="OM71" s="239"/>
      <c r="ON71" s="239"/>
      <c r="OO71" s="239"/>
      <c r="OP71" s="239"/>
      <c r="OQ71" s="239"/>
      <c r="OR71" s="239"/>
      <c r="OS71" s="239"/>
      <c r="OT71" s="239"/>
      <c r="OU71" s="239"/>
      <c r="OV71" s="239"/>
      <c r="OW71" s="239"/>
      <c r="OX71" s="239"/>
      <c r="OY71" s="239"/>
      <c r="OZ71" s="239"/>
      <c r="PA71" s="239"/>
      <c r="PB71" s="239"/>
      <c r="PC71" s="239"/>
      <c r="PD71" s="239"/>
      <c r="PE71" s="239"/>
      <c r="PF71" s="239"/>
      <c r="PG71" s="239"/>
      <c r="PH71" s="239"/>
      <c r="PI71" s="239"/>
    </row>
    <row r="72" spans="1:425" s="102" customFormat="1" x14ac:dyDescent="0.35">
      <c r="B72" s="231" t="s">
        <v>430</v>
      </c>
      <c r="C72" s="232"/>
      <c r="D72" s="232"/>
      <c r="E72" s="232"/>
      <c r="F72" s="233"/>
      <c r="G72" s="234"/>
      <c r="H72" s="235">
        <f>SUM(H23,H44,H47,H51,H65,H71)</f>
        <v>242970842.55580032</v>
      </c>
      <c r="I72" s="235">
        <f t="shared" ref="I72:O72" si="37">I71+I65+I51+I44+I23+I47</f>
        <v>31732954.41</v>
      </c>
      <c r="J72" s="236">
        <f t="shared" si="37"/>
        <v>51346430.210000008</v>
      </c>
      <c r="K72" s="236">
        <f t="shared" si="37"/>
        <v>38426282.229999997</v>
      </c>
      <c r="L72" s="236">
        <f t="shared" si="37"/>
        <v>89772712.439999998</v>
      </c>
      <c r="M72" s="236">
        <f t="shared" si="37"/>
        <v>0</v>
      </c>
      <c r="N72" s="236">
        <f t="shared" si="37"/>
        <v>90763571.549999982</v>
      </c>
      <c r="O72" s="236">
        <f t="shared" si="37"/>
        <v>121505666.84999999</v>
      </c>
      <c r="P72" s="236"/>
      <c r="Q72" s="236">
        <f>Q71+Q65+Q51+Q44+Q23+Q47</f>
        <v>84756969.878277153</v>
      </c>
      <c r="R72" s="236">
        <f>R71+R65+R51+R44+R23+R47</f>
        <v>113769350.98314606</v>
      </c>
      <c r="S72" s="235">
        <f>S71+S65+S51+S44+S23+S47</f>
        <v>194341001.889891</v>
      </c>
      <c r="T72" s="237">
        <f>T71+T65+T51+T44+T23+T47</f>
        <v>12189254.894980475</v>
      </c>
      <c r="U72" s="238">
        <f>S72/Q72</f>
        <v>2.2929205960169625</v>
      </c>
      <c r="V72" s="238">
        <f>((S72*1.1)+(T72))/R72</f>
        <v>1.9861619585694501</v>
      </c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 s="247" customFormat="1" x14ac:dyDescent="0.35">
      <c r="A73" s="102"/>
      <c r="B73" s="182"/>
      <c r="C73" s="183" t="s">
        <v>431</v>
      </c>
      <c r="D73" s="183"/>
      <c r="E73" s="184"/>
      <c r="F73" s="184"/>
      <c r="G73" s="185"/>
      <c r="H73" s="241"/>
      <c r="I73" s="242"/>
      <c r="J73" s="243"/>
      <c r="K73" s="186"/>
      <c r="L73" s="186"/>
      <c r="M73" s="186"/>
      <c r="N73" s="244"/>
      <c r="O73" s="187"/>
      <c r="P73" s="187"/>
      <c r="Q73" s="187"/>
      <c r="R73" s="187"/>
      <c r="S73" s="188"/>
      <c r="T73" s="189"/>
      <c r="U73" s="190"/>
      <c r="V73" s="190"/>
      <c r="W73" s="106"/>
      <c r="X73" s="106">
        <v>18230128</v>
      </c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</row>
    <row r="74" spans="1:425" x14ac:dyDescent="0.35">
      <c r="B74" s="191"/>
      <c r="C74" s="245" t="s">
        <v>432</v>
      </c>
      <c r="D74" s="106">
        <v>18230128</v>
      </c>
      <c r="E74" s="245"/>
      <c r="F74" s="201"/>
      <c r="G74" s="202"/>
      <c r="H74" s="203"/>
      <c r="I74" s="194">
        <f>SUMIF('Program Costs'!D:D,D74,'Program Costs'!N:N)</f>
        <v>3646448.99</v>
      </c>
      <c r="J74" s="204"/>
      <c r="K74" s="204"/>
      <c r="L74" s="204" t="s">
        <v>300</v>
      </c>
      <c r="M74" s="204"/>
      <c r="N74" s="223">
        <f>I74</f>
        <v>3646448.99</v>
      </c>
      <c r="O74" s="223">
        <f>I74</f>
        <v>3646448.99</v>
      </c>
      <c r="P74" s="196">
        <v>0</v>
      </c>
      <c r="Q74" s="196">
        <f t="shared" ref="Q74:R76" si="38">N74/(1+ElecDiscountRate)^1</f>
        <v>3414278.0805243445</v>
      </c>
      <c r="R74" s="196">
        <f t="shared" si="38"/>
        <v>3414278.0805243445</v>
      </c>
      <c r="S74" s="246"/>
      <c r="T74" s="206"/>
      <c r="U74" s="207"/>
      <c r="V74" s="207"/>
      <c r="W74" s="106"/>
      <c r="X74" s="106">
        <v>18230133</v>
      </c>
      <c r="Y74" s="106"/>
      <c r="Z74" s="106"/>
      <c r="AA74" s="106"/>
      <c r="AB74" s="106"/>
      <c r="AC74" s="106"/>
    </row>
    <row r="75" spans="1:425" ht="15.5" x14ac:dyDescent="0.35">
      <c r="A75" s="249"/>
      <c r="B75" s="191"/>
      <c r="C75" s="245" t="s">
        <v>433</v>
      </c>
      <c r="D75" s="106">
        <v>18230133</v>
      </c>
      <c r="E75" s="245"/>
      <c r="F75" s="201"/>
      <c r="G75" s="202"/>
      <c r="H75" s="203"/>
      <c r="I75" s="194">
        <f>SUMIF('Program Costs'!D:D,D75,'Program Costs'!N:N)</f>
        <v>47317.63</v>
      </c>
      <c r="J75" s="204"/>
      <c r="K75" s="204"/>
      <c r="L75" s="204"/>
      <c r="M75" s="204"/>
      <c r="N75" s="223">
        <f>I75</f>
        <v>47317.63</v>
      </c>
      <c r="O75" s="223">
        <f>I75</f>
        <v>47317.63</v>
      </c>
      <c r="P75" s="196"/>
      <c r="Q75" s="196">
        <f t="shared" si="38"/>
        <v>44304.897003745311</v>
      </c>
      <c r="R75" s="196">
        <f t="shared" si="38"/>
        <v>44304.897003745311</v>
      </c>
      <c r="S75" s="246"/>
      <c r="T75" s="206"/>
      <c r="U75" s="207"/>
      <c r="V75" s="207"/>
      <c r="W75" s="106"/>
      <c r="X75" s="106"/>
      <c r="Y75" s="106"/>
      <c r="Z75" s="106"/>
      <c r="AA75" s="106"/>
      <c r="AB75" s="106"/>
      <c r="AC75" s="106"/>
    </row>
    <row r="76" spans="1:425" ht="15.5" x14ac:dyDescent="0.35">
      <c r="A76" s="518"/>
      <c r="B76" s="519"/>
      <c r="C76" s="520" t="s">
        <v>2199</v>
      </c>
      <c r="D76" s="106">
        <v>18230753</v>
      </c>
      <c r="E76" s="520"/>
      <c r="F76" s="521"/>
      <c r="G76" s="522"/>
      <c r="H76" s="523"/>
      <c r="I76" s="194">
        <f>SUMIF('Program Costs'!D:D,D76,'Program Costs'!N:N)</f>
        <v>13317.9</v>
      </c>
      <c r="J76" s="524"/>
      <c r="K76" s="524"/>
      <c r="L76" s="524"/>
      <c r="M76" s="524"/>
      <c r="N76" s="223">
        <f>I76</f>
        <v>13317.9</v>
      </c>
      <c r="O76" s="223">
        <f>I76</f>
        <v>13317.9</v>
      </c>
      <c r="P76" s="196"/>
      <c r="Q76" s="196">
        <f t="shared" si="38"/>
        <v>12469.943820224718</v>
      </c>
      <c r="R76" s="196">
        <f t="shared" si="38"/>
        <v>12469.943820224718</v>
      </c>
      <c r="S76" s="525"/>
      <c r="T76" s="526"/>
      <c r="U76" s="527"/>
      <c r="V76" s="527"/>
      <c r="W76" s="106"/>
      <c r="X76" s="106"/>
      <c r="Y76" s="106"/>
      <c r="Z76" s="106"/>
      <c r="AA76" s="106"/>
      <c r="AB76" s="106"/>
      <c r="AC76" s="106"/>
    </row>
    <row r="77" spans="1:425" x14ac:dyDescent="0.35">
      <c r="B77" s="226"/>
      <c r="C77" s="226" t="s">
        <v>434</v>
      </c>
      <c r="D77" s="226"/>
      <c r="E77" s="226"/>
      <c r="F77" s="226"/>
      <c r="G77" s="226"/>
      <c r="H77" s="226"/>
      <c r="I77" s="227">
        <f>SUM(I74:I76)</f>
        <v>3707084.52</v>
      </c>
      <c r="J77" s="528">
        <f>SUM(J74:J76)</f>
        <v>0</v>
      </c>
      <c r="K77" s="226">
        <f>SUM(K74)</f>
        <v>0</v>
      </c>
      <c r="L77" s="226">
        <f>SUM(L74)</f>
        <v>0</v>
      </c>
      <c r="M77" s="226">
        <f>SUM(M74)</f>
        <v>0</v>
      </c>
      <c r="N77" s="228">
        <f>SUM(N74:N76)</f>
        <v>3707084.52</v>
      </c>
      <c r="O77" s="228">
        <f>SUM(O74:O76)</f>
        <v>3707084.52</v>
      </c>
      <c r="P77" s="228">
        <f>SUM(P74:P74)</f>
        <v>0</v>
      </c>
      <c r="Q77" s="228">
        <f>SUM(Q74:Q76)</f>
        <v>3471052.9213483143</v>
      </c>
      <c r="R77" s="228">
        <f>SUM(R74:R76)</f>
        <v>3471052.9213483143</v>
      </c>
      <c r="S77" s="226">
        <f>SUM(S74)</f>
        <v>0</v>
      </c>
      <c r="T77" s="226">
        <f>SUM(T74)</f>
        <v>0</v>
      </c>
      <c r="U77" s="226"/>
      <c r="V77" s="226"/>
      <c r="W77" s="106"/>
      <c r="X77" s="106"/>
      <c r="Y77" s="106"/>
      <c r="Z77" s="106"/>
      <c r="AA77" s="106"/>
      <c r="AB77" s="106"/>
      <c r="AC77" s="106"/>
    </row>
    <row r="78" spans="1:425" x14ac:dyDescent="0.35">
      <c r="H78" s="250"/>
      <c r="N78" s="252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</row>
    <row r="79" spans="1:425" x14ac:dyDescent="0.35">
      <c r="J79" s="254"/>
      <c r="T79" s="106"/>
      <c r="U79" s="106"/>
      <c r="V79" s="106"/>
    </row>
    <row r="80" spans="1:425" x14ac:dyDescent="0.35">
      <c r="T80" s="106"/>
      <c r="U80" s="106"/>
      <c r="V80" s="106"/>
    </row>
    <row r="81" spans="6:148" ht="24" customHeight="1" x14ac:dyDescent="0.35">
      <c r="T81" s="106"/>
      <c r="U81" s="106"/>
      <c r="V81" s="106"/>
    </row>
    <row r="82" spans="6:148" x14ac:dyDescent="0.35">
      <c r="T82" s="106"/>
      <c r="U82" s="106"/>
      <c r="V82" s="106"/>
    </row>
    <row r="83" spans="6:148" x14ac:dyDescent="0.35">
      <c r="T83" s="106"/>
      <c r="U83" s="106"/>
      <c r="V83" s="106"/>
    </row>
    <row r="84" spans="6:148" x14ac:dyDescent="0.35">
      <c r="T84" s="106"/>
      <c r="U84" s="106"/>
      <c r="V84" s="106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 x14ac:dyDescent="0.35">
      <c r="T85" s="106"/>
      <c r="U85" s="106"/>
      <c r="V85" s="106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 x14ac:dyDescent="0.35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 x14ac:dyDescent="0.35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 x14ac:dyDescent="0.35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 x14ac:dyDescent="0.35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 x14ac:dyDescent="0.35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 x14ac:dyDescent="0.35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 ht="24" customHeight="1" x14ac:dyDescent="0.35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 x14ac:dyDescent="0.35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48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</row>
    <row r="94" spans="6:148" x14ac:dyDescent="0.35">
      <c r="F94" s="102"/>
      <c r="G94" s="102"/>
      <c r="H94" s="102"/>
      <c r="I94" s="102"/>
      <c r="K94" s="102"/>
      <c r="L94" s="102"/>
      <c r="M94" s="102"/>
      <c r="N94" s="102"/>
      <c r="O94" s="102"/>
      <c r="P94" s="102"/>
      <c r="V94" s="102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</row>
    <row r="95" spans="6:148" x14ac:dyDescent="0.35">
      <c r="F95" s="102"/>
      <c r="G95" s="102"/>
      <c r="H95" s="102"/>
      <c r="I95" s="102"/>
      <c r="K95" s="102"/>
      <c r="L95" s="102"/>
      <c r="M95" s="102"/>
      <c r="N95" s="102"/>
      <c r="O95" s="102"/>
      <c r="P95" s="102"/>
      <c r="V95" s="102"/>
    </row>
    <row r="96" spans="6:148" x14ac:dyDescent="0.35">
      <c r="F96" s="102"/>
      <c r="G96" s="102"/>
      <c r="H96" s="102"/>
      <c r="I96" s="102"/>
      <c r="K96" s="102"/>
      <c r="L96" s="102"/>
      <c r="M96" s="102"/>
      <c r="N96" s="102"/>
      <c r="O96" s="102"/>
      <c r="P96" s="102"/>
      <c r="V96" s="102"/>
    </row>
    <row r="97" spans="20:22" x14ac:dyDescent="0.35">
      <c r="T97" s="106"/>
      <c r="U97" s="106"/>
      <c r="V97" s="106"/>
    </row>
    <row r="98" spans="20:22" x14ac:dyDescent="0.35">
      <c r="T98" s="106"/>
      <c r="U98" s="106"/>
      <c r="V98" s="106"/>
    </row>
    <row r="99" spans="20:22" x14ac:dyDescent="0.35">
      <c r="T99" s="106"/>
      <c r="U99" s="106"/>
      <c r="V99" s="106"/>
    </row>
    <row r="100" spans="20:22" x14ac:dyDescent="0.35">
      <c r="T100" s="106"/>
      <c r="U100" s="106"/>
      <c r="V100" s="106"/>
    </row>
    <row r="101" spans="20:22" x14ac:dyDescent="0.35">
      <c r="T101" s="106"/>
      <c r="U101" s="106"/>
      <c r="V101" s="106"/>
    </row>
    <row r="102" spans="20:22" x14ac:dyDescent="0.35">
      <c r="T102" s="106"/>
      <c r="U102" s="106"/>
      <c r="V102" s="106"/>
    </row>
    <row r="103" spans="20:22" ht="24" customHeight="1" x14ac:dyDescent="0.35">
      <c r="T103" s="106"/>
      <c r="U103" s="106"/>
      <c r="V103" s="106"/>
    </row>
    <row r="104" spans="20:22" x14ac:dyDescent="0.35">
      <c r="T104" s="106"/>
      <c r="U104" s="106"/>
      <c r="V104" s="106"/>
    </row>
    <row r="105" spans="20:22" x14ac:dyDescent="0.35">
      <c r="T105" s="106"/>
      <c r="U105" s="106"/>
      <c r="V105" s="106"/>
    </row>
    <row r="106" spans="20:22" x14ac:dyDescent="0.35">
      <c r="T106" s="106"/>
      <c r="U106" s="106"/>
      <c r="V106" s="106"/>
    </row>
    <row r="107" spans="20:22" x14ac:dyDescent="0.35">
      <c r="T107" s="106"/>
      <c r="U107" s="106"/>
      <c r="V107" s="106"/>
    </row>
    <row r="108" spans="20:22" x14ac:dyDescent="0.35">
      <c r="T108" s="106"/>
      <c r="U108" s="106"/>
      <c r="V108" s="106"/>
    </row>
    <row r="109" spans="20:22" x14ac:dyDescent="0.35">
      <c r="T109" s="106"/>
      <c r="U109" s="106"/>
      <c r="V109" s="106"/>
    </row>
    <row r="110" spans="20:22" x14ac:dyDescent="0.35">
      <c r="T110" s="106"/>
      <c r="U110" s="106"/>
      <c r="V110" s="106"/>
    </row>
    <row r="111" spans="20:22" x14ac:dyDescent="0.35">
      <c r="T111" s="106"/>
      <c r="U111" s="106"/>
      <c r="V111" s="106"/>
    </row>
    <row r="112" spans="20:22" x14ac:dyDescent="0.35">
      <c r="T112" s="106"/>
      <c r="U112" s="106"/>
      <c r="V112" s="106"/>
    </row>
    <row r="113" spans="20:22" x14ac:dyDescent="0.35">
      <c r="T113" s="106"/>
      <c r="U113" s="106"/>
      <c r="V113" s="106"/>
    </row>
    <row r="114" spans="20:22" ht="24" customHeight="1" x14ac:dyDescent="0.35">
      <c r="T114" s="106"/>
      <c r="U114" s="106"/>
      <c r="V114" s="106"/>
    </row>
    <row r="115" spans="20:22" x14ac:dyDescent="0.35">
      <c r="T115" s="106"/>
      <c r="U115" s="106"/>
      <c r="V115" s="106"/>
    </row>
    <row r="116" spans="20:22" x14ac:dyDescent="0.35">
      <c r="T116" s="106"/>
      <c r="U116" s="106"/>
      <c r="V116" s="106"/>
    </row>
    <row r="117" spans="20:22" x14ac:dyDescent="0.35">
      <c r="T117" s="106"/>
      <c r="U117" s="106"/>
      <c r="V117" s="106"/>
    </row>
    <row r="118" spans="20:22" x14ac:dyDescent="0.35">
      <c r="T118" s="106"/>
      <c r="U118" s="106"/>
      <c r="V118" s="106"/>
    </row>
    <row r="119" spans="20:22" x14ac:dyDescent="0.35">
      <c r="T119" s="106"/>
      <c r="U119" s="106"/>
      <c r="V119" s="106"/>
    </row>
    <row r="120" spans="20:22" x14ac:dyDescent="0.35">
      <c r="T120" s="106"/>
      <c r="U120" s="106"/>
      <c r="V120" s="106"/>
    </row>
    <row r="121" spans="20:22" x14ac:dyDescent="0.35">
      <c r="T121" s="106"/>
      <c r="U121" s="106"/>
      <c r="V121" s="106"/>
    </row>
    <row r="122" spans="20:22" x14ac:dyDescent="0.35">
      <c r="T122" s="106"/>
      <c r="U122" s="106"/>
      <c r="V122" s="106"/>
    </row>
    <row r="123" spans="20:22" x14ac:dyDescent="0.35">
      <c r="T123" s="106"/>
      <c r="U123" s="106"/>
      <c r="V123" s="106"/>
    </row>
    <row r="124" spans="20:22" x14ac:dyDescent="0.35">
      <c r="T124" s="106"/>
      <c r="U124" s="106"/>
      <c r="V124" s="106"/>
    </row>
    <row r="125" spans="20:22" ht="24" customHeight="1" x14ac:dyDescent="0.35">
      <c r="T125" s="106"/>
      <c r="U125" s="106"/>
      <c r="V125" s="106"/>
    </row>
    <row r="126" spans="20:22" x14ac:dyDescent="0.35">
      <c r="T126" s="106"/>
      <c r="U126" s="106"/>
      <c r="V126" s="106"/>
    </row>
    <row r="127" spans="20:22" x14ac:dyDescent="0.35">
      <c r="T127" s="106"/>
      <c r="U127" s="106"/>
      <c r="V127" s="106"/>
    </row>
    <row r="128" spans="20:22" x14ac:dyDescent="0.35">
      <c r="T128" s="106"/>
      <c r="U128" s="106"/>
      <c r="V128" s="106"/>
    </row>
    <row r="129" spans="20:22" x14ac:dyDescent="0.35">
      <c r="T129" s="106"/>
      <c r="U129" s="106"/>
      <c r="V129" s="106"/>
    </row>
    <row r="130" spans="20:22" x14ac:dyDescent="0.35">
      <c r="T130" s="106"/>
      <c r="U130" s="106"/>
      <c r="V130" s="106"/>
    </row>
    <row r="131" spans="20:22" x14ac:dyDescent="0.35">
      <c r="T131" s="106"/>
      <c r="U131" s="106"/>
      <c r="V131" s="106"/>
    </row>
    <row r="132" spans="20:22" x14ac:dyDescent="0.35">
      <c r="T132" s="106"/>
      <c r="U132" s="106"/>
      <c r="V132" s="106"/>
    </row>
    <row r="133" spans="20:22" x14ac:dyDescent="0.35">
      <c r="T133" s="106"/>
      <c r="U133" s="106"/>
      <c r="V133" s="106"/>
    </row>
    <row r="134" spans="20:22" x14ac:dyDescent="0.35">
      <c r="T134" s="106"/>
      <c r="U134" s="106"/>
      <c r="V134" s="106"/>
    </row>
    <row r="135" spans="20:22" x14ac:dyDescent="0.35">
      <c r="T135" s="106"/>
      <c r="U135" s="106"/>
      <c r="V135" s="106"/>
    </row>
    <row r="136" spans="20:22" ht="24" customHeight="1" x14ac:dyDescent="0.35">
      <c r="T136" s="106"/>
      <c r="U136" s="106"/>
      <c r="V136" s="106"/>
    </row>
    <row r="137" spans="20:22" x14ac:dyDescent="0.35">
      <c r="T137" s="106"/>
      <c r="U137" s="106"/>
      <c r="V137" s="106"/>
    </row>
    <row r="138" spans="20:22" x14ac:dyDescent="0.35">
      <c r="T138" s="106"/>
      <c r="U138" s="106"/>
      <c r="V138" s="106"/>
    </row>
    <row r="139" spans="20:22" x14ac:dyDescent="0.35">
      <c r="T139" s="106"/>
      <c r="U139" s="106"/>
      <c r="V139" s="106"/>
    </row>
    <row r="140" spans="20:22" x14ac:dyDescent="0.35">
      <c r="T140" s="106"/>
      <c r="U140" s="106"/>
      <c r="V140" s="106"/>
    </row>
    <row r="141" spans="20:22" x14ac:dyDescent="0.35">
      <c r="T141" s="106"/>
      <c r="U141" s="106"/>
      <c r="V141" s="106"/>
    </row>
    <row r="142" spans="20:22" x14ac:dyDescent="0.35">
      <c r="T142" s="106"/>
      <c r="U142" s="106"/>
      <c r="V142" s="106"/>
    </row>
    <row r="143" spans="20:22" x14ac:dyDescent="0.35">
      <c r="T143" s="106"/>
      <c r="U143" s="106"/>
      <c r="V143" s="106"/>
    </row>
    <row r="144" spans="20:22" x14ac:dyDescent="0.35">
      <c r="T144" s="106"/>
      <c r="U144" s="106"/>
      <c r="V144" s="106"/>
    </row>
    <row r="145" spans="20:22" x14ac:dyDescent="0.35">
      <c r="T145" s="106"/>
      <c r="U145" s="106"/>
      <c r="V145" s="106"/>
    </row>
    <row r="146" spans="20:22" x14ac:dyDescent="0.35">
      <c r="T146" s="106"/>
      <c r="U146" s="106"/>
      <c r="V146" s="106"/>
    </row>
    <row r="147" spans="20:22" ht="24" customHeight="1" x14ac:dyDescent="0.35">
      <c r="T147" s="106"/>
      <c r="U147" s="106"/>
      <c r="V147" s="106"/>
    </row>
    <row r="148" spans="20:22" x14ac:dyDescent="0.35">
      <c r="T148" s="106"/>
      <c r="U148" s="106"/>
      <c r="V148" s="106"/>
    </row>
    <row r="149" spans="20:22" x14ac:dyDescent="0.35">
      <c r="T149" s="106"/>
      <c r="U149" s="106"/>
      <c r="V149" s="106"/>
    </row>
    <row r="150" spans="20:22" x14ac:dyDescent="0.35">
      <c r="T150" s="106"/>
      <c r="U150" s="106"/>
      <c r="V150" s="106"/>
    </row>
    <row r="151" spans="20:22" x14ac:dyDescent="0.35">
      <c r="T151" s="106"/>
      <c r="U151" s="106"/>
      <c r="V151" s="106"/>
    </row>
    <row r="152" spans="20:22" x14ac:dyDescent="0.35">
      <c r="T152" s="106"/>
      <c r="U152" s="106"/>
      <c r="V152" s="106"/>
    </row>
    <row r="153" spans="20:22" x14ac:dyDescent="0.35">
      <c r="T153" s="106"/>
      <c r="U153" s="106"/>
      <c r="V153" s="106"/>
    </row>
    <row r="154" spans="20:22" x14ac:dyDescent="0.35">
      <c r="T154" s="106"/>
      <c r="U154" s="106"/>
      <c r="V154" s="106"/>
    </row>
    <row r="155" spans="20:22" x14ac:dyDescent="0.35">
      <c r="T155" s="106"/>
      <c r="U155" s="106"/>
      <c r="V155" s="106"/>
    </row>
    <row r="156" spans="20:22" x14ac:dyDescent="0.35">
      <c r="T156" s="106"/>
      <c r="U156" s="106"/>
      <c r="V156" s="106"/>
    </row>
    <row r="157" spans="20:22" x14ac:dyDescent="0.35">
      <c r="T157" s="106"/>
      <c r="U157" s="106"/>
      <c r="V157" s="106"/>
    </row>
    <row r="158" spans="20:22" ht="24" customHeight="1" x14ac:dyDescent="0.35">
      <c r="T158" s="106"/>
      <c r="U158" s="106"/>
      <c r="V158" s="106"/>
    </row>
    <row r="159" spans="20:22" x14ac:dyDescent="0.35">
      <c r="T159" s="106"/>
      <c r="U159" s="106"/>
      <c r="V159" s="106"/>
    </row>
    <row r="160" spans="20:22" x14ac:dyDescent="0.35">
      <c r="T160" s="106"/>
      <c r="U160" s="106"/>
      <c r="V160" s="106"/>
    </row>
    <row r="161" spans="20:22" x14ac:dyDescent="0.35">
      <c r="T161" s="106"/>
      <c r="U161" s="106"/>
      <c r="V161" s="106"/>
    </row>
    <row r="162" spans="20:22" x14ac:dyDescent="0.35">
      <c r="T162" s="106"/>
      <c r="U162" s="106"/>
      <c r="V162" s="106"/>
    </row>
    <row r="163" spans="20:22" x14ac:dyDescent="0.35">
      <c r="T163" s="106"/>
      <c r="U163" s="106"/>
      <c r="V163" s="106"/>
    </row>
    <row r="164" spans="20:22" x14ac:dyDescent="0.35">
      <c r="T164" s="106"/>
      <c r="U164" s="106"/>
      <c r="V164" s="106"/>
    </row>
    <row r="165" spans="20:22" x14ac:dyDescent="0.35">
      <c r="T165" s="106"/>
      <c r="U165" s="106"/>
      <c r="V165" s="106"/>
    </row>
    <row r="166" spans="20:22" x14ac:dyDescent="0.35">
      <c r="T166" s="106"/>
      <c r="U166" s="106"/>
      <c r="V166" s="106"/>
    </row>
    <row r="167" spans="20:22" x14ac:dyDescent="0.35">
      <c r="T167" s="106"/>
      <c r="U167" s="106"/>
      <c r="V167" s="106"/>
    </row>
    <row r="168" spans="20:22" x14ac:dyDescent="0.35">
      <c r="T168" s="106"/>
      <c r="U168" s="106"/>
      <c r="V168" s="106"/>
    </row>
    <row r="169" spans="20:22" ht="24" customHeight="1" x14ac:dyDescent="0.35">
      <c r="T169" s="106"/>
      <c r="U169" s="106"/>
      <c r="V169" s="106"/>
    </row>
    <row r="170" spans="20:22" x14ac:dyDescent="0.35">
      <c r="T170" s="106"/>
      <c r="U170" s="106"/>
      <c r="V170" s="106"/>
    </row>
    <row r="171" spans="20:22" x14ac:dyDescent="0.35">
      <c r="T171" s="106"/>
      <c r="U171" s="106"/>
      <c r="V171" s="106"/>
    </row>
    <row r="172" spans="20:22" x14ac:dyDescent="0.35">
      <c r="T172" s="106"/>
      <c r="U172" s="106"/>
      <c r="V172" s="106"/>
    </row>
    <row r="173" spans="20:22" x14ac:dyDescent="0.35">
      <c r="T173" s="106"/>
      <c r="U173" s="106"/>
      <c r="V173" s="106"/>
    </row>
    <row r="174" spans="20:22" x14ac:dyDescent="0.35">
      <c r="T174" s="106"/>
      <c r="U174" s="106"/>
      <c r="V174" s="106"/>
    </row>
    <row r="175" spans="20:22" x14ac:dyDescent="0.35">
      <c r="T175" s="106"/>
      <c r="U175" s="106"/>
      <c r="V175" s="106"/>
    </row>
    <row r="176" spans="20:22" x14ac:dyDescent="0.35">
      <c r="T176" s="106"/>
      <c r="U176" s="106"/>
      <c r="V176" s="106"/>
    </row>
    <row r="177" spans="20:22" x14ac:dyDescent="0.35">
      <c r="T177" s="106"/>
      <c r="U177" s="106"/>
      <c r="V177" s="106"/>
    </row>
    <row r="178" spans="20:22" x14ac:dyDescent="0.35">
      <c r="T178" s="106"/>
      <c r="U178" s="106"/>
      <c r="V178" s="106"/>
    </row>
    <row r="179" spans="20:22" x14ac:dyDescent="0.35">
      <c r="T179" s="106"/>
      <c r="U179" s="106"/>
      <c r="V179" s="106"/>
    </row>
    <row r="180" spans="20:22" ht="24" customHeight="1" x14ac:dyDescent="0.35">
      <c r="T180" s="106"/>
      <c r="U180" s="106"/>
      <c r="V180" s="106"/>
    </row>
    <row r="181" spans="20:22" x14ac:dyDescent="0.35">
      <c r="T181" s="106"/>
      <c r="U181" s="106"/>
      <c r="V181" s="106"/>
    </row>
    <row r="182" spans="20:22" x14ac:dyDescent="0.35">
      <c r="T182" s="106"/>
      <c r="U182" s="106"/>
      <c r="V182" s="106"/>
    </row>
    <row r="183" spans="20:22" x14ac:dyDescent="0.35">
      <c r="T183" s="106"/>
      <c r="U183" s="106"/>
      <c r="V183" s="106"/>
    </row>
    <row r="184" spans="20:22" x14ac:dyDescent="0.35">
      <c r="T184" s="106"/>
      <c r="U184" s="106"/>
      <c r="V184" s="106"/>
    </row>
    <row r="185" spans="20:22" x14ac:dyDescent="0.35">
      <c r="T185" s="106"/>
      <c r="U185" s="106"/>
      <c r="V185" s="106"/>
    </row>
    <row r="186" spans="20:22" x14ac:dyDescent="0.35">
      <c r="T186" s="106"/>
      <c r="U186" s="106"/>
      <c r="V186" s="106"/>
    </row>
    <row r="187" spans="20:22" x14ac:dyDescent="0.35">
      <c r="T187" s="106"/>
      <c r="U187" s="106"/>
      <c r="V187" s="106"/>
    </row>
    <row r="188" spans="20:22" x14ac:dyDescent="0.35">
      <c r="T188" s="106"/>
      <c r="U188" s="106"/>
      <c r="V188" s="106"/>
    </row>
    <row r="189" spans="20:22" x14ac:dyDescent="0.35">
      <c r="T189" s="106"/>
      <c r="U189" s="106"/>
      <c r="V189" s="106"/>
    </row>
    <row r="190" spans="20:22" x14ac:dyDescent="0.35">
      <c r="T190" s="106"/>
      <c r="U190" s="106"/>
      <c r="V190" s="106"/>
    </row>
    <row r="191" spans="20:22" ht="24" customHeight="1" x14ac:dyDescent="0.35">
      <c r="T191" s="106"/>
      <c r="U191" s="106"/>
      <c r="V191" s="106"/>
    </row>
    <row r="192" spans="20:22" x14ac:dyDescent="0.35">
      <c r="T192" s="106"/>
      <c r="U192" s="106"/>
      <c r="V192" s="106"/>
    </row>
    <row r="193" spans="20:22" x14ac:dyDescent="0.35">
      <c r="T193" s="106"/>
      <c r="U193" s="106"/>
      <c r="V193" s="106"/>
    </row>
    <row r="194" spans="20:22" x14ac:dyDescent="0.35">
      <c r="T194" s="106"/>
      <c r="U194" s="106"/>
      <c r="V194" s="106"/>
    </row>
    <row r="195" spans="20:22" x14ac:dyDescent="0.35">
      <c r="T195" s="106"/>
      <c r="U195" s="106"/>
      <c r="V195" s="106"/>
    </row>
    <row r="196" spans="20:22" x14ac:dyDescent="0.35">
      <c r="T196" s="106"/>
      <c r="U196" s="106"/>
      <c r="V196" s="106"/>
    </row>
    <row r="197" spans="20:22" x14ac:dyDescent="0.35">
      <c r="T197" s="106"/>
      <c r="U197" s="106"/>
      <c r="V197" s="106"/>
    </row>
    <row r="198" spans="20:22" x14ac:dyDescent="0.35">
      <c r="T198" s="106"/>
      <c r="U198" s="106"/>
      <c r="V198" s="106"/>
    </row>
    <row r="199" spans="20:22" x14ac:dyDescent="0.35">
      <c r="T199" s="106"/>
      <c r="U199" s="106"/>
      <c r="V199" s="106"/>
    </row>
    <row r="200" spans="20:22" x14ac:dyDescent="0.35">
      <c r="T200" s="106"/>
      <c r="U200" s="106"/>
      <c r="V200" s="106"/>
    </row>
    <row r="201" spans="20:22" x14ac:dyDescent="0.35">
      <c r="T201" s="106"/>
      <c r="U201" s="106"/>
      <c r="V201" s="106"/>
    </row>
    <row r="202" spans="20:22" ht="24" customHeight="1" x14ac:dyDescent="0.35">
      <c r="T202" s="106"/>
      <c r="U202" s="106"/>
      <c r="V202" s="106"/>
    </row>
    <row r="203" spans="20:22" x14ac:dyDescent="0.35">
      <c r="T203" s="106"/>
      <c r="U203" s="106"/>
      <c r="V203" s="106"/>
    </row>
    <row r="204" spans="20:22" x14ac:dyDescent="0.35">
      <c r="T204" s="106"/>
      <c r="U204" s="106"/>
      <c r="V204" s="106"/>
    </row>
    <row r="205" spans="20:22" x14ac:dyDescent="0.35">
      <c r="T205" s="106"/>
      <c r="U205" s="106"/>
      <c r="V205" s="106"/>
    </row>
    <row r="206" spans="20:22" x14ac:dyDescent="0.35">
      <c r="T206" s="106"/>
      <c r="U206" s="106"/>
      <c r="V206" s="106"/>
    </row>
    <row r="207" spans="20:22" x14ac:dyDescent="0.35">
      <c r="T207" s="106"/>
      <c r="U207" s="106"/>
      <c r="V207" s="106"/>
    </row>
    <row r="208" spans="20:22" x14ac:dyDescent="0.35">
      <c r="T208" s="106"/>
      <c r="U208" s="106"/>
      <c r="V208" s="106"/>
    </row>
    <row r="209" spans="20:22" x14ac:dyDescent="0.35">
      <c r="T209" s="106"/>
      <c r="U209" s="106"/>
      <c r="V209" s="106"/>
    </row>
    <row r="210" spans="20:22" x14ac:dyDescent="0.35">
      <c r="T210" s="106"/>
      <c r="U210" s="106"/>
      <c r="V210" s="106"/>
    </row>
    <row r="211" spans="20:22" x14ac:dyDescent="0.35">
      <c r="T211" s="106"/>
      <c r="U211" s="106"/>
      <c r="V211" s="106"/>
    </row>
    <row r="212" spans="20:22" x14ac:dyDescent="0.35">
      <c r="T212" s="106"/>
      <c r="U212" s="106"/>
      <c r="V212" s="106"/>
    </row>
    <row r="213" spans="20:22" ht="24" customHeight="1" x14ac:dyDescent="0.35">
      <c r="T213" s="106"/>
      <c r="U213" s="106"/>
      <c r="V213" s="106"/>
    </row>
    <row r="214" spans="20:22" x14ac:dyDescent="0.35">
      <c r="T214" s="106"/>
      <c r="U214" s="106"/>
      <c r="V214" s="106"/>
    </row>
    <row r="215" spans="20:22" x14ac:dyDescent="0.35">
      <c r="T215" s="106"/>
      <c r="U215" s="106"/>
      <c r="V215" s="106"/>
    </row>
    <row r="216" spans="20:22" x14ac:dyDescent="0.35">
      <c r="T216" s="106"/>
      <c r="U216" s="106"/>
      <c r="V216" s="106"/>
    </row>
    <row r="217" spans="20:22" x14ac:dyDescent="0.35">
      <c r="T217" s="106"/>
      <c r="U217" s="106"/>
      <c r="V217" s="106"/>
    </row>
    <row r="218" spans="20:22" x14ac:dyDescent="0.35">
      <c r="T218" s="106"/>
      <c r="U218" s="106"/>
      <c r="V218" s="106"/>
    </row>
    <row r="219" spans="20:22" x14ac:dyDescent="0.35">
      <c r="T219" s="106"/>
      <c r="U219" s="106"/>
      <c r="V219" s="106"/>
    </row>
    <row r="220" spans="20:22" x14ac:dyDescent="0.35">
      <c r="T220" s="106"/>
      <c r="U220" s="106"/>
      <c r="V220" s="106"/>
    </row>
    <row r="221" spans="20:22" x14ac:dyDescent="0.35">
      <c r="T221" s="106"/>
      <c r="U221" s="106"/>
      <c r="V221" s="106"/>
    </row>
    <row r="222" spans="20:22" x14ac:dyDescent="0.35">
      <c r="T222" s="106"/>
      <c r="U222" s="106"/>
      <c r="V222" s="106"/>
    </row>
    <row r="223" spans="20:22" x14ac:dyDescent="0.35">
      <c r="T223" s="106"/>
      <c r="U223" s="106"/>
      <c r="V223" s="106"/>
    </row>
    <row r="224" spans="20:22" ht="24" customHeight="1" x14ac:dyDescent="0.35">
      <c r="T224" s="106"/>
      <c r="U224" s="106"/>
      <c r="V224" s="106"/>
    </row>
    <row r="225" spans="20:22" x14ac:dyDescent="0.35">
      <c r="T225" s="106"/>
      <c r="U225" s="106"/>
      <c r="V225" s="106"/>
    </row>
    <row r="226" spans="20:22" x14ac:dyDescent="0.35">
      <c r="T226" s="106"/>
      <c r="U226" s="106"/>
      <c r="V226" s="106"/>
    </row>
    <row r="227" spans="20:22" x14ac:dyDescent="0.35">
      <c r="T227" s="106"/>
      <c r="U227" s="106"/>
      <c r="V227" s="106"/>
    </row>
    <row r="228" spans="20:22" x14ac:dyDescent="0.35">
      <c r="T228" s="106"/>
      <c r="U228" s="106"/>
      <c r="V228" s="106"/>
    </row>
    <row r="229" spans="20:22" x14ac:dyDescent="0.35">
      <c r="T229" s="106"/>
      <c r="U229" s="106"/>
      <c r="V229" s="106"/>
    </row>
    <row r="230" spans="20:22" x14ac:dyDescent="0.35">
      <c r="T230" s="106"/>
      <c r="U230" s="106"/>
      <c r="V230" s="106"/>
    </row>
    <row r="231" spans="20:22" x14ac:dyDescent="0.35">
      <c r="T231" s="106"/>
      <c r="U231" s="106"/>
      <c r="V231" s="106"/>
    </row>
    <row r="232" spans="20:22" x14ac:dyDescent="0.35">
      <c r="T232" s="106"/>
      <c r="U232" s="106"/>
      <c r="V232" s="106"/>
    </row>
    <row r="233" spans="20:22" x14ac:dyDescent="0.35">
      <c r="T233" s="106"/>
      <c r="U233" s="106"/>
      <c r="V233" s="106"/>
    </row>
    <row r="234" spans="20:22" x14ac:dyDescent="0.35">
      <c r="T234" s="106"/>
      <c r="U234" s="106"/>
      <c r="V234" s="106"/>
    </row>
    <row r="235" spans="20:22" ht="24" customHeight="1" x14ac:dyDescent="0.35">
      <c r="T235" s="106"/>
      <c r="U235" s="106"/>
      <c r="V235" s="106"/>
    </row>
    <row r="236" spans="20:22" x14ac:dyDescent="0.35">
      <c r="T236" s="106"/>
      <c r="U236" s="106"/>
      <c r="V236" s="106"/>
    </row>
    <row r="237" spans="20:22" x14ac:dyDescent="0.35">
      <c r="T237" s="106"/>
      <c r="U237" s="106"/>
      <c r="V237" s="106"/>
    </row>
    <row r="238" spans="20:22" x14ac:dyDescent="0.35">
      <c r="T238" s="106"/>
      <c r="U238" s="106"/>
      <c r="V238" s="106"/>
    </row>
    <row r="239" spans="20:22" x14ac:dyDescent="0.35">
      <c r="T239" s="106"/>
      <c r="U239" s="106"/>
      <c r="V239" s="106"/>
    </row>
    <row r="240" spans="20:22" x14ac:dyDescent="0.35">
      <c r="T240" s="106"/>
      <c r="U240" s="106"/>
      <c r="V240" s="106"/>
    </row>
    <row r="241" spans="20:22" x14ac:dyDescent="0.35">
      <c r="T241" s="106"/>
      <c r="U241" s="106"/>
      <c r="V241" s="106"/>
    </row>
    <row r="242" spans="20:22" x14ac:dyDescent="0.35">
      <c r="T242" s="106"/>
      <c r="U242" s="106"/>
      <c r="V242" s="106"/>
    </row>
    <row r="243" spans="20:22" x14ac:dyDescent="0.35">
      <c r="T243" s="106"/>
      <c r="U243" s="106"/>
      <c r="V243" s="106"/>
    </row>
    <row r="244" spans="20:22" x14ac:dyDescent="0.35">
      <c r="T244" s="106"/>
      <c r="U244" s="106"/>
      <c r="V244" s="106"/>
    </row>
    <row r="245" spans="20:22" x14ac:dyDescent="0.35">
      <c r="T245" s="106"/>
      <c r="U245" s="106"/>
      <c r="V245" s="106"/>
    </row>
    <row r="246" spans="20:22" ht="24" customHeight="1" x14ac:dyDescent="0.35">
      <c r="T246" s="106"/>
      <c r="U246" s="106"/>
      <c r="V246" s="106"/>
    </row>
    <row r="247" spans="20:22" x14ac:dyDescent="0.35">
      <c r="T247" s="106"/>
      <c r="U247" s="106"/>
      <c r="V247" s="106"/>
    </row>
    <row r="248" spans="20:22" x14ac:dyDescent="0.35">
      <c r="T248" s="106"/>
      <c r="U248" s="106"/>
      <c r="V248" s="106"/>
    </row>
    <row r="249" spans="20:22" x14ac:dyDescent="0.35">
      <c r="T249" s="106"/>
      <c r="U249" s="106"/>
      <c r="V249" s="106"/>
    </row>
    <row r="250" spans="20:22" x14ac:dyDescent="0.35">
      <c r="T250" s="106"/>
      <c r="U250" s="106"/>
      <c r="V250" s="106"/>
    </row>
    <row r="251" spans="20:22" x14ac:dyDescent="0.35">
      <c r="T251" s="106"/>
      <c r="U251" s="106"/>
      <c r="V251" s="106"/>
    </row>
    <row r="252" spans="20:22" x14ac:dyDescent="0.35">
      <c r="T252" s="106"/>
      <c r="U252" s="106"/>
      <c r="V252" s="106"/>
    </row>
    <row r="253" spans="20:22" x14ac:dyDescent="0.35">
      <c r="T253" s="106"/>
      <c r="U253" s="106"/>
      <c r="V253" s="106"/>
    </row>
    <row r="254" spans="20:22" x14ac:dyDescent="0.35">
      <c r="T254" s="106"/>
      <c r="U254" s="106"/>
      <c r="V254" s="106"/>
    </row>
    <row r="255" spans="20:22" x14ac:dyDescent="0.35">
      <c r="T255" s="106"/>
      <c r="U255" s="106"/>
      <c r="V255" s="106"/>
    </row>
    <row r="256" spans="20:22" x14ac:dyDescent="0.35">
      <c r="T256" s="106"/>
      <c r="U256" s="106"/>
      <c r="V256" s="106"/>
    </row>
    <row r="257" spans="20:22" ht="24" customHeight="1" x14ac:dyDescent="0.35">
      <c r="T257" s="106"/>
      <c r="U257" s="106"/>
      <c r="V257" s="106"/>
    </row>
    <row r="258" spans="20:22" x14ac:dyDescent="0.35">
      <c r="T258" s="106"/>
      <c r="U258" s="106"/>
      <c r="V258" s="106"/>
    </row>
    <row r="259" spans="20:22" x14ac:dyDescent="0.35">
      <c r="T259" s="106"/>
      <c r="U259" s="106"/>
      <c r="V259" s="106"/>
    </row>
    <row r="260" spans="20:22" x14ac:dyDescent="0.35">
      <c r="T260" s="106"/>
      <c r="U260" s="106"/>
      <c r="V260" s="106"/>
    </row>
    <row r="261" spans="20:22" x14ac:dyDescent="0.35">
      <c r="T261" s="106"/>
      <c r="U261" s="106"/>
      <c r="V261" s="106"/>
    </row>
    <row r="262" spans="20:22" x14ac:dyDescent="0.35">
      <c r="T262" s="106"/>
      <c r="U262" s="106"/>
      <c r="V262" s="106"/>
    </row>
    <row r="263" spans="20:22" x14ac:dyDescent="0.35">
      <c r="T263" s="106"/>
      <c r="U263" s="106"/>
      <c r="V263" s="106"/>
    </row>
    <row r="264" spans="20:22" x14ac:dyDescent="0.35">
      <c r="T264" s="106"/>
      <c r="U264" s="106"/>
      <c r="V264" s="106"/>
    </row>
    <row r="265" spans="20:22" x14ac:dyDescent="0.35">
      <c r="T265" s="106"/>
      <c r="U265" s="106"/>
      <c r="V265" s="106"/>
    </row>
    <row r="266" spans="20:22" x14ac:dyDescent="0.35">
      <c r="T266" s="106"/>
      <c r="U266" s="106"/>
      <c r="V266" s="106"/>
    </row>
    <row r="267" spans="20:22" x14ac:dyDescent="0.35">
      <c r="T267" s="106"/>
      <c r="U267" s="106"/>
      <c r="V267" s="106"/>
    </row>
    <row r="268" spans="20:22" x14ac:dyDescent="0.35">
      <c r="T268" s="106"/>
      <c r="U268" s="106"/>
      <c r="V268" s="106"/>
    </row>
    <row r="269" spans="20:22" x14ac:dyDescent="0.35">
      <c r="T269" s="106"/>
      <c r="U269" s="106"/>
      <c r="V269" s="106"/>
    </row>
    <row r="270" spans="20:22" x14ac:dyDescent="0.35">
      <c r="T270" s="106"/>
      <c r="U270" s="106"/>
      <c r="V270" s="106"/>
    </row>
    <row r="271" spans="20:22" x14ac:dyDescent="0.35">
      <c r="T271" s="106"/>
      <c r="U271" s="106"/>
      <c r="V271" s="106"/>
    </row>
    <row r="272" spans="20:22" x14ac:dyDescent="0.35">
      <c r="T272" s="106"/>
      <c r="U272" s="106"/>
      <c r="V272" s="106"/>
    </row>
    <row r="273" spans="20:22" x14ac:dyDescent="0.35">
      <c r="T273" s="106"/>
      <c r="U273" s="106"/>
      <c r="V273" s="106"/>
    </row>
    <row r="274" spans="20:22" x14ac:dyDescent="0.35">
      <c r="T274" s="106"/>
      <c r="U274" s="106"/>
      <c r="V274" s="106"/>
    </row>
  </sheetData>
  <mergeCells count="2">
    <mergeCell ref="G1:J1"/>
    <mergeCell ref="K1:M1"/>
  </mergeCells>
  <conditionalFormatting sqref="X74">
    <cfRule type="duplicateValues" dxfId="340" priority="3"/>
  </conditionalFormatting>
  <conditionalFormatting sqref="X61:AA61">
    <cfRule type="duplicateValues" dxfId="339" priority="2"/>
  </conditionalFormatting>
  <conditionalFormatting sqref="D75:D76">
    <cfRule type="duplicateValues" dxfId="33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8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9" location="'CBA {E}'!A1" display="Clean Buildings Accelerator"/>
    <hyperlink ref="C32" location="'CI New Construction {E}'!A1" display="Commercial/Industrial New Construction"/>
    <hyperlink ref="C33" location="'Com SEM {E}'!A1" display="Commercial Strategic Energy Management"/>
    <hyperlink ref="C34" location="'P4P {E}'!A1" display="Pay for Performance"/>
    <hyperlink ref="C35" location="'LPU 449 {E}'!A1" display="Large Power User, Self-Directed 449"/>
    <hyperlink ref="C36" location="'LPU Non-449 {E}'!A1" display="Large Power User, Self Directed non-449"/>
    <hyperlink ref="C38" location="'Lighting to Go {E}'!A1" display="Lighting to Go--AKA Business Lighting Markdowns"/>
    <hyperlink ref="C39" location="'Commercial Kitchen Laundry {E}'!A1" display="Commercial Kitchen and Laundry"/>
    <hyperlink ref="C40" location="'Commercial HVAC {E}'!A1" display="Commercial HVAC Rebates"/>
    <hyperlink ref="C41" location="'Commercial Midstream {E}'!A1" display="Commercial Midstream"/>
    <hyperlink ref="C42" location="'SBDI {E}'!A1" display="Small Business Direct Install"/>
    <hyperlink ref="C43" location="'Lodging Rebates {E}'!A1" display="Lodging Rebates"/>
    <hyperlink ref="C45" location="'Residential Pilots {E}'!A1" display="Residential Pilots"/>
    <hyperlink ref="C46" location="'Commercial Pilots {E}'!A1" display="Commercial Pilots"/>
    <hyperlink ref="C48" location="'NEEA {E}'!A1" display="Northwest Energy Efficiency Alliance"/>
    <hyperlink ref="C49" location="'T&amp;D {E}'!A1" display="Transmission &amp; Distribution"/>
    <hyperlink ref="C50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topLeftCell="A46" zoomScale="85" zoomScaleNormal="85" workbookViewId="0">
      <selection activeCell="O67" sqref="O6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18230711</v>
      </c>
      <c r="D2" s="20" t="s">
        <v>119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18230711</v>
      </c>
      <c r="D5" s="61" t="s">
        <v>119</v>
      </c>
      <c r="E5" s="38" t="s">
        <v>1114</v>
      </c>
      <c r="F5" s="39" t="s">
        <v>1115</v>
      </c>
      <c r="G5" s="39">
        <v>24</v>
      </c>
      <c r="H5" s="39"/>
      <c r="I5" s="40" t="s">
        <v>266</v>
      </c>
      <c r="J5" s="41">
        <v>1</v>
      </c>
      <c r="K5" s="41">
        <v>5569</v>
      </c>
      <c r="L5" s="41"/>
      <c r="M5" s="42">
        <v>2227</v>
      </c>
      <c r="N5" s="42">
        <v>5364</v>
      </c>
      <c r="O5" s="43">
        <v>5569</v>
      </c>
      <c r="P5" s="44">
        <v>2227</v>
      </c>
      <c r="Q5" s="44">
        <v>5364</v>
      </c>
      <c r="R5" s="45"/>
      <c r="S5" s="46"/>
      <c r="T5" s="39">
        <f t="shared" ref="T5:T24" si="0">G5+H5</f>
        <v>24</v>
      </c>
      <c r="U5" s="47">
        <f t="shared" ref="U5:U24" si="1">(O5/$A$10)*T5</f>
        <v>1.0272793644788815E-2</v>
      </c>
      <c r="V5" s="48">
        <f t="shared" ref="V5:V24" si="2">N5-M5</f>
        <v>3137</v>
      </c>
      <c r="W5" s="49">
        <f t="shared" ref="W5:W24" si="3">(O5/A$10)</f>
        <v>4.2803306853286729E-4</v>
      </c>
      <c r="X5" s="44">
        <f t="shared" ref="X5:X24" si="4">W5*A$8</f>
        <v>749.1368805566384</v>
      </c>
      <c r="Y5" s="44">
        <f t="shared" ref="Y5:Y24" si="5">Q5-P5</f>
        <v>3137</v>
      </c>
      <c r="Z5" s="44">
        <f t="shared" ref="Z5:Z24" si="6">X5+(A$6*W5)</f>
        <v>2331.978513286434</v>
      </c>
      <c r="AA5" s="50">
        <f t="shared" ref="AA5:AA24" si="7">Q5+X5</f>
        <v>6113.1368805566381</v>
      </c>
      <c r="AB5" s="51">
        <f t="shared" ref="AB5:AC20" si="8">Z5/(1+ElecDiscountRate)^1</f>
        <v>2183.5004806052752</v>
      </c>
      <c r="AC5" s="44">
        <f t="shared" si="8"/>
        <v>5723.9109368507843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1.7936972870647201</v>
      </c>
      <c r="AG5" s="44">
        <f t="shared" ref="AG5:AG24" si="10">AF5*J5*K5</f>
        <v>9989.1001916634268</v>
      </c>
      <c r="AH5" s="52">
        <f>HLOOKUP(I5,ElecAvoidedCostsWOCC!$A$5:$Q$50,T5+1,FALSE)</f>
        <v>1.7936972870647201</v>
      </c>
      <c r="AI5" s="44">
        <f t="shared" ref="AI5:AI24" si="11">AH5*J5*L5</f>
        <v>0</v>
      </c>
      <c r="AJ5" s="44">
        <f>AG5+AI5</f>
        <v>9989.1001916634268</v>
      </c>
      <c r="AK5" s="44">
        <f>HLOOKUP(I5,ElecAvoidedCostsWOCC!$A$5:$Q$50,G5+1,FALSE)*J5*L5</f>
        <v>0</v>
      </c>
      <c r="AL5" s="44">
        <f>AG5+AI5-AK5</f>
        <v>9989.1001916634268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9989.1001916634268</v>
      </c>
      <c r="AN5" s="48">
        <f>AM5*1.1+AD5+AE5</f>
        <v>10988.010210829771</v>
      </c>
      <c r="AO5" s="47">
        <f>IFERROR(AM5/AB5,0)</f>
        <v>4.574810163950322</v>
      </c>
      <c r="AP5" s="47">
        <f>AN5/AC5</f>
        <v>1.919668270882499</v>
      </c>
    </row>
    <row r="6" spans="1:42" ht="13.5" customHeight="1" x14ac:dyDescent="0.35">
      <c r="A6" s="53">
        <f>SUMIF('Program Costs'!D:D,C2,'Program Costs'!L:L)</f>
        <v>3697942.4</v>
      </c>
      <c r="B6" s="97" t="s">
        <v>62</v>
      </c>
      <c r="C6" s="98">
        <v>18230711</v>
      </c>
      <c r="D6" s="61" t="s">
        <v>119</v>
      </c>
      <c r="E6" s="38" t="s">
        <v>1116</v>
      </c>
      <c r="F6" s="39" t="s">
        <v>1117</v>
      </c>
      <c r="G6" s="39">
        <v>15</v>
      </c>
      <c r="H6" s="39"/>
      <c r="I6" s="40" t="s">
        <v>261</v>
      </c>
      <c r="J6" s="41">
        <v>1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0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 t="s">
        <v>62</v>
      </c>
      <c r="C7" s="98">
        <v>18230711</v>
      </c>
      <c r="D7" s="61" t="s">
        <v>119</v>
      </c>
      <c r="E7" s="38" t="s">
        <v>1116</v>
      </c>
      <c r="F7" s="39" t="s">
        <v>1117</v>
      </c>
      <c r="G7" s="39">
        <v>15</v>
      </c>
      <c r="H7" s="39"/>
      <c r="I7" s="40" t="s">
        <v>261</v>
      </c>
      <c r="J7" s="41">
        <v>1</v>
      </c>
      <c r="K7" s="41">
        <v>44594</v>
      </c>
      <c r="L7" s="41"/>
      <c r="M7" s="42">
        <v>22297</v>
      </c>
      <c r="N7" s="42">
        <v>92280.25</v>
      </c>
      <c r="O7" s="43">
        <v>44594</v>
      </c>
      <c r="P7" s="44">
        <v>22297</v>
      </c>
      <c r="Q7" s="44">
        <v>92280.25</v>
      </c>
      <c r="R7" s="45"/>
      <c r="S7" s="46"/>
      <c r="T7" s="39">
        <f t="shared" si="0"/>
        <v>15</v>
      </c>
      <c r="U7" s="47">
        <f t="shared" si="1"/>
        <v>5.1412389993234019E-2</v>
      </c>
      <c r="V7" s="48">
        <f t="shared" si="2"/>
        <v>69983.25</v>
      </c>
      <c r="W7" s="49">
        <f t="shared" si="3"/>
        <v>3.4274926662156012E-3</v>
      </c>
      <c r="X7" s="44">
        <f t="shared" si="4"/>
        <v>5998.7448467485601</v>
      </c>
      <c r="Y7" s="44">
        <f t="shared" si="5"/>
        <v>69983.25</v>
      </c>
      <c r="Z7" s="44">
        <f t="shared" si="6"/>
        <v>18673.415302836278</v>
      </c>
      <c r="AA7" s="50">
        <f t="shared" si="7"/>
        <v>98278.994846748566</v>
      </c>
      <c r="AB7" s="51">
        <f t="shared" si="8"/>
        <v>17484.471257337336</v>
      </c>
      <c r="AC7" s="44">
        <f t="shared" si="8"/>
        <v>92021.530755382541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47999.503475797414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47999.503475797414</v>
      </c>
      <c r="AK7" s="44">
        <f>HLOOKUP(I7,ElecAvoidedCostsWOCC!$A$5:$Q$50,G7+1,FALSE)*J7*L7</f>
        <v>0</v>
      </c>
      <c r="AL7" s="44">
        <f t="shared" si="13"/>
        <v>47999.503475797414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47999.503475797414</v>
      </c>
      <c r="AN7" s="48">
        <f t="shared" si="14"/>
        <v>52799.45382337716</v>
      </c>
      <c r="AO7" s="47">
        <f t="shared" si="15"/>
        <v>2.7452647992231669</v>
      </c>
      <c r="AP7" s="47">
        <f t="shared" si="16"/>
        <v>0.57377282674999197</v>
      </c>
    </row>
    <row r="8" spans="1:42" ht="13.5" customHeight="1" x14ac:dyDescent="0.35">
      <c r="A8" s="53">
        <f>SUMIF('Program Costs'!D:D,C2,'Program Costs'!O:O)</f>
        <v>1750184.5900000003</v>
      </c>
      <c r="B8" s="97" t="s">
        <v>62</v>
      </c>
      <c r="C8" s="98">
        <v>18230711</v>
      </c>
      <c r="D8" s="61" t="s">
        <v>119</v>
      </c>
      <c r="E8" s="38" t="s">
        <v>1116</v>
      </c>
      <c r="F8" s="39" t="s">
        <v>1117</v>
      </c>
      <c r="G8" s="39">
        <v>15</v>
      </c>
      <c r="H8" s="39"/>
      <c r="I8" s="40" t="s">
        <v>261</v>
      </c>
      <c r="J8" s="41">
        <v>1</v>
      </c>
      <c r="K8" s="41">
        <v>325134</v>
      </c>
      <c r="L8" s="41"/>
      <c r="M8" s="42">
        <v>71677</v>
      </c>
      <c r="N8" s="42">
        <v>92715</v>
      </c>
      <c r="O8" s="43">
        <v>325134</v>
      </c>
      <c r="P8" s="44">
        <v>71677</v>
      </c>
      <c r="Q8" s="44">
        <v>92715</v>
      </c>
      <c r="R8" s="45"/>
      <c r="S8" s="46"/>
      <c r="T8" s="39">
        <f t="shared" si="0"/>
        <v>15</v>
      </c>
      <c r="U8" s="47">
        <f t="shared" si="1"/>
        <v>0.37484675086469366</v>
      </c>
      <c r="V8" s="48">
        <f t="shared" si="2"/>
        <v>21038</v>
      </c>
      <c r="W8" s="49">
        <f t="shared" si="3"/>
        <v>2.4989783390979577E-2</v>
      </c>
      <c r="X8" s="44">
        <f t="shared" si="4"/>
        <v>43736.73379833041</v>
      </c>
      <c r="Y8" s="44">
        <f t="shared" si="5"/>
        <v>21038</v>
      </c>
      <c r="Z8" s="44">
        <f t="shared" si="6"/>
        <v>136147.51336664957</v>
      </c>
      <c r="AA8" s="50">
        <f t="shared" si="7"/>
        <v>136451.73379833042</v>
      </c>
      <c r="AB8" s="51">
        <f t="shared" si="8"/>
        <v>127478.94509985913</v>
      </c>
      <c r="AC8" s="44">
        <f t="shared" si="8"/>
        <v>127763.79569132061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349963.46062474581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349963.46062474581</v>
      </c>
      <c r="AK8" s="44">
        <f>HLOOKUP(I8,ElecAvoidedCostsWOCC!$A$5:$Q$50,G8+1,FALSE)*J8*L8</f>
        <v>0</v>
      </c>
      <c r="AL8" s="44">
        <f t="shared" si="13"/>
        <v>349963.46062474581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349963.46062474581</v>
      </c>
      <c r="AN8" s="48">
        <f t="shared" si="14"/>
        <v>384959.80668722041</v>
      </c>
      <c r="AO8" s="47">
        <f t="shared" si="15"/>
        <v>2.745264799223166</v>
      </c>
      <c r="AP8" s="47">
        <f t="shared" si="16"/>
        <v>3.0130586259137879</v>
      </c>
    </row>
    <row r="9" spans="1:42" ht="13.5" customHeight="1" x14ac:dyDescent="0.35">
      <c r="A9" s="36" t="s">
        <v>242</v>
      </c>
      <c r="B9" s="97" t="s">
        <v>62</v>
      </c>
      <c r="C9" s="98">
        <v>18230711</v>
      </c>
      <c r="D9" s="61" t="s">
        <v>119</v>
      </c>
      <c r="E9" s="38" t="s">
        <v>1118</v>
      </c>
      <c r="F9" s="39" t="s">
        <v>1119</v>
      </c>
      <c r="G9" s="39">
        <v>30</v>
      </c>
      <c r="H9" s="39"/>
      <c r="I9" s="40" t="s">
        <v>266</v>
      </c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0</v>
      </c>
      <c r="Q9" s="44">
        <v>0</v>
      </c>
      <c r="R9" s="45"/>
      <c r="S9" s="46"/>
      <c r="T9" s="39">
        <f t="shared" si="0"/>
        <v>30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2.0075620972591661</v>
      </c>
      <c r="AG9" s="44">
        <f t="shared" si="10"/>
        <v>0</v>
      </c>
      <c r="AH9" s="52">
        <f>HLOOKUP(I9,ElecAvoidedCostsWOCC!$A$5:$Q$50,T9+1,FALSE)</f>
        <v>2.0075620972591661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13010677</v>
      </c>
      <c r="B10" s="97" t="s">
        <v>62</v>
      </c>
      <c r="C10" s="98">
        <v>18230711</v>
      </c>
      <c r="D10" s="61" t="s">
        <v>119</v>
      </c>
      <c r="E10" s="38" t="s">
        <v>1120</v>
      </c>
      <c r="F10" s="39" t="s">
        <v>1121</v>
      </c>
      <c r="G10" s="39">
        <v>10</v>
      </c>
      <c r="H10" s="39"/>
      <c r="I10" s="40" t="s">
        <v>261</v>
      </c>
      <c r="J10" s="41">
        <v>1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/>
      <c r="S10" s="46"/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0.76241877163232408</v>
      </c>
      <c r="AG10" s="44">
        <f t="shared" si="10"/>
        <v>0</v>
      </c>
      <c r="AH10" s="52">
        <f>HLOOKUP(I10,ElecAvoidedCostsWOCC!$A$5:$Q$50,T10+1,FALSE)</f>
        <v>0.76241877163232408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62</v>
      </c>
      <c r="C11" s="98">
        <v>18230711</v>
      </c>
      <c r="D11" s="61" t="s">
        <v>119</v>
      </c>
      <c r="E11" s="38" t="s">
        <v>1120</v>
      </c>
      <c r="F11" s="39" t="s">
        <v>1121</v>
      </c>
      <c r="G11" s="39">
        <v>10</v>
      </c>
      <c r="H11" s="39"/>
      <c r="I11" s="40" t="s">
        <v>261</v>
      </c>
      <c r="J11" s="41">
        <v>1</v>
      </c>
      <c r="K11" s="41">
        <v>113894</v>
      </c>
      <c r="L11" s="41"/>
      <c r="M11" s="42">
        <v>40522</v>
      </c>
      <c r="N11" s="42">
        <v>40522</v>
      </c>
      <c r="O11" s="43">
        <v>113894</v>
      </c>
      <c r="P11" s="44">
        <v>40522</v>
      </c>
      <c r="Q11" s="44">
        <v>40522</v>
      </c>
      <c r="R11" s="45"/>
      <c r="S11" s="46"/>
      <c r="T11" s="39">
        <f t="shared" si="0"/>
        <v>10</v>
      </c>
      <c r="U11" s="47">
        <f t="shared" si="1"/>
        <v>8.7538872881096047E-2</v>
      </c>
      <c r="V11" s="48">
        <f t="shared" si="2"/>
        <v>0</v>
      </c>
      <c r="W11" s="49">
        <f t="shared" si="3"/>
        <v>8.753887288109604E-3</v>
      </c>
      <c r="X11" s="44">
        <f t="shared" si="4"/>
        <v>15320.918634246322</v>
      </c>
      <c r="Y11" s="44">
        <f t="shared" si="5"/>
        <v>0</v>
      </c>
      <c r="Z11" s="44">
        <f t="shared" si="6"/>
        <v>47692.289601767843</v>
      </c>
      <c r="AA11" s="50">
        <f t="shared" si="7"/>
        <v>55842.918634246322</v>
      </c>
      <c r="AB11" s="51">
        <f t="shared" si="8"/>
        <v>44655.701874314458</v>
      </c>
      <c r="AC11" s="44">
        <f t="shared" si="8"/>
        <v>52287.376998357977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0.76241877163232408</v>
      </c>
      <c r="AG11" s="44">
        <f t="shared" si="10"/>
        <v>86834.923576291912</v>
      </c>
      <c r="AH11" s="52">
        <f>HLOOKUP(I11,ElecAvoidedCostsWOCC!$A$5:$Q$50,T11+1,FALSE)</f>
        <v>0.76241877163232408</v>
      </c>
      <c r="AI11" s="44">
        <f t="shared" si="11"/>
        <v>0</v>
      </c>
      <c r="AJ11" s="44">
        <f t="shared" si="12"/>
        <v>86834.923576291912</v>
      </c>
      <c r="AK11" s="44">
        <f>HLOOKUP(I11,ElecAvoidedCostsWOCC!$A$5:$Q$50,G11+1,FALSE)*J11*L11</f>
        <v>0</v>
      </c>
      <c r="AL11" s="44">
        <f t="shared" si="13"/>
        <v>86834.923576291912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86834.923576291912</v>
      </c>
      <c r="AN11" s="48">
        <f t="shared" si="14"/>
        <v>95518.415933921118</v>
      </c>
      <c r="AO11" s="47">
        <f t="shared" si="15"/>
        <v>1.9445428003951841</v>
      </c>
      <c r="AP11" s="47">
        <f t="shared" si="16"/>
        <v>1.826796856474953</v>
      </c>
    </row>
    <row r="12" spans="1:42" ht="13.5" customHeight="1" x14ac:dyDescent="0.35">
      <c r="A12" s="55">
        <f>SUM(P5:P1000)</f>
        <v>3697942.4</v>
      </c>
      <c r="B12" s="97" t="s">
        <v>62</v>
      </c>
      <c r="C12" s="98">
        <v>18230711</v>
      </c>
      <c r="D12" s="61" t="s">
        <v>119</v>
      </c>
      <c r="E12" s="38" t="s">
        <v>1120</v>
      </c>
      <c r="F12" s="39" t="s">
        <v>1121</v>
      </c>
      <c r="G12" s="39">
        <v>10</v>
      </c>
      <c r="H12" s="39"/>
      <c r="I12" s="40" t="s">
        <v>261</v>
      </c>
      <c r="J12" s="41">
        <v>1</v>
      </c>
      <c r="K12" s="41">
        <v>25459</v>
      </c>
      <c r="L12" s="41"/>
      <c r="M12" s="42">
        <v>8911</v>
      </c>
      <c r="N12" s="42">
        <v>8911</v>
      </c>
      <c r="O12" s="43">
        <v>25459</v>
      </c>
      <c r="P12" s="44">
        <v>8911</v>
      </c>
      <c r="Q12" s="44">
        <v>8911</v>
      </c>
      <c r="R12" s="45"/>
      <c r="S12" s="46"/>
      <c r="T12" s="39">
        <f t="shared" si="0"/>
        <v>10</v>
      </c>
      <c r="U12" s="47">
        <f t="shared" si="1"/>
        <v>1.9567774989725745E-2</v>
      </c>
      <c r="V12" s="48">
        <f t="shared" si="2"/>
        <v>0</v>
      </c>
      <c r="W12" s="49">
        <f t="shared" si="3"/>
        <v>1.9567774989725745E-3</v>
      </c>
      <c r="X12" s="44">
        <f t="shared" si="4"/>
        <v>3424.721824760541</v>
      </c>
      <c r="Y12" s="44">
        <f t="shared" si="5"/>
        <v>0</v>
      </c>
      <c r="Z12" s="44">
        <f t="shared" si="6"/>
        <v>10660.77230557718</v>
      </c>
      <c r="AA12" s="50">
        <f t="shared" si="7"/>
        <v>12335.721824760541</v>
      </c>
      <c r="AB12" s="51">
        <f t="shared" si="8"/>
        <v>9981.9965408026019</v>
      </c>
      <c r="AC12" s="44">
        <f t="shared" si="8"/>
        <v>11550.301334045451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0.76241877163232408</v>
      </c>
      <c r="AG12" s="44">
        <f t="shared" si="10"/>
        <v>19410.419506987339</v>
      </c>
      <c r="AH12" s="52">
        <f>HLOOKUP(I12,ElecAvoidedCostsWOCC!$A$5:$Q$50,T12+1,FALSE)</f>
        <v>0.76241877163232408</v>
      </c>
      <c r="AI12" s="44">
        <f t="shared" si="11"/>
        <v>0</v>
      </c>
      <c r="AJ12" s="44">
        <f t="shared" si="12"/>
        <v>19410.419506987339</v>
      </c>
      <c r="AK12" s="44">
        <f>HLOOKUP(I12,ElecAvoidedCostsWOCC!$A$5:$Q$50,G12+1,FALSE)*J12*L12</f>
        <v>0</v>
      </c>
      <c r="AL12" s="44">
        <f t="shared" si="13"/>
        <v>19410.419506987339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19410.419506987339</v>
      </c>
      <c r="AN12" s="48">
        <f t="shared" si="14"/>
        <v>21351.461457686073</v>
      </c>
      <c r="AO12" s="47">
        <f t="shared" si="15"/>
        <v>1.9445428003951848</v>
      </c>
      <c r="AP12" s="47">
        <f t="shared" si="16"/>
        <v>1.8485631534781615</v>
      </c>
    </row>
    <row r="13" spans="1:42" ht="13.5" customHeight="1" x14ac:dyDescent="0.35">
      <c r="A13" s="56" t="s">
        <v>246</v>
      </c>
      <c r="B13" s="97" t="s">
        <v>62</v>
      </c>
      <c r="C13" s="98">
        <v>18230711</v>
      </c>
      <c r="D13" s="61" t="s">
        <v>119</v>
      </c>
      <c r="E13" s="38" t="s">
        <v>1120</v>
      </c>
      <c r="F13" s="39" t="s">
        <v>1121</v>
      </c>
      <c r="G13" s="39">
        <v>10</v>
      </c>
      <c r="H13" s="39"/>
      <c r="I13" s="40" t="s">
        <v>261</v>
      </c>
      <c r="J13" s="41">
        <v>1</v>
      </c>
      <c r="K13" s="41">
        <v>30417</v>
      </c>
      <c r="L13" s="41"/>
      <c r="M13" s="42">
        <v>9125</v>
      </c>
      <c r="N13" s="42">
        <v>9125</v>
      </c>
      <c r="O13" s="43">
        <v>30417</v>
      </c>
      <c r="P13" s="44">
        <v>9125</v>
      </c>
      <c r="Q13" s="44">
        <v>9125</v>
      </c>
      <c r="R13" s="45"/>
      <c r="S13" s="46"/>
      <c r="T13" s="39">
        <f t="shared" si="0"/>
        <v>10</v>
      </c>
      <c r="U13" s="47">
        <f t="shared" si="1"/>
        <v>2.33784913728932E-2</v>
      </c>
      <c r="V13" s="48">
        <f t="shared" si="2"/>
        <v>0</v>
      </c>
      <c r="W13" s="49">
        <f t="shared" si="3"/>
        <v>2.33784913728932E-3</v>
      </c>
      <c r="X13" s="44">
        <f t="shared" si="4"/>
        <v>4091.6675338285631</v>
      </c>
      <c r="Y13" s="44">
        <f t="shared" si="5"/>
        <v>0</v>
      </c>
      <c r="Z13" s="44">
        <f t="shared" si="6"/>
        <v>12736.898983414161</v>
      </c>
      <c r="AA13" s="50">
        <f t="shared" si="7"/>
        <v>13216.667533828564</v>
      </c>
      <c r="AB13" s="51">
        <f t="shared" si="8"/>
        <v>11925.935377728614</v>
      </c>
      <c r="AC13" s="44">
        <f t="shared" si="8"/>
        <v>12375.156866880678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0.76241877163232408</v>
      </c>
      <c r="AG13" s="44">
        <f t="shared" si="10"/>
        <v>23190.4917767404</v>
      </c>
      <c r="AH13" s="52">
        <f>HLOOKUP(I13,ElecAvoidedCostsWOCC!$A$5:$Q$50,T13+1,FALSE)</f>
        <v>0.76241877163232408</v>
      </c>
      <c r="AI13" s="44">
        <f t="shared" si="11"/>
        <v>0</v>
      </c>
      <c r="AJ13" s="44">
        <f t="shared" si="12"/>
        <v>23190.4917767404</v>
      </c>
      <c r="AK13" s="44">
        <f>HLOOKUP(I13,ElecAvoidedCostsWOCC!$A$5:$Q$50,G13+1,FALSE)*J13*L13</f>
        <v>0</v>
      </c>
      <c r="AL13" s="44">
        <f t="shared" si="13"/>
        <v>23190.4917767404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23190.4917767404</v>
      </c>
      <c r="AN13" s="48">
        <f t="shared" si="14"/>
        <v>25509.540954414442</v>
      </c>
      <c r="AO13" s="47">
        <f t="shared" si="15"/>
        <v>1.9445428003951843</v>
      </c>
      <c r="AP13" s="47">
        <f t="shared" si="16"/>
        <v>2.0613509169071618</v>
      </c>
    </row>
    <row r="14" spans="1:42" ht="13.5" customHeight="1" x14ac:dyDescent="0.35">
      <c r="A14" s="55">
        <f>SUM(Y5:Y1000)</f>
        <v>2504788.3600000003</v>
      </c>
      <c r="B14" s="97" t="s">
        <v>62</v>
      </c>
      <c r="C14" s="98">
        <v>18230711</v>
      </c>
      <c r="D14" s="61" t="s">
        <v>119</v>
      </c>
      <c r="E14" s="38" t="s">
        <v>1120</v>
      </c>
      <c r="F14" s="39" t="s">
        <v>1121</v>
      </c>
      <c r="G14" s="39">
        <v>10</v>
      </c>
      <c r="H14" s="39"/>
      <c r="I14" s="40" t="s">
        <v>261</v>
      </c>
      <c r="J14" s="41">
        <v>1</v>
      </c>
      <c r="K14" s="41">
        <v>46314</v>
      </c>
      <c r="L14" s="41"/>
      <c r="M14" s="42">
        <v>19451</v>
      </c>
      <c r="N14" s="42">
        <v>19451</v>
      </c>
      <c r="O14" s="43">
        <v>46314</v>
      </c>
      <c r="P14" s="44">
        <v>19451</v>
      </c>
      <c r="Q14" s="44">
        <v>19451</v>
      </c>
      <c r="R14" s="45"/>
      <c r="S14" s="46"/>
      <c r="T14" s="39">
        <f t="shared" si="0"/>
        <v>10</v>
      </c>
      <c r="U14" s="47">
        <f t="shared" si="1"/>
        <v>3.5596917823722776E-2</v>
      </c>
      <c r="V14" s="48">
        <f t="shared" si="2"/>
        <v>0</v>
      </c>
      <c r="W14" s="49">
        <f t="shared" si="3"/>
        <v>3.5596917823722779E-3</v>
      </c>
      <c r="X14" s="44">
        <f t="shared" si="4"/>
        <v>6230.1177026575951</v>
      </c>
      <c r="Y14" s="44">
        <f t="shared" si="5"/>
        <v>0</v>
      </c>
      <c r="Z14" s="44">
        <f t="shared" si="6"/>
        <v>19393.652875623615</v>
      </c>
      <c r="AA14" s="50">
        <f t="shared" si="7"/>
        <v>25681.117702657597</v>
      </c>
      <c r="AB14" s="51">
        <f t="shared" si="8"/>
        <v>18158.851007138215</v>
      </c>
      <c r="AC14" s="44">
        <f t="shared" si="8"/>
        <v>24045.990358293628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0.76241877163232408</v>
      </c>
      <c r="AG14" s="44">
        <f t="shared" si="10"/>
        <v>35310.66298937946</v>
      </c>
      <c r="AH14" s="52">
        <f>HLOOKUP(I14,ElecAvoidedCostsWOCC!$A$5:$Q$50,T14+1,FALSE)</f>
        <v>0.76241877163232408</v>
      </c>
      <c r="AI14" s="44">
        <f t="shared" si="11"/>
        <v>0</v>
      </c>
      <c r="AJ14" s="44">
        <f t="shared" si="12"/>
        <v>35310.66298937946</v>
      </c>
      <c r="AK14" s="44">
        <f>HLOOKUP(I14,ElecAvoidedCostsWOCC!$A$5:$Q$50,G14+1,FALSE)*J14*L14</f>
        <v>0</v>
      </c>
      <c r="AL14" s="44">
        <f t="shared" si="13"/>
        <v>35310.66298937946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35310.66298937946</v>
      </c>
      <c r="AN14" s="48">
        <f t="shared" si="14"/>
        <v>38841.729288317409</v>
      </c>
      <c r="AO14" s="47">
        <f t="shared" si="15"/>
        <v>1.9445428003951843</v>
      </c>
      <c r="AP14" s="47">
        <f t="shared" si="16"/>
        <v>1.6153100250628949</v>
      </c>
    </row>
    <row r="15" spans="1:42" ht="13.5" customHeight="1" x14ac:dyDescent="0.35">
      <c r="A15" s="57" t="s">
        <v>249</v>
      </c>
      <c r="B15" s="97" t="s">
        <v>62</v>
      </c>
      <c r="C15" s="98">
        <v>18230711</v>
      </c>
      <c r="D15" s="61" t="s">
        <v>119</v>
      </c>
      <c r="E15" s="38" t="s">
        <v>1120</v>
      </c>
      <c r="F15" s="39" t="s">
        <v>1121</v>
      </c>
      <c r="G15" s="39">
        <v>10</v>
      </c>
      <c r="H15" s="39"/>
      <c r="I15" s="40" t="s">
        <v>261</v>
      </c>
      <c r="J15" s="41">
        <v>1</v>
      </c>
      <c r="K15" s="41">
        <v>77633</v>
      </c>
      <c r="L15" s="41"/>
      <c r="M15" s="42">
        <v>27171</v>
      </c>
      <c r="N15" s="42">
        <v>27171</v>
      </c>
      <c r="O15" s="43">
        <v>77633</v>
      </c>
      <c r="P15" s="44">
        <v>27171</v>
      </c>
      <c r="Q15" s="44">
        <v>27171</v>
      </c>
      <c r="R15" s="45"/>
      <c r="S15" s="46"/>
      <c r="T15" s="39">
        <f t="shared" si="0"/>
        <v>10</v>
      </c>
      <c r="U15" s="47">
        <f t="shared" si="1"/>
        <v>5.9668685956925996E-2</v>
      </c>
      <c r="V15" s="48">
        <f t="shared" si="2"/>
        <v>0</v>
      </c>
      <c r="W15" s="49">
        <f t="shared" si="3"/>
        <v>5.9668685956925996E-3</v>
      </c>
      <c r="X15" s="44">
        <f t="shared" si="4"/>
        <v>10443.121466736131</v>
      </c>
      <c r="Y15" s="44">
        <f t="shared" si="5"/>
        <v>0</v>
      </c>
      <c r="Z15" s="44">
        <f t="shared" si="6"/>
        <v>32508.25784197625</v>
      </c>
      <c r="AA15" s="50">
        <f t="shared" si="7"/>
        <v>37614.121466736135</v>
      </c>
      <c r="AB15" s="51">
        <f t="shared" si="8"/>
        <v>30438.443672262405</v>
      </c>
      <c r="AC15" s="44">
        <f t="shared" si="8"/>
        <v>35219.214856494509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0.76241877163232408</v>
      </c>
      <c r="AG15" s="44">
        <f t="shared" si="10"/>
        <v>59188.856498132212</v>
      </c>
      <c r="AH15" s="52">
        <f>HLOOKUP(I15,ElecAvoidedCostsWOCC!$A$5:$Q$50,T15+1,FALSE)</f>
        <v>0.76241877163232408</v>
      </c>
      <c r="AI15" s="44">
        <f t="shared" si="11"/>
        <v>0</v>
      </c>
      <c r="AJ15" s="44">
        <f t="shared" si="12"/>
        <v>59188.856498132212</v>
      </c>
      <c r="AK15" s="44">
        <f>HLOOKUP(I15,ElecAvoidedCostsWOCC!$A$5:$Q$50,G15+1,FALSE)*J15*L15</f>
        <v>0</v>
      </c>
      <c r="AL15" s="44">
        <f t="shared" si="13"/>
        <v>59188.856498132212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59188.856498132212</v>
      </c>
      <c r="AN15" s="48">
        <f t="shared" si="14"/>
        <v>65107.742147945442</v>
      </c>
      <c r="AO15" s="47">
        <f t="shared" si="15"/>
        <v>1.9445428003951841</v>
      </c>
      <c r="AP15" s="47">
        <f t="shared" si="16"/>
        <v>1.8486426348013665</v>
      </c>
    </row>
    <row r="16" spans="1:42" ht="13.5" customHeight="1" x14ac:dyDescent="0.35">
      <c r="A16" s="54">
        <f>SUM(U5:U999)</f>
        <v>11.317963008381501</v>
      </c>
      <c r="B16" s="97" t="s">
        <v>62</v>
      </c>
      <c r="C16" s="98">
        <v>18230711</v>
      </c>
      <c r="D16" s="61" t="s">
        <v>119</v>
      </c>
      <c r="E16" s="38" t="s">
        <v>1120</v>
      </c>
      <c r="F16" s="39" t="s">
        <v>1121</v>
      </c>
      <c r="G16" s="39">
        <v>10</v>
      </c>
      <c r="H16" s="39"/>
      <c r="I16" s="40" t="s">
        <v>261</v>
      </c>
      <c r="J16" s="41">
        <v>1</v>
      </c>
      <c r="K16" s="41">
        <v>49000</v>
      </c>
      <c r="L16" s="41"/>
      <c r="M16" s="42">
        <v>17150</v>
      </c>
      <c r="N16" s="42">
        <v>17150</v>
      </c>
      <c r="O16" s="43">
        <v>49000</v>
      </c>
      <c r="P16" s="44">
        <v>17150</v>
      </c>
      <c r="Q16" s="44">
        <v>17150</v>
      </c>
      <c r="R16" s="45"/>
      <c r="S16" s="46"/>
      <c r="T16" s="39">
        <f t="shared" si="0"/>
        <v>10</v>
      </c>
      <c r="U16" s="47">
        <f t="shared" si="1"/>
        <v>3.766137611440204E-2</v>
      </c>
      <c r="V16" s="48">
        <f t="shared" si="2"/>
        <v>0</v>
      </c>
      <c r="W16" s="49">
        <f t="shared" si="3"/>
        <v>3.7661376114402042E-3</v>
      </c>
      <c r="X16" s="44">
        <f t="shared" si="4"/>
        <v>6591.4360113620542</v>
      </c>
      <c r="Y16" s="44">
        <f t="shared" si="5"/>
        <v>0</v>
      </c>
      <c r="Z16" s="44">
        <f t="shared" si="6"/>
        <v>20518.39596894151</v>
      </c>
      <c r="AA16" s="50">
        <f t="shared" si="7"/>
        <v>23741.436011362053</v>
      </c>
      <c r="AB16" s="51">
        <f t="shared" si="8"/>
        <v>19211.981244327257</v>
      </c>
      <c r="AC16" s="44">
        <f t="shared" si="8"/>
        <v>22229.80899940267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0.76241877163232408</v>
      </c>
      <c r="AG16" s="44">
        <f t="shared" si="10"/>
        <v>37358.519809983882</v>
      </c>
      <c r="AH16" s="52">
        <f>HLOOKUP(I16,ElecAvoidedCostsWOCC!$A$5:$Q$50,T16+1,FALSE)</f>
        <v>0.76241877163232408</v>
      </c>
      <c r="AI16" s="44">
        <f t="shared" si="11"/>
        <v>0</v>
      </c>
      <c r="AJ16" s="44">
        <f t="shared" si="12"/>
        <v>37358.519809983882</v>
      </c>
      <c r="AK16" s="44">
        <f>HLOOKUP(I16,ElecAvoidedCostsWOCC!$A$5:$Q$50,G16+1,FALSE)*J16*L16</f>
        <v>0</v>
      </c>
      <c r="AL16" s="44">
        <f t="shared" si="13"/>
        <v>37358.519809983882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37358.519809983882</v>
      </c>
      <c r="AN16" s="48">
        <f t="shared" si="14"/>
        <v>41094.371790982274</v>
      </c>
      <c r="AO16" s="47">
        <f t="shared" si="15"/>
        <v>1.9445428003951843</v>
      </c>
      <c r="AP16" s="47">
        <f t="shared" si="16"/>
        <v>1.8486156040335977</v>
      </c>
    </row>
    <row r="17" spans="1:42" ht="13.5" customHeight="1" x14ac:dyDescent="0.35">
      <c r="A17" s="58" t="s">
        <v>252</v>
      </c>
      <c r="B17" s="97" t="s">
        <v>62</v>
      </c>
      <c r="C17" s="98">
        <v>18230711</v>
      </c>
      <c r="D17" s="61" t="s">
        <v>119</v>
      </c>
      <c r="E17" s="38" t="s">
        <v>1122</v>
      </c>
      <c r="F17" s="39" t="s">
        <v>1123</v>
      </c>
      <c r="G17" s="39">
        <v>15</v>
      </c>
      <c r="H17" s="39"/>
      <c r="I17" s="40" t="s">
        <v>261</v>
      </c>
      <c r="J17" s="41">
        <v>1</v>
      </c>
      <c r="K17" s="41">
        <v>0</v>
      </c>
      <c r="L17" s="41"/>
      <c r="M17" s="42">
        <v>0</v>
      </c>
      <c r="N17" s="42">
        <v>0</v>
      </c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1.0763668537425979</v>
      </c>
      <c r="AG17" s="44">
        <f t="shared" si="10"/>
        <v>0</v>
      </c>
      <c r="AH17" s="52">
        <f>HLOOKUP(I17,ElecAvoidedCostsWOCC!$A$5:$Q$50,T17+1,FALSE)</f>
        <v>1.0763668537425979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5448126.9900000002</v>
      </c>
      <c r="B18" s="97" t="s">
        <v>62</v>
      </c>
      <c r="C18" s="98">
        <v>18230711</v>
      </c>
      <c r="D18" s="61" t="s">
        <v>119</v>
      </c>
      <c r="E18" s="38" t="s">
        <v>1122</v>
      </c>
      <c r="F18" s="39" t="s">
        <v>1123</v>
      </c>
      <c r="G18" s="39">
        <v>15</v>
      </c>
      <c r="H18" s="39"/>
      <c r="I18" s="40" t="s">
        <v>261</v>
      </c>
      <c r="J18" s="41">
        <v>1</v>
      </c>
      <c r="K18" s="41">
        <v>50151</v>
      </c>
      <c r="L18" s="41"/>
      <c r="M18" s="42">
        <v>25076</v>
      </c>
      <c r="N18" s="42">
        <v>29102</v>
      </c>
      <c r="O18" s="43">
        <v>50151</v>
      </c>
      <c r="P18" s="44">
        <v>25076</v>
      </c>
      <c r="Q18" s="44">
        <v>29102</v>
      </c>
      <c r="R18" s="45"/>
      <c r="S18" s="46"/>
      <c r="T18" s="39">
        <f t="shared" si="0"/>
        <v>15</v>
      </c>
      <c r="U18" s="47">
        <f t="shared" si="1"/>
        <v>5.7819051230001334E-2</v>
      </c>
      <c r="V18" s="48">
        <f t="shared" si="2"/>
        <v>4026</v>
      </c>
      <c r="W18" s="49">
        <f t="shared" si="3"/>
        <v>3.854603415333422E-3</v>
      </c>
      <c r="X18" s="44">
        <f t="shared" si="4"/>
        <v>6746.2674980779266</v>
      </c>
      <c r="Y18" s="44">
        <f t="shared" si="5"/>
        <v>4026</v>
      </c>
      <c r="Z18" s="44">
        <f t="shared" si="6"/>
        <v>21000.368902824197</v>
      </c>
      <c r="AA18" s="50">
        <f t="shared" si="7"/>
        <v>35848.267498077927</v>
      </c>
      <c r="AB18" s="51">
        <f t="shared" si="8"/>
        <v>19663.266762944004</v>
      </c>
      <c r="AC18" s="44">
        <f t="shared" si="8"/>
        <v>33565.793537526144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1.0763668537425979</v>
      </c>
      <c r="AG18" s="44">
        <f t="shared" si="10"/>
        <v>53980.874082045026</v>
      </c>
      <c r="AH18" s="52">
        <f>HLOOKUP(I18,ElecAvoidedCostsWOCC!$A$5:$Q$50,T18+1,FALSE)</f>
        <v>1.0763668537425979</v>
      </c>
      <c r="AI18" s="44">
        <f t="shared" si="11"/>
        <v>0</v>
      </c>
      <c r="AJ18" s="44">
        <f t="shared" si="12"/>
        <v>53980.874082045026</v>
      </c>
      <c r="AK18" s="44">
        <f>HLOOKUP(I18,ElecAvoidedCostsWOCC!$A$5:$Q$50,G18+1,FALSE)*J18*L18</f>
        <v>0</v>
      </c>
      <c r="AL18" s="44">
        <f t="shared" si="13"/>
        <v>53980.874082045026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53980.874082045026</v>
      </c>
      <c r="AN18" s="48">
        <f t="shared" si="14"/>
        <v>59378.96149024953</v>
      </c>
      <c r="AO18" s="47">
        <f t="shared" si="15"/>
        <v>2.745264799223166</v>
      </c>
      <c r="AP18" s="47">
        <f t="shared" si="16"/>
        <v>1.7690319587965224</v>
      </c>
    </row>
    <row r="19" spans="1:42" ht="13.5" customHeight="1" x14ac:dyDescent="0.35">
      <c r="A19" s="58" t="s">
        <v>222</v>
      </c>
      <c r="B19" s="97" t="s">
        <v>62</v>
      </c>
      <c r="C19" s="98">
        <v>18230711</v>
      </c>
      <c r="D19" s="61" t="s">
        <v>119</v>
      </c>
      <c r="E19" s="38" t="s">
        <v>1124</v>
      </c>
      <c r="F19" s="39" t="s">
        <v>1125</v>
      </c>
      <c r="G19" s="39">
        <v>15</v>
      </c>
      <c r="H19" s="39"/>
      <c r="I19" s="40" t="s">
        <v>266</v>
      </c>
      <c r="J19" s="41">
        <v>1</v>
      </c>
      <c r="K19" s="41">
        <v>104877</v>
      </c>
      <c r="L19" s="41"/>
      <c r="M19" s="42">
        <v>53153</v>
      </c>
      <c r="N19" s="42">
        <v>166591</v>
      </c>
      <c r="O19" s="43">
        <v>104877</v>
      </c>
      <c r="P19" s="44">
        <v>53153</v>
      </c>
      <c r="Q19" s="44">
        <v>166591</v>
      </c>
      <c r="R19" s="45"/>
      <c r="S19" s="46"/>
      <c r="T19" s="39">
        <f t="shared" si="0"/>
        <v>15</v>
      </c>
      <c r="U19" s="47">
        <f t="shared" si="1"/>
        <v>0.12091261661480028</v>
      </c>
      <c r="V19" s="48">
        <f t="shared" si="2"/>
        <v>113438</v>
      </c>
      <c r="W19" s="49">
        <f t="shared" si="3"/>
        <v>8.0608411076533524E-3</v>
      </c>
      <c r="X19" s="44">
        <f t="shared" si="4"/>
        <v>14107.959889053431</v>
      </c>
      <c r="Y19" s="44">
        <f t="shared" si="5"/>
        <v>113438</v>
      </c>
      <c r="Z19" s="44">
        <f t="shared" si="6"/>
        <v>43916.48600070773</v>
      </c>
      <c r="AA19" s="50">
        <f t="shared" si="7"/>
        <v>180698.95988905343</v>
      </c>
      <c r="AB19" s="51">
        <f t="shared" si="8"/>
        <v>41120.305244108356</v>
      </c>
      <c r="AC19" s="44">
        <f t="shared" si="8"/>
        <v>169193.78266765302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1.2903205727715383</v>
      </c>
      <c r="AG19" s="44">
        <f t="shared" si="10"/>
        <v>135324.95071056063</v>
      </c>
      <c r="AH19" s="52">
        <f>HLOOKUP(I19,ElecAvoidedCostsWOCC!$A$5:$Q$50,T19+1,FALSE)</f>
        <v>1.2903205727715383</v>
      </c>
      <c r="AI19" s="44">
        <f t="shared" si="11"/>
        <v>0</v>
      </c>
      <c r="AJ19" s="44">
        <f t="shared" si="12"/>
        <v>135324.95071056063</v>
      </c>
      <c r="AK19" s="44">
        <f>HLOOKUP(I19,ElecAvoidedCostsWOCC!$A$5:$Q$50,G19+1,FALSE)*J19*L19</f>
        <v>0</v>
      </c>
      <c r="AL19" s="44">
        <f t="shared" si="13"/>
        <v>135324.95071056063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135324.95071056063</v>
      </c>
      <c r="AN19" s="48">
        <f t="shared" si="14"/>
        <v>148857.4457816167</v>
      </c>
      <c r="AO19" s="47">
        <f t="shared" si="15"/>
        <v>3.2909519982211162</v>
      </c>
      <c r="AP19" s="47">
        <f t="shared" si="16"/>
        <v>0.87980446701175219</v>
      </c>
    </row>
    <row r="20" spans="1:42" ht="13.5" customHeight="1" x14ac:dyDescent="0.35">
      <c r="A20" s="59">
        <f>A8+SUM(Q5:Q906)</f>
        <v>7952915.3500000015</v>
      </c>
      <c r="B20" s="97" t="s">
        <v>62</v>
      </c>
      <c r="C20" s="98">
        <v>18230711</v>
      </c>
      <c r="D20" s="61" t="s">
        <v>119</v>
      </c>
      <c r="E20" s="38" t="s">
        <v>1124</v>
      </c>
      <c r="F20" s="39" t="s">
        <v>1125</v>
      </c>
      <c r="G20" s="39">
        <v>15</v>
      </c>
      <c r="H20" s="39"/>
      <c r="I20" s="40" t="s">
        <v>266</v>
      </c>
      <c r="J20" s="41">
        <v>1</v>
      </c>
      <c r="K20" s="41">
        <v>37180</v>
      </c>
      <c r="L20" s="41"/>
      <c r="M20" s="42">
        <v>22000</v>
      </c>
      <c r="N20" s="42">
        <v>40920</v>
      </c>
      <c r="O20" s="43">
        <v>37180</v>
      </c>
      <c r="P20" s="44">
        <v>22000</v>
      </c>
      <c r="Q20" s="44">
        <v>40920</v>
      </c>
      <c r="R20" s="45"/>
      <c r="S20" s="46"/>
      <c r="T20" s="39">
        <f t="shared" si="0"/>
        <v>15</v>
      </c>
      <c r="U20" s="47">
        <f t="shared" si="1"/>
        <v>4.2864794814289835E-2</v>
      </c>
      <c r="V20" s="48">
        <f t="shared" si="2"/>
        <v>18920</v>
      </c>
      <c r="W20" s="49">
        <f t="shared" si="3"/>
        <v>2.8576529876193223E-3</v>
      </c>
      <c r="X20" s="44">
        <f t="shared" si="4"/>
        <v>5001.4202224987994</v>
      </c>
      <c r="Y20" s="44">
        <f t="shared" si="5"/>
        <v>18920</v>
      </c>
      <c r="Z20" s="44">
        <f t="shared" si="6"/>
        <v>15568.856369902966</v>
      </c>
      <c r="AA20" s="50">
        <f t="shared" si="7"/>
        <v>45921.420222498797</v>
      </c>
      <c r="AB20" s="51">
        <f t="shared" si="8"/>
        <v>14577.58087069566</v>
      </c>
      <c r="AC20" s="44">
        <f t="shared" si="8"/>
        <v>42997.584477995122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1.2903205727715383</v>
      </c>
      <c r="AG20" s="44">
        <f t="shared" si="10"/>
        <v>47974.118895645792</v>
      </c>
      <c r="AH20" s="52">
        <f>HLOOKUP(I20,ElecAvoidedCostsWOCC!$A$5:$Q$50,T20+1,FALSE)</f>
        <v>1.2903205727715383</v>
      </c>
      <c r="AI20" s="44">
        <f t="shared" si="11"/>
        <v>0</v>
      </c>
      <c r="AJ20" s="44">
        <f t="shared" si="12"/>
        <v>47974.118895645792</v>
      </c>
      <c r="AK20" s="44">
        <f>HLOOKUP(I20,ElecAvoidedCostsWOCC!$A$5:$Q$50,G20+1,FALSE)*J20*L20</f>
        <v>0</v>
      </c>
      <c r="AL20" s="44">
        <f t="shared" si="13"/>
        <v>47974.118895645792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47974.118895645792</v>
      </c>
      <c r="AN20" s="48">
        <f t="shared" si="14"/>
        <v>52771.530785210372</v>
      </c>
      <c r="AO20" s="47">
        <f t="shared" si="15"/>
        <v>3.2909519982211157</v>
      </c>
      <c r="AP20" s="47">
        <f t="shared" si="16"/>
        <v>1.2273138462514623</v>
      </c>
    </row>
    <row r="21" spans="1:42" ht="13.5" customHeight="1" x14ac:dyDescent="0.35">
      <c r="A21" s="58" t="s">
        <v>236</v>
      </c>
      <c r="B21" s="97" t="s">
        <v>62</v>
      </c>
      <c r="C21" s="98">
        <v>18230711</v>
      </c>
      <c r="D21" s="61" t="s">
        <v>119</v>
      </c>
      <c r="E21" s="38" t="s">
        <v>1126</v>
      </c>
      <c r="F21" s="39" t="s">
        <v>1127</v>
      </c>
      <c r="G21" s="39">
        <v>10</v>
      </c>
      <c r="H21" s="39"/>
      <c r="I21" s="40" t="s">
        <v>261</v>
      </c>
      <c r="J21" s="41">
        <v>1</v>
      </c>
      <c r="K21" s="41">
        <v>10576</v>
      </c>
      <c r="L21" s="41"/>
      <c r="M21" s="42">
        <v>4021</v>
      </c>
      <c r="N21" s="42">
        <v>6835</v>
      </c>
      <c r="O21" s="43">
        <v>10576</v>
      </c>
      <c r="P21" s="44">
        <v>4021</v>
      </c>
      <c r="Q21" s="44">
        <v>6835</v>
      </c>
      <c r="R21" s="45"/>
      <c r="S21" s="46"/>
      <c r="T21" s="39">
        <f t="shared" si="0"/>
        <v>10</v>
      </c>
      <c r="U21" s="47">
        <f t="shared" si="1"/>
        <v>8.1287084446105308E-3</v>
      </c>
      <c r="V21" s="48">
        <f t="shared" si="2"/>
        <v>2814</v>
      </c>
      <c r="W21" s="49">
        <f t="shared" si="3"/>
        <v>8.1287084446105299E-4</v>
      </c>
      <c r="X21" s="44">
        <f t="shared" si="4"/>
        <v>1422.674025636022</v>
      </c>
      <c r="Y21" s="44">
        <f t="shared" si="5"/>
        <v>2814</v>
      </c>
      <c r="Z21" s="44">
        <f t="shared" si="6"/>
        <v>4428.6235870923547</v>
      </c>
      <c r="AA21" s="50">
        <f t="shared" si="7"/>
        <v>8257.6740256360226</v>
      </c>
      <c r="AB21" s="51">
        <f t="shared" ref="AB21:AC24" si="18">Z21/(1+ElecDiscountRate)^1</f>
        <v>4146.6512987756132</v>
      </c>
      <c r="AC21" s="44">
        <f t="shared" si="18"/>
        <v>7731.9045183857888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0.76241877163232408</v>
      </c>
      <c r="AG21" s="44">
        <f t="shared" si="10"/>
        <v>8063.3409287834593</v>
      </c>
      <c r="AH21" s="52">
        <f>HLOOKUP(I21,ElecAvoidedCostsWOCC!$A$5:$Q$50,T21+1,FALSE)</f>
        <v>0.76241877163232408</v>
      </c>
      <c r="AI21" s="44">
        <f t="shared" si="11"/>
        <v>0</v>
      </c>
      <c r="AJ21" s="44">
        <f t="shared" si="12"/>
        <v>8063.3409287834593</v>
      </c>
      <c r="AK21" s="44">
        <f>HLOOKUP(I21,ElecAvoidedCostsWOCC!$A$5:$Q$50,G21+1,FALSE)*J21*L21</f>
        <v>0</v>
      </c>
      <c r="AL21" s="44">
        <f t="shared" si="13"/>
        <v>8063.3409287834593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8063.3409287834593</v>
      </c>
      <c r="AN21" s="48">
        <f t="shared" si="14"/>
        <v>8869.6750216618057</v>
      </c>
      <c r="AO21" s="47">
        <f t="shared" si="15"/>
        <v>1.9445428003951843</v>
      </c>
      <c r="AP21" s="47">
        <f t="shared" si="16"/>
        <v>1.1471526841246551</v>
      </c>
    </row>
    <row r="22" spans="1:42" ht="13.5" customHeight="1" x14ac:dyDescent="0.35">
      <c r="A22" s="60">
        <f>(SUM(AM5:AM1000)/(SUM(AB5:AB1000)))</f>
        <v>2.1345223377829496</v>
      </c>
      <c r="B22" s="97" t="s">
        <v>62</v>
      </c>
      <c r="C22" s="98">
        <v>18230711</v>
      </c>
      <c r="D22" s="61" t="s">
        <v>119</v>
      </c>
      <c r="E22" s="38" t="s">
        <v>1126</v>
      </c>
      <c r="F22" s="39" t="s">
        <v>1127</v>
      </c>
      <c r="G22" s="39">
        <v>10</v>
      </c>
      <c r="H22" s="39"/>
      <c r="I22" s="40" t="s">
        <v>261</v>
      </c>
      <c r="J22" s="41">
        <v>1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0</v>
      </c>
      <c r="Q22" s="44">
        <v>0</v>
      </c>
      <c r="R22" s="45"/>
      <c r="S22" s="46"/>
      <c r="T22" s="39">
        <f t="shared" si="0"/>
        <v>10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0.76241877163232408</v>
      </c>
      <c r="AG22" s="44">
        <f t="shared" si="10"/>
        <v>0</v>
      </c>
      <c r="AH22" s="52">
        <f>HLOOKUP(I22,ElecAvoidedCostsWOCC!$A$5:$Q$50,T22+1,FALSE)</f>
        <v>0.76241877163232408</v>
      </c>
      <c r="AI22" s="44">
        <f t="shared" si="11"/>
        <v>0</v>
      </c>
      <c r="AJ22" s="44">
        <f t="shared" si="12"/>
        <v>0</v>
      </c>
      <c r="AK22" s="44">
        <f>HLOOKUP(I22,ElecAvoidedCostsWOCC!$A$5:$Q$50,G22+1,FALSE)*J22*L22</f>
        <v>0</v>
      </c>
      <c r="AL22" s="44">
        <f t="shared" si="13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62</v>
      </c>
      <c r="C23" s="98">
        <v>18230711</v>
      </c>
      <c r="D23" s="61" t="s">
        <v>119</v>
      </c>
      <c r="E23" s="38" t="s">
        <v>1126</v>
      </c>
      <c r="F23" s="39" t="s">
        <v>1127</v>
      </c>
      <c r="G23" s="39">
        <v>10</v>
      </c>
      <c r="H23" s="39"/>
      <c r="I23" s="40" t="s">
        <v>261</v>
      </c>
      <c r="J23" s="41">
        <v>1</v>
      </c>
      <c r="K23" s="41">
        <v>1801</v>
      </c>
      <c r="L23" s="41"/>
      <c r="M23" s="42">
        <v>596</v>
      </c>
      <c r="N23" s="42">
        <v>1100</v>
      </c>
      <c r="O23" s="43">
        <v>1801</v>
      </c>
      <c r="P23" s="44">
        <v>596</v>
      </c>
      <c r="Q23" s="44">
        <v>1100</v>
      </c>
      <c r="R23" s="45"/>
      <c r="S23" s="46"/>
      <c r="T23" s="39">
        <f t="shared" si="0"/>
        <v>10</v>
      </c>
      <c r="U23" s="47">
        <f t="shared" si="1"/>
        <v>1.3842477220824098E-3</v>
      </c>
      <c r="V23" s="48">
        <f t="shared" si="2"/>
        <v>504</v>
      </c>
      <c r="W23" s="49">
        <f t="shared" si="3"/>
        <v>1.3842477220824098E-4</v>
      </c>
      <c r="X23" s="44">
        <f t="shared" si="4"/>
        <v>242.26890319312369</v>
      </c>
      <c r="Y23" s="44">
        <f t="shared" si="5"/>
        <v>504</v>
      </c>
      <c r="Z23" s="44">
        <f t="shared" si="6"/>
        <v>754.15573755231969</v>
      </c>
      <c r="AA23" s="50">
        <f t="shared" si="7"/>
        <v>1342.2689031931236</v>
      </c>
      <c r="AB23" s="51">
        <f t="shared" si="18"/>
        <v>706.13833104149785</v>
      </c>
      <c r="AC23" s="44">
        <f t="shared" si="18"/>
        <v>1256.8060891321381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0.76241877163232408</v>
      </c>
      <c r="AG23" s="44">
        <f t="shared" si="10"/>
        <v>1373.1162077098156</v>
      </c>
      <c r="AH23" s="52">
        <f>HLOOKUP(I23,ElecAvoidedCostsWOCC!$A$5:$Q$50,T23+1,FALSE)</f>
        <v>0.76241877163232408</v>
      </c>
      <c r="AI23" s="44">
        <f t="shared" si="11"/>
        <v>0</v>
      </c>
      <c r="AJ23" s="44">
        <f t="shared" si="12"/>
        <v>1373.1162077098156</v>
      </c>
      <c r="AK23" s="44">
        <f>HLOOKUP(I23,ElecAvoidedCostsWOCC!$A$5:$Q$50,G23+1,FALSE)*J23*L23</f>
        <v>0</v>
      </c>
      <c r="AL23" s="44">
        <f t="shared" si="13"/>
        <v>1373.1162077098156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1373.1162077098156</v>
      </c>
      <c r="AN23" s="48">
        <f t="shared" si="14"/>
        <v>1510.4278284807974</v>
      </c>
      <c r="AO23" s="47">
        <f t="shared" si="15"/>
        <v>1.9445428003951839</v>
      </c>
      <c r="AP23" s="47">
        <f t="shared" si="16"/>
        <v>1.2017986239418943</v>
      </c>
    </row>
    <row r="24" spans="1:42" ht="13.5" customHeight="1" x14ac:dyDescent="0.35">
      <c r="A24" s="60">
        <f>(SUM(AN5:AN1000)/SUM(AC5:AC1000))</f>
        <v>1.6084747633025547</v>
      </c>
      <c r="B24" s="97" t="s">
        <v>62</v>
      </c>
      <c r="C24" s="98">
        <v>18230711</v>
      </c>
      <c r="D24" s="61" t="s">
        <v>119</v>
      </c>
      <c r="E24" s="38" t="s">
        <v>1128</v>
      </c>
      <c r="F24" s="39" t="s">
        <v>1129</v>
      </c>
      <c r="G24" s="39">
        <v>15</v>
      </c>
      <c r="H24" s="39"/>
      <c r="I24" s="40" t="s">
        <v>261</v>
      </c>
      <c r="J24" s="41">
        <v>1</v>
      </c>
      <c r="K24" s="41">
        <v>3254</v>
      </c>
      <c r="L24" s="41"/>
      <c r="M24" s="42">
        <v>1302</v>
      </c>
      <c r="N24" s="42">
        <v>6370</v>
      </c>
      <c r="O24" s="43">
        <v>3254</v>
      </c>
      <c r="P24" s="44">
        <v>1302</v>
      </c>
      <c r="Q24" s="44">
        <v>6370</v>
      </c>
      <c r="R24" s="45"/>
      <c r="S24" s="46"/>
      <c r="T24" s="39">
        <f t="shared" si="0"/>
        <v>15</v>
      </c>
      <c r="U24" s="47">
        <f t="shared" si="1"/>
        <v>3.7515342207019662E-3</v>
      </c>
      <c r="V24" s="48">
        <f t="shared" si="2"/>
        <v>5068</v>
      </c>
      <c r="W24" s="49">
        <f t="shared" si="3"/>
        <v>2.5010228138013109E-4</v>
      </c>
      <c r="X24" s="44">
        <f t="shared" si="4"/>
        <v>437.72515879534944</v>
      </c>
      <c r="Y24" s="44">
        <f t="shared" si="5"/>
        <v>5068</v>
      </c>
      <c r="Z24" s="44">
        <f t="shared" si="6"/>
        <v>1362.5889894476668</v>
      </c>
      <c r="AA24" s="50">
        <f t="shared" si="7"/>
        <v>6807.7251587953497</v>
      </c>
      <c r="AB24" s="51">
        <f t="shared" si="18"/>
        <v>1275.8323871232835</v>
      </c>
      <c r="AC24" s="44">
        <f t="shared" si="18"/>
        <v>6374.2744932540727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1.0763668537425979</v>
      </c>
      <c r="AG24" s="44">
        <f t="shared" si="10"/>
        <v>3502.4977420784135</v>
      </c>
      <c r="AH24" s="52">
        <f>HLOOKUP(I24,ElecAvoidedCostsWOCC!$A$5:$Q$50,T24+1,FALSE)</f>
        <v>1.0763668537425979</v>
      </c>
      <c r="AI24" s="44">
        <f t="shared" si="11"/>
        <v>0</v>
      </c>
      <c r="AJ24" s="44">
        <f t="shared" si="12"/>
        <v>3502.4977420784135</v>
      </c>
      <c r="AK24" s="44">
        <f>HLOOKUP(I24,ElecAvoidedCostsWOCC!$A$5:$Q$50,G24+1,FALSE)*J24*L24</f>
        <v>0</v>
      </c>
      <c r="AL24" s="44">
        <f t="shared" si="13"/>
        <v>3502.4977420784135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3502.4977420784135</v>
      </c>
      <c r="AN24" s="48">
        <f t="shared" si="14"/>
        <v>3852.7475162862552</v>
      </c>
      <c r="AO24" s="47">
        <f t="shared" si="15"/>
        <v>2.745264799223166</v>
      </c>
      <c r="AP24" s="47">
        <f t="shared" si="16"/>
        <v>0.60442133773241769</v>
      </c>
    </row>
    <row r="25" spans="1:42" ht="13.5" customHeight="1" x14ac:dyDescent="0.35">
      <c r="B25" s="97" t="s">
        <v>62</v>
      </c>
      <c r="C25" s="98">
        <v>18230711</v>
      </c>
      <c r="D25" s="61" t="s">
        <v>119</v>
      </c>
      <c r="E25" s="38" t="s">
        <v>1130</v>
      </c>
      <c r="F25" s="39" t="s">
        <v>1131</v>
      </c>
      <c r="G25" s="39">
        <v>7</v>
      </c>
      <c r="H25" s="39"/>
      <c r="I25" s="40" t="s">
        <v>262</v>
      </c>
      <c r="J25" s="41">
        <v>1</v>
      </c>
      <c r="K25" s="41">
        <v>93469</v>
      </c>
      <c r="L25" s="41"/>
      <c r="M25" s="42">
        <v>16000</v>
      </c>
      <c r="N25" s="42">
        <v>34980</v>
      </c>
      <c r="O25" s="43">
        <v>93469</v>
      </c>
      <c r="P25" s="44">
        <v>16000</v>
      </c>
      <c r="Q25" s="44">
        <v>34980</v>
      </c>
      <c r="R25" s="45"/>
      <c r="S25" s="46"/>
      <c r="T25" s="39">
        <f t="shared" ref="T25:T88" si="19">G25+H25</f>
        <v>7</v>
      </c>
      <c r="U25" s="47">
        <f t="shared" ref="U25:U88" si="20">(O25/$A$10)*T25</f>
        <v>5.0288159486243489E-2</v>
      </c>
      <c r="V25" s="48">
        <f t="shared" ref="V25:V88" si="21">N25-M25</f>
        <v>18980</v>
      </c>
      <c r="W25" s="49">
        <f t="shared" ref="W25:W88" si="22">(O25/A$10)</f>
        <v>7.18402278374907E-3</v>
      </c>
      <c r="X25" s="44">
        <f t="shared" ref="X25:X88" si="23">W25*A$8</f>
        <v>12573.365970326528</v>
      </c>
      <c r="Y25" s="44">
        <f t="shared" ref="Y25:Y88" si="24">Q25-P25</f>
        <v>18980</v>
      </c>
      <c r="Z25" s="44">
        <f t="shared" ref="Z25:Z88" si="25">X25+(A$6*W25)</f>
        <v>39139.468424918246</v>
      </c>
      <c r="AA25" s="50">
        <f t="shared" ref="AA25:AA88" si="26">Q25+X25</f>
        <v>47553.365970326529</v>
      </c>
      <c r="AB25" s="51">
        <f t="shared" ref="AB25:AB88" si="27">Z25/(1+ElecDiscountRate)^1</f>
        <v>36647.442345429066</v>
      </c>
      <c r="AC25" s="44">
        <f t="shared" ref="AC25:AC88" si="28">AA25/(1+ElecDiscountRate)^1</f>
        <v>44525.623567721464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0.55277358241959351</v>
      </c>
      <c r="AG25" s="44">
        <f t="shared" ref="AG25:AG88" si="31">AF25*J25*K25</f>
        <v>51667.193975176982</v>
      </c>
      <c r="AH25" s="52">
        <f>HLOOKUP(I25,ElecAvoidedCostsWOCC!$A$5:$Q$50,T25+1,FALSE)</f>
        <v>0.55277358241959351</v>
      </c>
      <c r="AI25" s="44">
        <f t="shared" ref="AI25:AI88" si="32">AH25*J25*L25</f>
        <v>0</v>
      </c>
      <c r="AJ25" s="44">
        <f t="shared" ref="AJ25:AJ88" si="33">AG25+AI25</f>
        <v>51667.193975176982</v>
      </c>
      <c r="AK25" s="44">
        <f>HLOOKUP(I25,ElecAvoidedCostsWOCC!$A$5:$Q$50,G25+1,FALSE)*J25*L25</f>
        <v>0</v>
      </c>
      <c r="AL25" s="44">
        <f t="shared" ref="AL25:AL88" si="34">AG25+AI25-AK25</f>
        <v>51667.193975176982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51667.193975176982</v>
      </c>
      <c r="AN25" s="48">
        <f t="shared" ref="AN25:AN88" si="35">AM25*1.1+AD25+AE25</f>
        <v>56833.913372694682</v>
      </c>
      <c r="AO25" s="47">
        <f t="shared" ref="AO25:AO88" si="36">IFERROR(AM25/AB25,0)</f>
        <v>1.4098444712232774</v>
      </c>
      <c r="AP25" s="47">
        <f t="shared" ref="AP25:AP88" si="37">AN25/AC25</f>
        <v>1.2764316099077841</v>
      </c>
    </row>
    <row r="26" spans="1:42" ht="13.5" customHeight="1" x14ac:dyDescent="0.35">
      <c r="B26" s="97" t="s">
        <v>62</v>
      </c>
      <c r="C26" s="98">
        <v>18230711</v>
      </c>
      <c r="D26" s="61" t="s">
        <v>119</v>
      </c>
      <c r="E26" s="38" t="s">
        <v>1132</v>
      </c>
      <c r="F26" s="39" t="s">
        <v>1133</v>
      </c>
      <c r="G26" s="39">
        <v>10</v>
      </c>
      <c r="H26" s="39"/>
      <c r="I26" s="40" t="s">
        <v>261</v>
      </c>
      <c r="J26" s="41">
        <v>1</v>
      </c>
      <c r="K26" s="41">
        <v>99382</v>
      </c>
      <c r="L26" s="41"/>
      <c r="M26" s="42">
        <v>34784</v>
      </c>
      <c r="N26" s="42">
        <v>63459</v>
      </c>
      <c r="O26" s="43">
        <v>99382</v>
      </c>
      <c r="P26" s="44">
        <v>34784</v>
      </c>
      <c r="Q26" s="44">
        <v>63459</v>
      </c>
      <c r="R26" s="45"/>
      <c r="S26" s="46"/>
      <c r="T26" s="39">
        <f t="shared" si="19"/>
        <v>10</v>
      </c>
      <c r="U26" s="47">
        <f t="shared" si="20"/>
        <v>7.6384956755132724E-2</v>
      </c>
      <c r="V26" s="48">
        <f t="shared" si="21"/>
        <v>28675</v>
      </c>
      <c r="W26" s="49">
        <f t="shared" si="22"/>
        <v>7.6384956755132724E-3</v>
      </c>
      <c r="X26" s="44">
        <f t="shared" si="23"/>
        <v>13368.777422064972</v>
      </c>
      <c r="Y26" s="44">
        <f t="shared" si="24"/>
        <v>28675</v>
      </c>
      <c r="Z26" s="44">
        <f t="shared" si="25"/>
        <v>41615.494452762141</v>
      </c>
      <c r="AA26" s="50">
        <f t="shared" si="26"/>
        <v>76827.777422064974</v>
      </c>
      <c r="AB26" s="51">
        <f t="shared" si="27"/>
        <v>38965.818775994514</v>
      </c>
      <c r="AC26" s="44">
        <f t="shared" si="28"/>
        <v>71936.121181708775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0.76241877163232408</v>
      </c>
      <c r="AG26" s="44">
        <f t="shared" si="31"/>
        <v>75770.702362363634</v>
      </c>
      <c r="AH26" s="52">
        <f>HLOOKUP(I26,ElecAvoidedCostsWOCC!$A$5:$Q$50,T26+1,FALSE)</f>
        <v>0.76241877163232408</v>
      </c>
      <c r="AI26" s="44">
        <f t="shared" si="32"/>
        <v>0</v>
      </c>
      <c r="AJ26" s="44">
        <f t="shared" si="33"/>
        <v>75770.702362363634</v>
      </c>
      <c r="AK26" s="44">
        <f>HLOOKUP(I26,ElecAvoidedCostsWOCC!$A$5:$Q$50,G26+1,FALSE)*J26*L26</f>
        <v>0</v>
      </c>
      <c r="AL26" s="44">
        <f t="shared" si="34"/>
        <v>75770.702362363634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75770.702362363634</v>
      </c>
      <c r="AN26" s="48">
        <f t="shared" si="35"/>
        <v>83347.7725986</v>
      </c>
      <c r="AO26" s="47">
        <f t="shared" si="36"/>
        <v>1.9445428003951846</v>
      </c>
      <c r="AP26" s="47">
        <f t="shared" si="37"/>
        <v>1.1586359012611438</v>
      </c>
    </row>
    <row r="27" spans="1:42" ht="13.5" customHeight="1" x14ac:dyDescent="0.35">
      <c r="B27" s="97" t="s">
        <v>62</v>
      </c>
      <c r="C27" s="98">
        <v>18230711</v>
      </c>
      <c r="D27" s="61" t="s">
        <v>119</v>
      </c>
      <c r="E27" s="38" t="s">
        <v>1132</v>
      </c>
      <c r="F27" s="39" t="s">
        <v>1133</v>
      </c>
      <c r="G27" s="39">
        <v>10</v>
      </c>
      <c r="H27" s="39"/>
      <c r="I27" s="40" t="s">
        <v>261</v>
      </c>
      <c r="J27" s="41">
        <v>1</v>
      </c>
      <c r="K27" s="41">
        <v>374815</v>
      </c>
      <c r="L27" s="41"/>
      <c r="M27" s="42">
        <v>60735</v>
      </c>
      <c r="N27" s="42">
        <v>91759</v>
      </c>
      <c r="O27" s="43">
        <v>374815</v>
      </c>
      <c r="P27" s="44">
        <v>60735</v>
      </c>
      <c r="Q27" s="44">
        <v>91759</v>
      </c>
      <c r="R27" s="45"/>
      <c r="S27" s="46"/>
      <c r="T27" s="39">
        <f t="shared" si="19"/>
        <v>10</v>
      </c>
      <c r="U27" s="47">
        <f t="shared" si="20"/>
        <v>0.28808262629223674</v>
      </c>
      <c r="V27" s="48">
        <f t="shared" si="21"/>
        <v>31024</v>
      </c>
      <c r="W27" s="49">
        <f t="shared" si="22"/>
        <v>2.8808262629223674E-2</v>
      </c>
      <c r="X27" s="44">
        <f t="shared" si="23"/>
        <v>50419.777318340166</v>
      </c>
      <c r="Y27" s="44">
        <f t="shared" si="24"/>
        <v>31024</v>
      </c>
      <c r="Z27" s="44">
        <f t="shared" si="25"/>
        <v>156951.07316528188</v>
      </c>
      <c r="AA27" s="50">
        <f t="shared" si="26"/>
        <v>142178.77731834017</v>
      </c>
      <c r="AB27" s="51">
        <f t="shared" si="27"/>
        <v>146957.93367535755</v>
      </c>
      <c r="AC27" s="44">
        <f t="shared" si="28"/>
        <v>133126.19599095522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0.76241877163232408</v>
      </c>
      <c r="AG27" s="44">
        <f t="shared" si="31"/>
        <v>285765.99188936956</v>
      </c>
      <c r="AH27" s="52">
        <f>HLOOKUP(I27,ElecAvoidedCostsWOCC!$A$5:$Q$50,T27+1,FALSE)</f>
        <v>0.76241877163232408</v>
      </c>
      <c r="AI27" s="44">
        <f t="shared" si="32"/>
        <v>0</v>
      </c>
      <c r="AJ27" s="44">
        <f t="shared" si="33"/>
        <v>285765.99188936956</v>
      </c>
      <c r="AK27" s="44">
        <f>HLOOKUP(I27,ElecAvoidedCostsWOCC!$A$5:$Q$50,G27+1,FALSE)*J27*L27</f>
        <v>0</v>
      </c>
      <c r="AL27" s="44">
        <f t="shared" si="34"/>
        <v>285765.99188936956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285765.99188936956</v>
      </c>
      <c r="AN27" s="48">
        <f t="shared" si="35"/>
        <v>314342.59107830655</v>
      </c>
      <c r="AO27" s="47">
        <f t="shared" si="36"/>
        <v>1.9445428003951846</v>
      </c>
      <c r="AP27" s="47">
        <f t="shared" si="37"/>
        <v>2.3612376868310982</v>
      </c>
    </row>
    <row r="28" spans="1:42" ht="13.5" customHeight="1" x14ac:dyDescent="0.35">
      <c r="B28" s="97" t="s">
        <v>62</v>
      </c>
      <c r="C28" s="98">
        <v>18230711</v>
      </c>
      <c r="D28" s="61" t="s">
        <v>119</v>
      </c>
      <c r="E28" s="38" t="s">
        <v>1134</v>
      </c>
      <c r="F28" s="39" t="s">
        <v>1135</v>
      </c>
      <c r="G28" s="39">
        <v>5</v>
      </c>
      <c r="H28" s="39"/>
      <c r="I28" s="40" t="s">
        <v>261</v>
      </c>
      <c r="J28" s="41">
        <v>1</v>
      </c>
      <c r="K28" s="41">
        <v>318717</v>
      </c>
      <c r="L28" s="41"/>
      <c r="M28" s="42">
        <v>16673</v>
      </c>
      <c r="N28" s="42">
        <v>39152</v>
      </c>
      <c r="O28" s="43">
        <v>318717</v>
      </c>
      <c r="P28" s="44">
        <v>16673</v>
      </c>
      <c r="Q28" s="44">
        <v>39152</v>
      </c>
      <c r="R28" s="45"/>
      <c r="S28" s="46"/>
      <c r="T28" s="39">
        <f t="shared" si="19"/>
        <v>5</v>
      </c>
      <c r="U28" s="47">
        <f t="shared" si="20"/>
        <v>0.12248286541891709</v>
      </c>
      <c r="V28" s="48">
        <f t="shared" si="21"/>
        <v>22479</v>
      </c>
      <c r="W28" s="49">
        <f t="shared" si="22"/>
        <v>2.4496573083783418E-2</v>
      </c>
      <c r="X28" s="44">
        <f t="shared" si="23"/>
        <v>42873.524719046523</v>
      </c>
      <c r="Y28" s="44">
        <f t="shared" si="24"/>
        <v>22479</v>
      </c>
      <c r="Z28" s="44">
        <f t="shared" si="25"/>
        <v>133460.44098026797</v>
      </c>
      <c r="AA28" s="50">
        <f t="shared" si="26"/>
        <v>82025.524719046516</v>
      </c>
      <c r="AB28" s="51">
        <f t="shared" si="27"/>
        <v>124962.95971935203</v>
      </c>
      <c r="AC28" s="44">
        <f t="shared" si="28"/>
        <v>76802.92576689749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0.39886803421791017</v>
      </c>
      <c r="AG28" s="44">
        <f t="shared" si="31"/>
        <v>127126.02326182967</v>
      </c>
      <c r="AH28" s="52">
        <f>HLOOKUP(I28,ElecAvoidedCostsWOCC!$A$5:$Q$50,T28+1,FALSE)</f>
        <v>0.39886803421791017</v>
      </c>
      <c r="AI28" s="44">
        <f t="shared" si="32"/>
        <v>0</v>
      </c>
      <c r="AJ28" s="44">
        <f t="shared" si="33"/>
        <v>127126.02326182967</v>
      </c>
      <c r="AK28" s="44">
        <f>HLOOKUP(I28,ElecAvoidedCostsWOCC!$A$5:$Q$50,G28+1,FALSE)*J28*L28</f>
        <v>0</v>
      </c>
      <c r="AL28" s="44">
        <f t="shared" si="34"/>
        <v>127126.02326182967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127126.02326182967</v>
      </c>
      <c r="AN28" s="48">
        <f t="shared" si="35"/>
        <v>139838.62558801266</v>
      </c>
      <c r="AO28" s="47">
        <f t="shared" si="36"/>
        <v>1.0173096375704893</v>
      </c>
      <c r="AP28" s="47">
        <f t="shared" si="37"/>
        <v>1.8207460743414012</v>
      </c>
    </row>
    <row r="29" spans="1:42" x14ac:dyDescent="0.35">
      <c r="B29" s="97" t="s">
        <v>62</v>
      </c>
      <c r="C29" s="98">
        <v>18230711</v>
      </c>
      <c r="D29" s="61" t="s">
        <v>119</v>
      </c>
      <c r="E29" s="38" t="s">
        <v>1136</v>
      </c>
      <c r="F29" s="39" t="s">
        <v>1137</v>
      </c>
      <c r="G29" s="39">
        <v>15</v>
      </c>
      <c r="H29" s="39"/>
      <c r="I29" s="40" t="s">
        <v>261</v>
      </c>
      <c r="J29" s="41">
        <v>1</v>
      </c>
      <c r="K29" s="41">
        <v>0</v>
      </c>
      <c r="L29" s="41"/>
      <c r="M29" s="42">
        <v>0</v>
      </c>
      <c r="N29" s="42">
        <v>0</v>
      </c>
      <c r="O29" s="43">
        <v>0</v>
      </c>
      <c r="P29" s="44">
        <v>0</v>
      </c>
      <c r="Q29" s="44">
        <v>0</v>
      </c>
      <c r="R29" s="45"/>
      <c r="S29" s="46"/>
      <c r="T29" s="39">
        <f t="shared" si="19"/>
        <v>15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1.0763668537425979</v>
      </c>
      <c r="AG29" s="44">
        <f t="shared" si="31"/>
        <v>0</v>
      </c>
      <c r="AH29" s="52">
        <f>HLOOKUP(I29,ElecAvoidedCostsWOCC!$A$5:$Q$50,T29+1,FALSE)</f>
        <v>1.0763668537425979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62</v>
      </c>
      <c r="C30" s="98">
        <v>18230711</v>
      </c>
      <c r="D30" s="61" t="s">
        <v>119</v>
      </c>
      <c r="E30" s="38" t="s">
        <v>1136</v>
      </c>
      <c r="F30" s="39" t="s">
        <v>1137</v>
      </c>
      <c r="G30" s="39">
        <v>15</v>
      </c>
      <c r="H30" s="39"/>
      <c r="I30" s="40" t="s">
        <v>261</v>
      </c>
      <c r="J30" s="41">
        <v>1</v>
      </c>
      <c r="K30" s="41">
        <v>302312</v>
      </c>
      <c r="L30" s="41"/>
      <c r="M30" s="42">
        <v>86221</v>
      </c>
      <c r="N30" s="42">
        <v>123171</v>
      </c>
      <c r="O30" s="43">
        <v>302312</v>
      </c>
      <c r="P30" s="44">
        <v>86221</v>
      </c>
      <c r="Q30" s="44">
        <v>123171</v>
      </c>
      <c r="R30" s="45"/>
      <c r="S30" s="46"/>
      <c r="T30" s="39">
        <f t="shared" si="19"/>
        <v>15</v>
      </c>
      <c r="U30" s="47">
        <f t="shared" si="20"/>
        <v>0.34853528375195231</v>
      </c>
      <c r="V30" s="48">
        <f t="shared" si="21"/>
        <v>36950</v>
      </c>
      <c r="W30" s="49">
        <f t="shared" si="22"/>
        <v>2.3235685583463488E-2</v>
      </c>
      <c r="X30" s="44">
        <f t="shared" si="23"/>
        <v>40666.738846262961</v>
      </c>
      <c r="Y30" s="44">
        <f t="shared" si="24"/>
        <v>36950</v>
      </c>
      <c r="Z30" s="44">
        <f t="shared" si="25"/>
        <v>126590.96575842133</v>
      </c>
      <c r="AA30" s="50">
        <f t="shared" si="26"/>
        <v>163837.73884626298</v>
      </c>
      <c r="AB30" s="51">
        <f t="shared" si="27"/>
        <v>118530.86681500124</v>
      </c>
      <c r="AC30" s="44">
        <f t="shared" si="28"/>
        <v>153406.1225152275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1.0763668537425979</v>
      </c>
      <c r="AG30" s="44">
        <f t="shared" si="31"/>
        <v>325398.61628863227</v>
      </c>
      <c r="AH30" s="52">
        <f>HLOOKUP(I30,ElecAvoidedCostsWOCC!$A$5:$Q$50,T30+1,FALSE)</f>
        <v>1.0763668537425979</v>
      </c>
      <c r="AI30" s="44">
        <f t="shared" si="32"/>
        <v>0</v>
      </c>
      <c r="AJ30" s="44">
        <f t="shared" si="33"/>
        <v>325398.61628863227</v>
      </c>
      <c r="AK30" s="44">
        <f>HLOOKUP(I30,ElecAvoidedCostsWOCC!$A$5:$Q$50,G30+1,FALSE)*J30*L30</f>
        <v>0</v>
      </c>
      <c r="AL30" s="44">
        <f t="shared" si="34"/>
        <v>325398.61628863227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325398.61628863227</v>
      </c>
      <c r="AN30" s="48">
        <f t="shared" si="35"/>
        <v>357938.47791749553</v>
      </c>
      <c r="AO30" s="47">
        <f t="shared" si="36"/>
        <v>2.7452647992231665</v>
      </c>
      <c r="AP30" s="47">
        <f t="shared" si="37"/>
        <v>2.3332737445467053</v>
      </c>
    </row>
    <row r="31" spans="1:42" x14ac:dyDescent="0.35">
      <c r="B31" s="97" t="s">
        <v>62</v>
      </c>
      <c r="C31" s="98">
        <v>18230711</v>
      </c>
      <c r="D31" s="61" t="s">
        <v>119</v>
      </c>
      <c r="E31" s="38" t="s">
        <v>1138</v>
      </c>
      <c r="F31" s="39" t="s">
        <v>1139</v>
      </c>
      <c r="G31" s="39">
        <v>15</v>
      </c>
      <c r="H31" s="39"/>
      <c r="I31" s="40" t="s">
        <v>261</v>
      </c>
      <c r="J31" s="41">
        <v>1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0</v>
      </c>
      <c r="Q31" s="44">
        <v>0</v>
      </c>
      <c r="R31" s="45"/>
      <c r="S31" s="46"/>
      <c r="T31" s="39">
        <f t="shared" si="19"/>
        <v>15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1.0763668537425979</v>
      </c>
      <c r="AG31" s="44">
        <f t="shared" si="31"/>
        <v>0</v>
      </c>
      <c r="AH31" s="52">
        <f>HLOOKUP(I31,ElecAvoidedCostsWOCC!$A$5:$Q$50,T31+1,FALSE)</f>
        <v>1.0763668537425979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62</v>
      </c>
      <c r="C32" s="98">
        <v>18230711</v>
      </c>
      <c r="D32" s="61" t="s">
        <v>119</v>
      </c>
      <c r="E32" s="38" t="s">
        <v>1140</v>
      </c>
      <c r="F32" s="39" t="s">
        <v>1141</v>
      </c>
      <c r="G32" s="39">
        <v>15</v>
      </c>
      <c r="H32" s="39"/>
      <c r="I32" s="40" t="s">
        <v>261</v>
      </c>
      <c r="J32" s="41">
        <v>1</v>
      </c>
      <c r="K32" s="41">
        <v>226445</v>
      </c>
      <c r="L32" s="41"/>
      <c r="M32" s="42">
        <v>63102</v>
      </c>
      <c r="N32" s="42">
        <v>116651</v>
      </c>
      <c r="O32" s="43">
        <v>226445</v>
      </c>
      <c r="P32" s="44">
        <v>63102</v>
      </c>
      <c r="Q32" s="44">
        <v>116651</v>
      </c>
      <c r="R32" s="45"/>
      <c r="S32" s="46"/>
      <c r="T32" s="39">
        <f t="shared" si="19"/>
        <v>15</v>
      </c>
      <c r="U32" s="47">
        <f t="shared" si="20"/>
        <v>0.26106827492527868</v>
      </c>
      <c r="V32" s="48">
        <f t="shared" si="21"/>
        <v>53549</v>
      </c>
      <c r="W32" s="49">
        <f t="shared" si="22"/>
        <v>1.7404551661685246E-2</v>
      </c>
      <c r="X32" s="44">
        <f t="shared" si="23"/>
        <v>30461.178114140417</v>
      </c>
      <c r="Y32" s="44">
        <f t="shared" si="24"/>
        <v>53549</v>
      </c>
      <c r="Z32" s="44">
        <f t="shared" si="25"/>
        <v>94822.207656876737</v>
      </c>
      <c r="AA32" s="50">
        <f t="shared" si="26"/>
        <v>147112.17811414041</v>
      </c>
      <c r="AB32" s="51">
        <f t="shared" si="27"/>
        <v>88784.838630034399</v>
      </c>
      <c r="AC32" s="44">
        <f t="shared" si="28"/>
        <v>137745.48512559963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1.0763668537425979</v>
      </c>
      <c r="AG32" s="44">
        <f t="shared" si="31"/>
        <v>243737.89219574258</v>
      </c>
      <c r="AH32" s="52">
        <f>HLOOKUP(I32,ElecAvoidedCostsWOCC!$A$5:$Q$50,T32+1,FALSE)</f>
        <v>1.0763668537425979</v>
      </c>
      <c r="AI32" s="44">
        <f t="shared" si="32"/>
        <v>0</v>
      </c>
      <c r="AJ32" s="44">
        <f t="shared" si="33"/>
        <v>243737.89219574258</v>
      </c>
      <c r="AK32" s="44">
        <f>HLOOKUP(I32,ElecAvoidedCostsWOCC!$A$5:$Q$50,G32+1,FALSE)*J32*L32</f>
        <v>0</v>
      </c>
      <c r="AL32" s="44">
        <f t="shared" si="34"/>
        <v>243737.89219574258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243737.89219574258</v>
      </c>
      <c r="AN32" s="48">
        <f t="shared" si="35"/>
        <v>268111.68141531688</v>
      </c>
      <c r="AO32" s="47">
        <f t="shared" si="36"/>
        <v>2.745264799223166</v>
      </c>
      <c r="AP32" s="47">
        <f t="shared" si="37"/>
        <v>1.9464280892462371</v>
      </c>
    </row>
    <row r="33" spans="2:42" x14ac:dyDescent="0.35">
      <c r="B33" s="97" t="s">
        <v>62</v>
      </c>
      <c r="C33" s="98">
        <v>18230711</v>
      </c>
      <c r="D33" s="61" t="s">
        <v>119</v>
      </c>
      <c r="E33" s="38" t="s">
        <v>1142</v>
      </c>
      <c r="F33" s="39" t="s">
        <v>1143</v>
      </c>
      <c r="G33" s="39">
        <v>24</v>
      </c>
      <c r="H33" s="39"/>
      <c r="I33" s="40" t="s">
        <v>260</v>
      </c>
      <c r="J33" s="41">
        <v>1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24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1.5014312622175094</v>
      </c>
      <c r="AG33" s="44">
        <f t="shared" si="31"/>
        <v>0</v>
      </c>
      <c r="AH33" s="52">
        <f>HLOOKUP(I33,ElecAvoidedCostsWOCC!$A$5:$Q$50,T33+1,FALSE)</f>
        <v>1.5014312622175094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97" t="s">
        <v>62</v>
      </c>
      <c r="C34" s="98">
        <v>18230711</v>
      </c>
      <c r="D34" s="61" t="s">
        <v>119</v>
      </c>
      <c r="E34" s="38" t="s">
        <v>1142</v>
      </c>
      <c r="F34" s="39" t="s">
        <v>1143</v>
      </c>
      <c r="G34" s="39">
        <v>24</v>
      </c>
      <c r="H34" s="39"/>
      <c r="I34" s="40" t="s">
        <v>260</v>
      </c>
      <c r="J34" s="41">
        <v>1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24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1.5014312622175094</v>
      </c>
      <c r="AG34" s="44">
        <f t="shared" si="31"/>
        <v>0</v>
      </c>
      <c r="AH34" s="52">
        <f>HLOOKUP(I34,ElecAvoidedCostsWOCC!$A$5:$Q$50,T34+1,FALSE)</f>
        <v>1.5014312622175094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97" t="s">
        <v>62</v>
      </c>
      <c r="C35" s="98">
        <v>18230711</v>
      </c>
      <c r="D35" s="61" t="s">
        <v>119</v>
      </c>
      <c r="E35" s="38" t="s">
        <v>1142</v>
      </c>
      <c r="F35" s="39" t="s">
        <v>1143</v>
      </c>
      <c r="G35" s="39">
        <v>24</v>
      </c>
      <c r="H35" s="39"/>
      <c r="I35" s="40" t="s">
        <v>260</v>
      </c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24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1.5014312622175094</v>
      </c>
      <c r="AG35" s="44">
        <f t="shared" si="31"/>
        <v>0</v>
      </c>
      <c r="AH35" s="52">
        <f>HLOOKUP(I35,ElecAvoidedCostsWOCC!$A$5:$Q$50,T35+1,FALSE)</f>
        <v>1.5014312622175094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97" t="s">
        <v>62</v>
      </c>
      <c r="C36" s="98">
        <v>18230711</v>
      </c>
      <c r="D36" s="61" t="s">
        <v>119</v>
      </c>
      <c r="E36" s="38" t="s">
        <v>1144</v>
      </c>
      <c r="F36" s="39" t="s">
        <v>1145</v>
      </c>
      <c r="G36" s="39">
        <v>15</v>
      </c>
      <c r="H36" s="39"/>
      <c r="I36" s="40" t="s">
        <v>261</v>
      </c>
      <c r="J36" s="41">
        <v>1</v>
      </c>
      <c r="K36" s="41">
        <v>1146575</v>
      </c>
      <c r="L36" s="41"/>
      <c r="M36" s="42">
        <v>401301</v>
      </c>
      <c r="N36" s="42">
        <v>631212</v>
      </c>
      <c r="O36" s="43">
        <v>1146575</v>
      </c>
      <c r="P36" s="44">
        <v>401301</v>
      </c>
      <c r="Q36" s="44">
        <v>631212</v>
      </c>
      <c r="R36" s="45"/>
      <c r="S36" s="46"/>
      <c r="T36" s="39">
        <f t="shared" si="19"/>
        <v>15</v>
      </c>
      <c r="U36" s="47">
        <f t="shared" si="20"/>
        <v>1.3218854791337915</v>
      </c>
      <c r="V36" s="48">
        <f t="shared" si="21"/>
        <v>229911</v>
      </c>
      <c r="W36" s="49">
        <f t="shared" si="22"/>
        <v>8.8125698608919431E-2</v>
      </c>
      <c r="X36" s="44">
        <f t="shared" si="23"/>
        <v>154236.23968831525</v>
      </c>
      <c r="Y36" s="44">
        <f t="shared" si="24"/>
        <v>229911</v>
      </c>
      <c r="Z36" s="44">
        <f t="shared" si="25"/>
        <v>480119.99710385944</v>
      </c>
      <c r="AA36" s="50">
        <f t="shared" si="26"/>
        <v>785448.2396883152</v>
      </c>
      <c r="AB36" s="51">
        <f t="shared" si="27"/>
        <v>449550.55908601067</v>
      </c>
      <c r="AC36" s="44">
        <f t="shared" si="28"/>
        <v>735438.42667445238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1.0763668537425979</v>
      </c>
      <c r="AG36" s="44">
        <f t="shared" si="31"/>
        <v>1234135.3253299191</v>
      </c>
      <c r="AH36" s="52">
        <f>HLOOKUP(I36,ElecAvoidedCostsWOCC!$A$5:$Q$50,T36+1,FALSE)</f>
        <v>1.0763668537425979</v>
      </c>
      <c r="AI36" s="44">
        <f t="shared" si="32"/>
        <v>0</v>
      </c>
      <c r="AJ36" s="44">
        <f t="shared" si="33"/>
        <v>1234135.3253299191</v>
      </c>
      <c r="AK36" s="44">
        <f>HLOOKUP(I36,ElecAvoidedCostsWOCC!$A$5:$Q$50,G36+1,FALSE)*J36*L36</f>
        <v>0</v>
      </c>
      <c r="AL36" s="44">
        <f t="shared" si="34"/>
        <v>1234135.3253299191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1234135.3253299191</v>
      </c>
      <c r="AN36" s="48">
        <f t="shared" si="35"/>
        <v>1357548.8578629112</v>
      </c>
      <c r="AO36" s="47">
        <f t="shared" si="36"/>
        <v>2.745264799223166</v>
      </c>
      <c r="AP36" s="47">
        <f t="shared" si="37"/>
        <v>1.8459041690295588</v>
      </c>
    </row>
    <row r="37" spans="2:42" x14ac:dyDescent="0.35">
      <c r="B37" s="97" t="s">
        <v>62</v>
      </c>
      <c r="C37" s="98">
        <v>18230711</v>
      </c>
      <c r="D37" s="61" t="s">
        <v>119</v>
      </c>
      <c r="E37" s="38" t="s">
        <v>1146</v>
      </c>
      <c r="F37" s="39" t="s">
        <v>1147</v>
      </c>
      <c r="G37" s="39">
        <v>12</v>
      </c>
      <c r="H37" s="39"/>
      <c r="I37" s="40" t="s">
        <v>265</v>
      </c>
      <c r="J37" s="41">
        <v>1</v>
      </c>
      <c r="K37" s="41">
        <v>250776</v>
      </c>
      <c r="L37" s="41"/>
      <c r="M37" s="42">
        <v>59763</v>
      </c>
      <c r="N37" s="42">
        <v>85375</v>
      </c>
      <c r="O37" s="43">
        <v>250776</v>
      </c>
      <c r="P37" s="44">
        <v>59763</v>
      </c>
      <c r="Q37" s="44">
        <v>85375</v>
      </c>
      <c r="R37" s="45"/>
      <c r="S37" s="46"/>
      <c r="T37" s="39">
        <f t="shared" si="19"/>
        <v>12</v>
      </c>
      <c r="U37" s="47">
        <f t="shared" si="20"/>
        <v>0.2312955736277213</v>
      </c>
      <c r="V37" s="48">
        <f t="shared" si="21"/>
        <v>25612</v>
      </c>
      <c r="W37" s="49">
        <f t="shared" si="22"/>
        <v>1.9274631135643441E-2</v>
      </c>
      <c r="X37" s="44">
        <f t="shared" si="23"/>
        <v>33734.162391537357</v>
      </c>
      <c r="Y37" s="44">
        <f t="shared" si="24"/>
        <v>25612</v>
      </c>
      <c r="Z37" s="44">
        <f t="shared" si="25"/>
        <v>105010.63811239338</v>
      </c>
      <c r="AA37" s="50">
        <f t="shared" si="26"/>
        <v>119109.16239153736</v>
      </c>
      <c r="AB37" s="51">
        <f t="shared" si="27"/>
        <v>98324.567520967583</v>
      </c>
      <c r="AC37" s="44">
        <f t="shared" si="28"/>
        <v>111525.43295087767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0.88470520788483886</v>
      </c>
      <c r="AG37" s="44">
        <f t="shared" si="31"/>
        <v>221862.83321252835</v>
      </c>
      <c r="AH37" s="52">
        <f>HLOOKUP(I37,ElecAvoidedCostsWOCC!$A$5:$Q$50,T37+1,FALSE)</f>
        <v>0.88470520788483886</v>
      </c>
      <c r="AI37" s="44">
        <f t="shared" si="32"/>
        <v>0</v>
      </c>
      <c r="AJ37" s="44">
        <f t="shared" si="33"/>
        <v>221862.83321252835</v>
      </c>
      <c r="AK37" s="44">
        <f>HLOOKUP(I37,ElecAvoidedCostsWOCC!$A$5:$Q$50,G37+1,FALSE)*J37*L37</f>
        <v>0</v>
      </c>
      <c r="AL37" s="44">
        <f t="shared" si="34"/>
        <v>221862.83321252835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221862.83321252835</v>
      </c>
      <c r="AN37" s="48">
        <f t="shared" si="35"/>
        <v>244049.1165337812</v>
      </c>
      <c r="AO37" s="47">
        <f t="shared" si="36"/>
        <v>2.2564333493276378</v>
      </c>
      <c r="AP37" s="47">
        <f t="shared" si="37"/>
        <v>2.188282170949067</v>
      </c>
    </row>
    <row r="38" spans="2:42" x14ac:dyDescent="0.35">
      <c r="B38" s="97" t="s">
        <v>62</v>
      </c>
      <c r="C38" s="98">
        <v>18230711</v>
      </c>
      <c r="D38" s="61" t="s">
        <v>119</v>
      </c>
      <c r="E38" s="38" t="s">
        <v>1146</v>
      </c>
      <c r="F38" s="39" t="s">
        <v>1147</v>
      </c>
      <c r="G38" s="39">
        <v>20</v>
      </c>
      <c r="H38" s="39"/>
      <c r="I38" s="40" t="s">
        <v>265</v>
      </c>
      <c r="J38" s="41">
        <v>1</v>
      </c>
      <c r="K38" s="41">
        <v>217728</v>
      </c>
      <c r="L38" s="41"/>
      <c r="M38" s="42">
        <v>72778</v>
      </c>
      <c r="N38" s="42">
        <v>103968</v>
      </c>
      <c r="O38" s="43">
        <v>217728</v>
      </c>
      <c r="P38" s="44">
        <v>72778</v>
      </c>
      <c r="Q38" s="44">
        <v>103968</v>
      </c>
      <c r="R38" s="45"/>
      <c r="S38" s="46"/>
      <c r="T38" s="39">
        <f t="shared" si="19"/>
        <v>20</v>
      </c>
      <c r="U38" s="47">
        <f t="shared" si="20"/>
        <v>0.33469126933210314</v>
      </c>
      <c r="V38" s="48">
        <f t="shared" si="21"/>
        <v>31190</v>
      </c>
      <c r="W38" s="49">
        <f t="shared" si="22"/>
        <v>1.6734563466605158E-2</v>
      </c>
      <c r="X38" s="44">
        <f t="shared" si="23"/>
        <v>29288.575099629332</v>
      </c>
      <c r="Y38" s="44">
        <f t="shared" si="24"/>
        <v>31190</v>
      </c>
      <c r="Z38" s="44">
        <f t="shared" si="25"/>
        <v>91172.026888279535</v>
      </c>
      <c r="AA38" s="50">
        <f t="shared" si="26"/>
        <v>133256.57509962932</v>
      </c>
      <c r="AB38" s="51">
        <f t="shared" si="27"/>
        <v>85367.066374793561</v>
      </c>
      <c r="AC38" s="44">
        <f t="shared" si="28"/>
        <v>124772.07406332332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1.336812363712726</v>
      </c>
      <c r="AG38" s="44">
        <f t="shared" si="31"/>
        <v>291061.48232644441</v>
      </c>
      <c r="AH38" s="52">
        <f>HLOOKUP(I38,ElecAvoidedCostsWOCC!$A$5:$Q$50,T38+1,FALSE)</f>
        <v>1.336812363712726</v>
      </c>
      <c r="AI38" s="44">
        <f t="shared" si="32"/>
        <v>0</v>
      </c>
      <c r="AJ38" s="44">
        <f t="shared" si="33"/>
        <v>291061.48232644441</v>
      </c>
      <c r="AK38" s="44">
        <f>HLOOKUP(I38,ElecAvoidedCostsWOCC!$A$5:$Q$50,G38+1,FALSE)*J38*L38</f>
        <v>0</v>
      </c>
      <c r="AL38" s="44">
        <f t="shared" si="34"/>
        <v>291061.48232644441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291061.48232644441</v>
      </c>
      <c r="AN38" s="48">
        <f t="shared" si="35"/>
        <v>320167.6305590889</v>
      </c>
      <c r="AO38" s="47">
        <f t="shared" si="36"/>
        <v>3.409528928270475</v>
      </c>
      <c r="AP38" s="47">
        <f t="shared" si="37"/>
        <v>2.5660199444677017</v>
      </c>
    </row>
    <row r="39" spans="2:42" x14ac:dyDescent="0.35">
      <c r="B39" s="97" t="s">
        <v>62</v>
      </c>
      <c r="C39" s="98">
        <v>18230711</v>
      </c>
      <c r="D39" s="61" t="s">
        <v>119</v>
      </c>
      <c r="E39" s="38" t="s">
        <v>1146</v>
      </c>
      <c r="F39" s="39" t="s">
        <v>1147</v>
      </c>
      <c r="G39" s="39">
        <v>20</v>
      </c>
      <c r="H39" s="39"/>
      <c r="I39" s="40" t="s">
        <v>265</v>
      </c>
      <c r="J39" s="41">
        <v>1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0</v>
      </c>
      <c r="Q39" s="44">
        <v>0</v>
      </c>
      <c r="R39" s="45"/>
      <c r="S39" s="46"/>
      <c r="T39" s="39">
        <f t="shared" si="19"/>
        <v>20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1.336812363712726</v>
      </c>
      <c r="AG39" s="44">
        <f t="shared" si="31"/>
        <v>0</v>
      </c>
      <c r="AH39" s="52">
        <f>HLOOKUP(I39,ElecAvoidedCostsWOCC!$A$5:$Q$50,T39+1,FALSE)</f>
        <v>1.336812363712726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97" t="s">
        <v>62</v>
      </c>
      <c r="C40" s="98">
        <v>18230711</v>
      </c>
      <c r="D40" s="61" t="s">
        <v>119</v>
      </c>
      <c r="E40" s="38" t="s">
        <v>1146</v>
      </c>
      <c r="F40" s="39" t="s">
        <v>1147</v>
      </c>
      <c r="G40" s="39">
        <v>12</v>
      </c>
      <c r="H40" s="39"/>
      <c r="I40" s="40" t="s">
        <v>265</v>
      </c>
      <c r="J40" s="41">
        <v>1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12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0.88470520788483886</v>
      </c>
      <c r="AG40" s="44">
        <f t="shared" si="31"/>
        <v>0</v>
      </c>
      <c r="AH40" s="52">
        <f>HLOOKUP(I40,ElecAvoidedCostsWOCC!$A$5:$Q$50,T40+1,FALSE)</f>
        <v>0.88470520788483886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97" t="s">
        <v>62</v>
      </c>
      <c r="C41" s="98">
        <v>18230711</v>
      </c>
      <c r="D41" s="61" t="s">
        <v>119</v>
      </c>
      <c r="E41" s="38" t="s">
        <v>1146</v>
      </c>
      <c r="F41" s="39" t="s">
        <v>1147</v>
      </c>
      <c r="G41" s="39">
        <v>12</v>
      </c>
      <c r="H41" s="39"/>
      <c r="I41" s="40" t="s">
        <v>265</v>
      </c>
      <c r="J41" s="41">
        <v>1</v>
      </c>
      <c r="K41" s="41">
        <v>697896</v>
      </c>
      <c r="L41" s="41"/>
      <c r="M41" s="42">
        <v>186846.4</v>
      </c>
      <c r="N41" s="42">
        <v>266923</v>
      </c>
      <c r="O41" s="43">
        <v>697896</v>
      </c>
      <c r="P41" s="44">
        <v>186846.4</v>
      </c>
      <c r="Q41" s="44">
        <v>266923</v>
      </c>
      <c r="R41" s="45"/>
      <c r="S41" s="46"/>
      <c r="T41" s="39">
        <f t="shared" si="19"/>
        <v>12</v>
      </c>
      <c r="U41" s="47">
        <f t="shared" si="20"/>
        <v>0.64368303048334841</v>
      </c>
      <c r="V41" s="48">
        <f t="shared" si="21"/>
        <v>80076.600000000006</v>
      </c>
      <c r="W41" s="49">
        <f t="shared" si="22"/>
        <v>5.3640252540279036E-2</v>
      </c>
      <c r="X41" s="44">
        <f t="shared" si="23"/>
        <v>93880.34339970474</v>
      </c>
      <c r="Y41" s="44">
        <f t="shared" si="24"/>
        <v>80076.600000000006</v>
      </c>
      <c r="Z41" s="44">
        <f t="shared" si="25"/>
        <v>292238.90761511028</v>
      </c>
      <c r="AA41" s="50">
        <f t="shared" si="26"/>
        <v>360803.34339970473</v>
      </c>
      <c r="AB41" s="51">
        <f t="shared" si="27"/>
        <v>273631.93596920435</v>
      </c>
      <c r="AC41" s="44">
        <f t="shared" si="28"/>
        <v>337830.84587987332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0.88470520788483886</v>
      </c>
      <c r="AG41" s="44">
        <f t="shared" si="31"/>
        <v>617432.22576199751</v>
      </c>
      <c r="AH41" s="52">
        <f>HLOOKUP(I41,ElecAvoidedCostsWOCC!$A$5:$Q$50,T41+1,FALSE)</f>
        <v>0.88470520788483886</v>
      </c>
      <c r="AI41" s="44">
        <f t="shared" si="32"/>
        <v>0</v>
      </c>
      <c r="AJ41" s="44">
        <f t="shared" si="33"/>
        <v>617432.22576199751</v>
      </c>
      <c r="AK41" s="44">
        <f>HLOOKUP(I41,ElecAvoidedCostsWOCC!$A$5:$Q$50,G41+1,FALSE)*J41*L41</f>
        <v>0</v>
      </c>
      <c r="AL41" s="44">
        <f t="shared" si="34"/>
        <v>617432.22576199751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617432.22576199751</v>
      </c>
      <c r="AN41" s="48">
        <f t="shared" si="35"/>
        <v>679175.44833819731</v>
      </c>
      <c r="AO41" s="47">
        <f t="shared" si="36"/>
        <v>2.2564333493276378</v>
      </c>
      <c r="AP41" s="47">
        <f t="shared" si="37"/>
        <v>2.0104009347319933</v>
      </c>
    </row>
    <row r="42" spans="2:42" x14ac:dyDescent="0.35">
      <c r="B42" s="97" t="s">
        <v>62</v>
      </c>
      <c r="C42" s="98">
        <v>18230711</v>
      </c>
      <c r="D42" s="61" t="s">
        <v>119</v>
      </c>
      <c r="E42" s="38" t="s">
        <v>1146</v>
      </c>
      <c r="F42" s="39" t="s">
        <v>1147</v>
      </c>
      <c r="G42" s="39">
        <v>20</v>
      </c>
      <c r="H42" s="39"/>
      <c r="I42" s="40" t="s">
        <v>265</v>
      </c>
      <c r="J42" s="41">
        <v>1</v>
      </c>
      <c r="K42" s="41">
        <v>156923</v>
      </c>
      <c r="L42" s="41"/>
      <c r="M42" s="42">
        <v>75670</v>
      </c>
      <c r="N42" s="42">
        <v>103792</v>
      </c>
      <c r="O42" s="43">
        <v>156923</v>
      </c>
      <c r="P42" s="44">
        <v>75670</v>
      </c>
      <c r="Q42" s="44">
        <v>103792</v>
      </c>
      <c r="R42" s="45"/>
      <c r="S42" s="46"/>
      <c r="T42" s="39">
        <f t="shared" si="19"/>
        <v>20</v>
      </c>
      <c r="U42" s="47">
        <f t="shared" si="20"/>
        <v>0.24122188261225763</v>
      </c>
      <c r="V42" s="48">
        <f t="shared" si="21"/>
        <v>28122</v>
      </c>
      <c r="W42" s="49">
        <f t="shared" si="22"/>
        <v>1.2061094130612881E-2</v>
      </c>
      <c r="X42" s="44">
        <f t="shared" si="23"/>
        <v>21109.141085938118</v>
      </c>
      <c r="Y42" s="44">
        <f t="shared" si="24"/>
        <v>28122</v>
      </c>
      <c r="Z42" s="44">
        <f t="shared" si="25"/>
        <v>65710.372461922627</v>
      </c>
      <c r="AA42" s="50">
        <f t="shared" si="26"/>
        <v>124901.14108593811</v>
      </c>
      <c r="AB42" s="51">
        <f t="shared" si="27"/>
        <v>61526.565975582984</v>
      </c>
      <c r="AC42" s="44">
        <f t="shared" si="28"/>
        <v>116948.63397559748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1.336812363712726</v>
      </c>
      <c r="AG42" s="44">
        <f t="shared" si="31"/>
        <v>209776.60655089212</v>
      </c>
      <c r="AH42" s="52">
        <f>HLOOKUP(I42,ElecAvoidedCostsWOCC!$A$5:$Q$50,T42+1,FALSE)</f>
        <v>1.336812363712726</v>
      </c>
      <c r="AI42" s="44">
        <f t="shared" si="32"/>
        <v>0</v>
      </c>
      <c r="AJ42" s="44">
        <f t="shared" si="33"/>
        <v>209776.60655089212</v>
      </c>
      <c r="AK42" s="44">
        <f>HLOOKUP(I42,ElecAvoidedCostsWOCC!$A$5:$Q$50,G42+1,FALSE)*J42*L42</f>
        <v>0</v>
      </c>
      <c r="AL42" s="44">
        <f t="shared" si="34"/>
        <v>209776.60655089212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209776.60655089212</v>
      </c>
      <c r="AN42" s="48">
        <f t="shared" si="35"/>
        <v>230754.26720598133</v>
      </c>
      <c r="AO42" s="47">
        <f t="shared" si="36"/>
        <v>3.409528928270475</v>
      </c>
      <c r="AP42" s="47">
        <f t="shared" si="37"/>
        <v>1.9731249469243957</v>
      </c>
    </row>
    <row r="43" spans="2:42" x14ac:dyDescent="0.35">
      <c r="B43" s="97" t="s">
        <v>62</v>
      </c>
      <c r="C43" s="98">
        <v>18230711</v>
      </c>
      <c r="D43" s="61" t="s">
        <v>119</v>
      </c>
      <c r="E43" s="38" t="s">
        <v>1146</v>
      </c>
      <c r="F43" s="39" t="s">
        <v>1147</v>
      </c>
      <c r="G43" s="39">
        <v>20</v>
      </c>
      <c r="H43" s="39"/>
      <c r="I43" s="40" t="s">
        <v>265</v>
      </c>
      <c r="J43" s="41">
        <v>1</v>
      </c>
      <c r="K43" s="41">
        <v>154363</v>
      </c>
      <c r="L43" s="41"/>
      <c r="M43" s="42">
        <v>25204</v>
      </c>
      <c r="N43" s="42">
        <v>412719</v>
      </c>
      <c r="O43" s="43">
        <v>154363</v>
      </c>
      <c r="P43" s="44">
        <v>25204</v>
      </c>
      <c r="Q43" s="44">
        <v>412719</v>
      </c>
      <c r="R43" s="45"/>
      <c r="S43" s="46"/>
      <c r="T43" s="39">
        <f t="shared" si="19"/>
        <v>20</v>
      </c>
      <c r="U43" s="47">
        <f t="shared" si="20"/>
        <v>0.23728665310805888</v>
      </c>
      <c r="V43" s="48">
        <f t="shared" si="21"/>
        <v>387515</v>
      </c>
      <c r="W43" s="49">
        <f t="shared" si="22"/>
        <v>1.1864332655402944E-2</v>
      </c>
      <c r="X43" s="44">
        <f t="shared" si="23"/>
        <v>20764.772184120015</v>
      </c>
      <c r="Y43" s="44">
        <f t="shared" si="24"/>
        <v>387515</v>
      </c>
      <c r="Z43" s="44">
        <f t="shared" si="25"/>
        <v>64638.39095823915</v>
      </c>
      <c r="AA43" s="50">
        <f t="shared" si="26"/>
        <v>433483.77218412003</v>
      </c>
      <c r="AB43" s="51">
        <f t="shared" si="27"/>
        <v>60522.837975879353</v>
      </c>
      <c r="AC43" s="44">
        <f t="shared" si="28"/>
        <v>405883.68182033708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1.336812363712726</v>
      </c>
      <c r="AG43" s="44">
        <f t="shared" si="31"/>
        <v>206354.36689978754</v>
      </c>
      <c r="AH43" s="52">
        <f>HLOOKUP(I43,ElecAvoidedCostsWOCC!$A$5:$Q$50,T43+1,FALSE)</f>
        <v>1.336812363712726</v>
      </c>
      <c r="AI43" s="44">
        <f t="shared" si="32"/>
        <v>0</v>
      </c>
      <c r="AJ43" s="44">
        <f t="shared" si="33"/>
        <v>206354.36689978754</v>
      </c>
      <c r="AK43" s="44">
        <f>HLOOKUP(I43,ElecAvoidedCostsWOCC!$A$5:$Q$50,G43+1,FALSE)*J43*L43</f>
        <v>0</v>
      </c>
      <c r="AL43" s="44">
        <f t="shared" si="34"/>
        <v>206354.36689978754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206354.36689978754</v>
      </c>
      <c r="AN43" s="48">
        <f t="shared" si="35"/>
        <v>226989.80358976632</v>
      </c>
      <c r="AO43" s="47">
        <f t="shared" si="36"/>
        <v>3.409528928270475</v>
      </c>
      <c r="AP43" s="47">
        <f t="shared" si="37"/>
        <v>0.55924840972109469</v>
      </c>
    </row>
    <row r="44" spans="2:42" x14ac:dyDescent="0.35">
      <c r="B44" s="97" t="s">
        <v>62</v>
      </c>
      <c r="C44" s="98">
        <v>18230711</v>
      </c>
      <c r="D44" s="61" t="s">
        <v>119</v>
      </c>
      <c r="E44" s="38" t="s">
        <v>1146</v>
      </c>
      <c r="F44" s="39" t="s">
        <v>1147</v>
      </c>
      <c r="G44" s="39">
        <v>10</v>
      </c>
      <c r="H44" s="39"/>
      <c r="I44" s="40" t="s">
        <v>265</v>
      </c>
      <c r="J44" s="41">
        <v>1</v>
      </c>
      <c r="K44" s="41">
        <v>19145</v>
      </c>
      <c r="L44" s="41"/>
      <c r="M44" s="42">
        <v>6700</v>
      </c>
      <c r="N44" s="42">
        <v>13670</v>
      </c>
      <c r="O44" s="43">
        <v>19145</v>
      </c>
      <c r="P44" s="44">
        <v>6700</v>
      </c>
      <c r="Q44" s="44">
        <v>13670</v>
      </c>
      <c r="R44" s="45"/>
      <c r="S44" s="46"/>
      <c r="T44" s="39">
        <f t="shared" si="19"/>
        <v>10</v>
      </c>
      <c r="U44" s="47">
        <f t="shared" si="20"/>
        <v>1.4714837667555655E-2</v>
      </c>
      <c r="V44" s="48">
        <f t="shared" si="21"/>
        <v>6970</v>
      </c>
      <c r="W44" s="49">
        <f t="shared" si="22"/>
        <v>1.4714837667555655E-3</v>
      </c>
      <c r="X44" s="44">
        <f t="shared" si="23"/>
        <v>2575.3682130107454</v>
      </c>
      <c r="Y44" s="44">
        <f t="shared" si="24"/>
        <v>6970</v>
      </c>
      <c r="Z44" s="44">
        <f t="shared" si="25"/>
        <v>8016.8304250078618</v>
      </c>
      <c r="AA44" s="50">
        <f t="shared" si="26"/>
        <v>16245.368213010745</v>
      </c>
      <c r="AB44" s="51">
        <f t="shared" si="27"/>
        <v>7506.395529033578</v>
      </c>
      <c r="AC44" s="44">
        <f t="shared" si="28"/>
        <v>15211.018926040022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0.75060359248592257</v>
      </c>
      <c r="AG44" s="44">
        <f t="shared" si="31"/>
        <v>14370.305778142987</v>
      </c>
      <c r="AH44" s="52">
        <f>HLOOKUP(I44,ElecAvoidedCostsWOCC!$A$5:$Q$50,T44+1,FALSE)</f>
        <v>0.75060359248592257</v>
      </c>
      <c r="AI44" s="44">
        <f t="shared" si="32"/>
        <v>0</v>
      </c>
      <c r="AJ44" s="44">
        <f t="shared" si="33"/>
        <v>14370.305778142987</v>
      </c>
      <c r="AK44" s="44">
        <f>HLOOKUP(I44,ElecAvoidedCostsWOCC!$A$5:$Q$50,G44+1,FALSE)*J44*L44</f>
        <v>0</v>
      </c>
      <c r="AL44" s="44">
        <f t="shared" si="34"/>
        <v>14370.305778142987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14370.305778142987</v>
      </c>
      <c r="AN44" s="48">
        <f t="shared" si="35"/>
        <v>15807.336355957286</v>
      </c>
      <c r="AO44" s="47">
        <f t="shared" si="36"/>
        <v>1.9144082832513774</v>
      </c>
      <c r="AP44" s="47">
        <f t="shared" si="37"/>
        <v>1.0392029904647886</v>
      </c>
    </row>
    <row r="45" spans="2:42" x14ac:dyDescent="0.35">
      <c r="B45" s="97" t="s">
        <v>62</v>
      </c>
      <c r="C45" s="98">
        <v>18230711</v>
      </c>
      <c r="D45" s="61" t="s">
        <v>119</v>
      </c>
      <c r="E45" s="38" t="s">
        <v>1146</v>
      </c>
      <c r="F45" s="39" t="s">
        <v>1147</v>
      </c>
      <c r="G45" s="39">
        <v>10</v>
      </c>
      <c r="H45" s="39"/>
      <c r="I45" s="40" t="s">
        <v>265</v>
      </c>
      <c r="J45" s="41">
        <v>1</v>
      </c>
      <c r="K45" s="41">
        <v>11487</v>
      </c>
      <c r="L45" s="41"/>
      <c r="M45" s="42">
        <v>4020</v>
      </c>
      <c r="N45" s="42">
        <v>8202</v>
      </c>
      <c r="O45" s="43">
        <v>11487</v>
      </c>
      <c r="P45" s="44">
        <v>4020</v>
      </c>
      <c r="Q45" s="44">
        <v>8202</v>
      </c>
      <c r="R45" s="45"/>
      <c r="S45" s="46"/>
      <c r="T45" s="39">
        <f t="shared" si="19"/>
        <v>10</v>
      </c>
      <c r="U45" s="47">
        <f t="shared" si="20"/>
        <v>8.8289026005333934E-3</v>
      </c>
      <c r="V45" s="48">
        <f t="shared" si="21"/>
        <v>4182</v>
      </c>
      <c r="W45" s="49">
        <f t="shared" si="22"/>
        <v>8.8289026005333932E-4</v>
      </c>
      <c r="X45" s="44">
        <f t="shared" si="23"/>
        <v>1545.2209278064474</v>
      </c>
      <c r="Y45" s="44">
        <f t="shared" si="24"/>
        <v>4182</v>
      </c>
      <c r="Z45" s="44">
        <f t="shared" si="25"/>
        <v>4810.0982550047174</v>
      </c>
      <c r="AA45" s="50">
        <f t="shared" si="26"/>
        <v>9747.2209278064474</v>
      </c>
      <c r="AB45" s="51">
        <f t="shared" si="27"/>
        <v>4503.837317420147</v>
      </c>
      <c r="AC45" s="44">
        <f t="shared" si="28"/>
        <v>9126.6113556240143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0.75060359248592257</v>
      </c>
      <c r="AG45" s="44">
        <f t="shared" si="31"/>
        <v>8622.1834668857919</v>
      </c>
      <c r="AH45" s="52">
        <f>HLOOKUP(I45,ElecAvoidedCostsWOCC!$A$5:$Q$50,T45+1,FALSE)</f>
        <v>0.75060359248592257</v>
      </c>
      <c r="AI45" s="44">
        <f t="shared" si="32"/>
        <v>0</v>
      </c>
      <c r="AJ45" s="44">
        <f t="shared" si="33"/>
        <v>8622.1834668857919</v>
      </c>
      <c r="AK45" s="44">
        <f>HLOOKUP(I45,ElecAvoidedCostsWOCC!$A$5:$Q$50,G45+1,FALSE)*J45*L45</f>
        <v>0</v>
      </c>
      <c r="AL45" s="44">
        <f t="shared" si="34"/>
        <v>8622.1834668857919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8622.1834668857919</v>
      </c>
      <c r="AN45" s="48">
        <f t="shared" si="35"/>
        <v>9484.4018135743718</v>
      </c>
      <c r="AO45" s="47">
        <f t="shared" si="36"/>
        <v>1.9144082832513774</v>
      </c>
      <c r="AP45" s="47">
        <f t="shared" si="37"/>
        <v>1.0392029904647884</v>
      </c>
    </row>
    <row r="46" spans="2:42" x14ac:dyDescent="0.35">
      <c r="B46" s="97" t="s">
        <v>62</v>
      </c>
      <c r="C46" s="98">
        <v>18230711</v>
      </c>
      <c r="D46" s="61" t="s">
        <v>119</v>
      </c>
      <c r="E46" s="38" t="s">
        <v>1146</v>
      </c>
      <c r="F46" s="39" t="s">
        <v>1147</v>
      </c>
      <c r="G46" s="39">
        <v>12</v>
      </c>
      <c r="H46" s="39"/>
      <c r="I46" s="40" t="s">
        <v>265</v>
      </c>
      <c r="J46" s="41">
        <v>1</v>
      </c>
      <c r="K46" s="41">
        <v>326592</v>
      </c>
      <c r="L46" s="41"/>
      <c r="M46" s="42">
        <v>41709</v>
      </c>
      <c r="N46" s="42">
        <v>101877.07</v>
      </c>
      <c r="O46" s="43">
        <v>326592</v>
      </c>
      <c r="P46" s="44">
        <v>41709</v>
      </c>
      <c r="Q46" s="44">
        <v>101877.07</v>
      </c>
      <c r="R46" s="45"/>
      <c r="S46" s="46"/>
      <c r="T46" s="39">
        <f t="shared" si="19"/>
        <v>12</v>
      </c>
      <c r="U46" s="47">
        <f t="shared" si="20"/>
        <v>0.30122214239889283</v>
      </c>
      <c r="V46" s="48">
        <f t="shared" si="21"/>
        <v>60168.070000000007</v>
      </c>
      <c r="W46" s="49">
        <f t="shared" si="22"/>
        <v>2.5101845199907737E-2</v>
      </c>
      <c r="X46" s="44">
        <f t="shared" si="23"/>
        <v>43932.862649443996</v>
      </c>
      <c r="Y46" s="44">
        <f t="shared" si="24"/>
        <v>60168.070000000007</v>
      </c>
      <c r="Z46" s="44">
        <f t="shared" si="25"/>
        <v>136758.04033241927</v>
      </c>
      <c r="AA46" s="50">
        <f t="shared" si="26"/>
        <v>145809.932649444</v>
      </c>
      <c r="AB46" s="51">
        <f t="shared" si="27"/>
        <v>128050.59956219033</v>
      </c>
      <c r="AC46" s="44">
        <f t="shared" si="28"/>
        <v>136526.15416614607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0.88470520788483886</v>
      </c>
      <c r="AG46" s="44">
        <f t="shared" si="31"/>
        <v>288937.64325352531</v>
      </c>
      <c r="AH46" s="52">
        <f>HLOOKUP(I46,ElecAvoidedCostsWOCC!$A$5:$Q$50,T46+1,FALSE)</f>
        <v>0.88470520788483886</v>
      </c>
      <c r="AI46" s="44">
        <f t="shared" si="32"/>
        <v>0</v>
      </c>
      <c r="AJ46" s="44">
        <f t="shared" si="33"/>
        <v>288937.64325352531</v>
      </c>
      <c r="AK46" s="44">
        <f>HLOOKUP(I46,ElecAvoidedCostsWOCC!$A$5:$Q$50,G46+1,FALSE)*J46*L46</f>
        <v>0</v>
      </c>
      <c r="AL46" s="44">
        <f t="shared" si="34"/>
        <v>288937.64325352531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288937.64325352531</v>
      </c>
      <c r="AN46" s="48">
        <f t="shared" si="35"/>
        <v>317831.40757887787</v>
      </c>
      <c r="AO46" s="47">
        <f t="shared" si="36"/>
        <v>2.2564333493276383</v>
      </c>
      <c r="AP46" s="47">
        <f t="shared" si="37"/>
        <v>2.3279891645676303</v>
      </c>
    </row>
    <row r="47" spans="2:42" x14ac:dyDescent="0.35">
      <c r="B47" s="97" t="s">
        <v>62</v>
      </c>
      <c r="C47" s="98">
        <v>18230711</v>
      </c>
      <c r="D47" s="61" t="s">
        <v>119</v>
      </c>
      <c r="E47" s="38" t="s">
        <v>1146</v>
      </c>
      <c r="F47" s="39" t="s">
        <v>1147</v>
      </c>
      <c r="G47" s="39">
        <v>20</v>
      </c>
      <c r="H47" s="39"/>
      <c r="I47" s="40" t="s">
        <v>265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0</v>
      </c>
      <c r="R47" s="45"/>
      <c r="S47" s="46"/>
      <c r="T47" s="39">
        <f t="shared" si="19"/>
        <v>20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1.336812363712726</v>
      </c>
      <c r="AG47" s="44">
        <f t="shared" si="31"/>
        <v>0</v>
      </c>
      <c r="AH47" s="52">
        <f>HLOOKUP(I47,ElecAvoidedCostsWOCC!$A$5:$Q$50,T47+1,FALSE)</f>
        <v>1.336812363712726</v>
      </c>
      <c r="AI47" s="44">
        <f t="shared" si="32"/>
        <v>0</v>
      </c>
      <c r="AJ47" s="44">
        <f t="shared" si="33"/>
        <v>0</v>
      </c>
      <c r="AK47" s="44">
        <f>HLOOKUP(I47,ElecAvoidedCostsWOCC!$A$5:$Q$50,G47+1,FALSE)*J47*L47</f>
        <v>0</v>
      </c>
      <c r="AL47" s="44">
        <f t="shared" si="34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97" t="s">
        <v>62</v>
      </c>
      <c r="C48" s="98">
        <v>18230711</v>
      </c>
      <c r="D48" s="61" t="s">
        <v>119</v>
      </c>
      <c r="E48" s="38" t="s">
        <v>1146</v>
      </c>
      <c r="F48" s="39" t="s">
        <v>1147</v>
      </c>
      <c r="G48" s="39">
        <v>20</v>
      </c>
      <c r="H48" s="39"/>
      <c r="I48" s="40" t="s">
        <v>265</v>
      </c>
      <c r="J48" s="41">
        <v>1</v>
      </c>
      <c r="K48" s="41">
        <v>384583</v>
      </c>
      <c r="L48" s="41"/>
      <c r="M48" s="42">
        <v>179289</v>
      </c>
      <c r="N48" s="42">
        <v>293479</v>
      </c>
      <c r="O48" s="43">
        <v>384583</v>
      </c>
      <c r="P48" s="44">
        <v>179289</v>
      </c>
      <c r="Q48" s="44">
        <v>293479</v>
      </c>
      <c r="R48" s="45"/>
      <c r="S48" s="46"/>
      <c r="T48" s="39">
        <f t="shared" si="19"/>
        <v>20</v>
      </c>
      <c r="U48" s="47">
        <f t="shared" si="20"/>
        <v>0.59118061266143185</v>
      </c>
      <c r="V48" s="48">
        <f t="shared" si="21"/>
        <v>114190</v>
      </c>
      <c r="W48" s="49">
        <f t="shared" si="22"/>
        <v>2.9559030633071592E-2</v>
      </c>
      <c r="X48" s="44">
        <f t="shared" si="23"/>
        <v>51733.759909339853</v>
      </c>
      <c r="Y48" s="44">
        <f t="shared" si="24"/>
        <v>114190</v>
      </c>
      <c r="Z48" s="44">
        <f t="shared" si="25"/>
        <v>161041.35259027412</v>
      </c>
      <c r="AA48" s="50">
        <f t="shared" si="26"/>
        <v>345212.75990933983</v>
      </c>
      <c r="AB48" s="51">
        <f t="shared" si="27"/>
        <v>150787.78332422671</v>
      </c>
      <c r="AC48" s="44">
        <f t="shared" si="28"/>
        <v>323232.92126342678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1.336812363712726</v>
      </c>
      <c r="AG48" s="44">
        <f t="shared" si="31"/>
        <v>514115.30927373131</v>
      </c>
      <c r="AH48" s="52">
        <f>HLOOKUP(I48,ElecAvoidedCostsWOCC!$A$5:$Q$50,T48+1,FALSE)</f>
        <v>1.336812363712726</v>
      </c>
      <c r="AI48" s="44">
        <f t="shared" si="32"/>
        <v>0</v>
      </c>
      <c r="AJ48" s="44">
        <f t="shared" si="33"/>
        <v>514115.30927373131</v>
      </c>
      <c r="AK48" s="44">
        <f>HLOOKUP(I48,ElecAvoidedCostsWOCC!$A$5:$Q$50,G48+1,FALSE)*J48*L48</f>
        <v>0</v>
      </c>
      <c r="AL48" s="44">
        <f t="shared" si="34"/>
        <v>514115.30927373131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514115.30927373131</v>
      </c>
      <c r="AN48" s="48">
        <f t="shared" si="35"/>
        <v>565526.84020110453</v>
      </c>
      <c r="AO48" s="47">
        <f t="shared" si="36"/>
        <v>3.409528928270475</v>
      </c>
      <c r="AP48" s="47">
        <f t="shared" si="37"/>
        <v>1.749595424842924</v>
      </c>
    </row>
    <row r="49" spans="2:42" x14ac:dyDescent="0.35">
      <c r="B49" s="97" t="s">
        <v>62</v>
      </c>
      <c r="C49" s="98">
        <v>18230711</v>
      </c>
      <c r="D49" s="61" t="s">
        <v>119</v>
      </c>
      <c r="E49" s="38" t="s">
        <v>1146</v>
      </c>
      <c r="F49" s="39" t="s">
        <v>1147</v>
      </c>
      <c r="G49" s="39">
        <v>12</v>
      </c>
      <c r="H49" s="39"/>
      <c r="I49" s="40" t="s">
        <v>265</v>
      </c>
      <c r="J49" s="41">
        <v>1</v>
      </c>
      <c r="K49" s="41">
        <v>115102</v>
      </c>
      <c r="L49" s="41"/>
      <c r="M49" s="42">
        <v>57551</v>
      </c>
      <c r="N49" s="42">
        <v>87817</v>
      </c>
      <c r="O49" s="43">
        <v>115102</v>
      </c>
      <c r="P49" s="44">
        <v>57551</v>
      </c>
      <c r="Q49" s="44">
        <v>87817</v>
      </c>
      <c r="R49" s="45"/>
      <c r="S49" s="46"/>
      <c r="T49" s="39">
        <f t="shared" si="19"/>
        <v>12</v>
      </c>
      <c r="U49" s="47">
        <f t="shared" si="20"/>
        <v>0.10616080931069152</v>
      </c>
      <c r="V49" s="48">
        <f t="shared" si="21"/>
        <v>30266</v>
      </c>
      <c r="W49" s="49">
        <f t="shared" si="22"/>
        <v>8.846734109224293E-3</v>
      </c>
      <c r="X49" s="44">
        <f t="shared" si="23"/>
        <v>15483.417709791738</v>
      </c>
      <c r="Y49" s="44">
        <f t="shared" si="24"/>
        <v>30266</v>
      </c>
      <c r="Z49" s="44">
        <f t="shared" si="25"/>
        <v>48198.130873818482</v>
      </c>
      <c r="AA49" s="50">
        <f t="shared" si="26"/>
        <v>103300.41770979174</v>
      </c>
      <c r="AB49" s="51">
        <f t="shared" si="27"/>
        <v>45129.336024174605</v>
      </c>
      <c r="AC49" s="44">
        <f t="shared" si="28"/>
        <v>96723.237555984771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0.88470520788483886</v>
      </c>
      <c r="AG49" s="44">
        <f t="shared" si="31"/>
        <v>101831.33883796072</v>
      </c>
      <c r="AH49" s="52">
        <f>HLOOKUP(I49,ElecAvoidedCostsWOCC!$A$5:$Q$50,T49+1,FALSE)</f>
        <v>0.88470520788483886</v>
      </c>
      <c r="AI49" s="44">
        <f t="shared" si="32"/>
        <v>0</v>
      </c>
      <c r="AJ49" s="44">
        <f t="shared" si="33"/>
        <v>101831.33883796072</v>
      </c>
      <c r="AK49" s="44">
        <f>HLOOKUP(I49,ElecAvoidedCostsWOCC!$A$5:$Q$50,G49+1,FALSE)*J49*L49</f>
        <v>0</v>
      </c>
      <c r="AL49" s="44">
        <f t="shared" si="34"/>
        <v>101831.33883796072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101831.33883796072</v>
      </c>
      <c r="AN49" s="48">
        <f t="shared" si="35"/>
        <v>112014.4727217568</v>
      </c>
      <c r="AO49" s="47">
        <f t="shared" si="36"/>
        <v>2.2564333493276378</v>
      </c>
      <c r="AP49" s="47">
        <f t="shared" si="37"/>
        <v>1.1580926729930978</v>
      </c>
    </row>
    <row r="50" spans="2:42" x14ac:dyDescent="0.35">
      <c r="B50" s="97" t="s">
        <v>62</v>
      </c>
      <c r="C50" s="98">
        <v>18230711</v>
      </c>
      <c r="D50" s="61" t="s">
        <v>119</v>
      </c>
      <c r="E50" s="38" t="s">
        <v>1146</v>
      </c>
      <c r="F50" s="39" t="s">
        <v>1147</v>
      </c>
      <c r="G50" s="39">
        <v>12</v>
      </c>
      <c r="H50" s="39"/>
      <c r="I50" s="40" t="s">
        <v>265</v>
      </c>
      <c r="J50" s="41">
        <v>1</v>
      </c>
      <c r="K50" s="41">
        <v>3382269</v>
      </c>
      <c r="L50" s="41"/>
      <c r="M50" s="42">
        <v>1286644</v>
      </c>
      <c r="N50" s="42">
        <v>1890823</v>
      </c>
      <c r="O50" s="43">
        <v>3382269</v>
      </c>
      <c r="P50" s="44">
        <v>1286644</v>
      </c>
      <c r="Q50" s="44">
        <v>1890823</v>
      </c>
      <c r="R50" s="45"/>
      <c r="S50" s="46"/>
      <c r="T50" s="39">
        <f t="shared" si="19"/>
        <v>12</v>
      </c>
      <c r="U50" s="47">
        <f t="shared" si="20"/>
        <v>3.1195323656101825</v>
      </c>
      <c r="V50" s="48">
        <f t="shared" si="21"/>
        <v>604179</v>
      </c>
      <c r="W50" s="49">
        <f t="shared" si="22"/>
        <v>0.25996103046751523</v>
      </c>
      <c r="X50" s="44">
        <f t="shared" si="23"/>
        <v>454979.78952476574</v>
      </c>
      <c r="Y50" s="44">
        <f t="shared" si="24"/>
        <v>604179</v>
      </c>
      <c r="Z50" s="44">
        <f t="shared" si="25"/>
        <v>1416300.706438282</v>
      </c>
      <c r="AA50" s="50">
        <f t="shared" si="26"/>
        <v>2345802.7895247657</v>
      </c>
      <c r="AB50" s="51">
        <f t="shared" si="27"/>
        <v>1326124.2569646835</v>
      </c>
      <c r="AC50" s="44">
        <f t="shared" si="28"/>
        <v>2196444.5594801176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0.88470520788483886</v>
      </c>
      <c r="AG50" s="44">
        <f t="shared" si="31"/>
        <v>2992310.9987674463</v>
      </c>
      <c r="AH50" s="52">
        <f>HLOOKUP(I50,ElecAvoidedCostsWOCC!$A$5:$Q$50,T50+1,FALSE)</f>
        <v>0.88470520788483886</v>
      </c>
      <c r="AI50" s="44">
        <f t="shared" si="32"/>
        <v>0</v>
      </c>
      <c r="AJ50" s="44">
        <f t="shared" si="33"/>
        <v>2992310.9987674463</v>
      </c>
      <c r="AK50" s="44">
        <f>HLOOKUP(I50,ElecAvoidedCostsWOCC!$A$5:$Q$50,G50+1,FALSE)*J50*L50</f>
        <v>0</v>
      </c>
      <c r="AL50" s="44">
        <f t="shared" si="34"/>
        <v>2992310.9987674463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2992310.9987674463</v>
      </c>
      <c r="AN50" s="48">
        <f t="shared" si="35"/>
        <v>3291542.0986441909</v>
      </c>
      <c r="AO50" s="47">
        <f t="shared" si="36"/>
        <v>2.2564333493276383</v>
      </c>
      <c r="AP50" s="47">
        <f t="shared" si="37"/>
        <v>1.4985773642396305</v>
      </c>
    </row>
    <row r="51" spans="2:42" x14ac:dyDescent="0.35">
      <c r="B51" s="97" t="s">
        <v>62</v>
      </c>
      <c r="C51" s="98">
        <v>18230711</v>
      </c>
      <c r="D51" s="61" t="s">
        <v>119</v>
      </c>
      <c r="E51" s="38" t="s">
        <v>1148</v>
      </c>
      <c r="F51" s="39" t="s">
        <v>1149</v>
      </c>
      <c r="G51" s="39">
        <v>10</v>
      </c>
      <c r="H51" s="39"/>
      <c r="I51" s="40" t="s">
        <v>261</v>
      </c>
      <c r="J51" s="41">
        <v>1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0</v>
      </c>
      <c r="Q51" s="44">
        <v>0</v>
      </c>
      <c r="R51" s="45"/>
      <c r="S51" s="46"/>
      <c r="T51" s="39">
        <f t="shared" si="19"/>
        <v>10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0.76241877163232408</v>
      </c>
      <c r="AG51" s="44">
        <f t="shared" si="31"/>
        <v>0</v>
      </c>
      <c r="AH51" s="52">
        <f>HLOOKUP(I51,ElecAvoidedCostsWOCC!$A$5:$Q$50,T51+1,FALSE)</f>
        <v>0.76241877163232408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97" t="s">
        <v>62</v>
      </c>
      <c r="C52" s="98">
        <v>18230711</v>
      </c>
      <c r="D52" s="61" t="s">
        <v>119</v>
      </c>
      <c r="E52" s="38" t="s">
        <v>1148</v>
      </c>
      <c r="F52" s="39" t="s">
        <v>1149</v>
      </c>
      <c r="G52" s="39">
        <v>10</v>
      </c>
      <c r="H52" s="39"/>
      <c r="I52" s="40" t="s">
        <v>261</v>
      </c>
      <c r="J52" s="41">
        <v>1</v>
      </c>
      <c r="K52" s="41">
        <v>165317</v>
      </c>
      <c r="L52" s="41"/>
      <c r="M52" s="42">
        <v>43473</v>
      </c>
      <c r="N52" s="42">
        <v>43473</v>
      </c>
      <c r="O52" s="43">
        <v>165317</v>
      </c>
      <c r="P52" s="44">
        <v>43473</v>
      </c>
      <c r="Q52" s="44">
        <v>43473</v>
      </c>
      <c r="R52" s="45"/>
      <c r="S52" s="46"/>
      <c r="T52" s="39">
        <f t="shared" si="19"/>
        <v>10</v>
      </c>
      <c r="U52" s="47">
        <f t="shared" si="20"/>
        <v>0.12706256561437962</v>
      </c>
      <c r="V52" s="48">
        <f t="shared" si="21"/>
        <v>0</v>
      </c>
      <c r="W52" s="49">
        <f t="shared" si="22"/>
        <v>1.2706256561437963E-2</v>
      </c>
      <c r="X52" s="44">
        <f t="shared" si="23"/>
        <v>22238.294430415113</v>
      </c>
      <c r="Y52" s="44">
        <f t="shared" si="24"/>
        <v>0</v>
      </c>
      <c r="Z52" s="44">
        <f t="shared" si="25"/>
        <v>69225.299314234755</v>
      </c>
      <c r="AA52" s="50">
        <f t="shared" si="26"/>
        <v>65711.294430415117</v>
      </c>
      <c r="AB52" s="51">
        <f t="shared" si="27"/>
        <v>64817.69598711119</v>
      </c>
      <c r="AC52" s="44">
        <f t="shared" si="28"/>
        <v>61527.42924196172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0.76241877163232408</v>
      </c>
      <c r="AG52" s="44">
        <f t="shared" si="31"/>
        <v>126040.78406994091</v>
      </c>
      <c r="AH52" s="52">
        <f>HLOOKUP(I52,ElecAvoidedCostsWOCC!$A$5:$Q$50,T52+1,FALSE)</f>
        <v>0.76241877163232408</v>
      </c>
      <c r="AI52" s="44">
        <f t="shared" si="32"/>
        <v>0</v>
      </c>
      <c r="AJ52" s="44">
        <f t="shared" si="33"/>
        <v>126040.78406994091</v>
      </c>
      <c r="AK52" s="44">
        <f>HLOOKUP(I52,ElecAvoidedCostsWOCC!$A$5:$Q$50,G52+1,FALSE)*J52*L52</f>
        <v>0</v>
      </c>
      <c r="AL52" s="44">
        <f t="shared" si="34"/>
        <v>126040.78406994091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126040.78406994091</v>
      </c>
      <c r="AN52" s="48">
        <f t="shared" si="35"/>
        <v>138644.86247693503</v>
      </c>
      <c r="AO52" s="47">
        <f t="shared" si="36"/>
        <v>1.9445428003951846</v>
      </c>
      <c r="AP52" s="47">
        <f t="shared" si="37"/>
        <v>2.2533829900758993</v>
      </c>
    </row>
    <row r="53" spans="2:42" x14ac:dyDescent="0.35">
      <c r="B53" s="97" t="s">
        <v>62</v>
      </c>
      <c r="C53" s="98">
        <v>18230711</v>
      </c>
      <c r="D53" s="61" t="s">
        <v>119</v>
      </c>
      <c r="E53" s="38" t="s">
        <v>1148</v>
      </c>
      <c r="F53" s="39" t="s">
        <v>1149</v>
      </c>
      <c r="G53" s="39">
        <v>10</v>
      </c>
      <c r="H53" s="39"/>
      <c r="I53" s="40" t="s">
        <v>261</v>
      </c>
      <c r="J53" s="41">
        <v>1</v>
      </c>
      <c r="K53" s="41">
        <v>98431</v>
      </c>
      <c r="L53" s="41"/>
      <c r="M53" s="42">
        <v>37973</v>
      </c>
      <c r="N53" s="42">
        <v>37973</v>
      </c>
      <c r="O53" s="43">
        <v>98431</v>
      </c>
      <c r="P53" s="44">
        <v>37973</v>
      </c>
      <c r="Q53" s="44">
        <v>37973</v>
      </c>
      <c r="R53" s="45"/>
      <c r="S53" s="46"/>
      <c r="T53" s="39">
        <f t="shared" si="19"/>
        <v>10</v>
      </c>
      <c r="U53" s="47">
        <f t="shared" si="20"/>
        <v>7.565401861870831E-2</v>
      </c>
      <c r="V53" s="48">
        <f t="shared" si="21"/>
        <v>0</v>
      </c>
      <c r="W53" s="49">
        <f t="shared" si="22"/>
        <v>7.565401861870831E-3</v>
      </c>
      <c r="X53" s="44">
        <f t="shared" si="23"/>
        <v>13240.84975580364</v>
      </c>
      <c r="Y53" s="44">
        <f t="shared" si="24"/>
        <v>0</v>
      </c>
      <c r="Z53" s="44">
        <f t="shared" si="25"/>
        <v>41217.270073854728</v>
      </c>
      <c r="AA53" s="50">
        <f t="shared" si="26"/>
        <v>51213.84975580364</v>
      </c>
      <c r="AB53" s="51">
        <f t="shared" si="27"/>
        <v>38592.949507354613</v>
      </c>
      <c r="AC53" s="44">
        <f t="shared" si="28"/>
        <v>47953.042842512768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0.76241877163232408</v>
      </c>
      <c r="AG53" s="44">
        <f t="shared" si="31"/>
        <v>75045.642110541288</v>
      </c>
      <c r="AH53" s="52">
        <f>HLOOKUP(I53,ElecAvoidedCostsWOCC!$A$5:$Q$50,T53+1,FALSE)</f>
        <v>0.76241877163232408</v>
      </c>
      <c r="AI53" s="44">
        <f t="shared" si="32"/>
        <v>0</v>
      </c>
      <c r="AJ53" s="44">
        <f t="shared" si="33"/>
        <v>75045.642110541288</v>
      </c>
      <c r="AK53" s="44">
        <f>HLOOKUP(I53,ElecAvoidedCostsWOCC!$A$5:$Q$50,G53+1,FALSE)*J53*L53</f>
        <v>0</v>
      </c>
      <c r="AL53" s="44">
        <f t="shared" si="34"/>
        <v>75045.642110541288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75045.642110541288</v>
      </c>
      <c r="AN53" s="48">
        <f t="shared" si="35"/>
        <v>82550.206321595426</v>
      </c>
      <c r="AO53" s="47">
        <f t="shared" si="36"/>
        <v>1.9445428003951843</v>
      </c>
      <c r="AP53" s="47">
        <f t="shared" si="37"/>
        <v>1.7214800443989875</v>
      </c>
    </row>
    <row r="54" spans="2:42" x14ac:dyDescent="0.35">
      <c r="B54" s="37"/>
      <c r="C54" s="61"/>
      <c r="D54" s="61"/>
      <c r="E54" s="38" t="s">
        <v>1148</v>
      </c>
      <c r="F54" s="39" t="s">
        <v>1149</v>
      </c>
      <c r="G54" s="39">
        <v>10</v>
      </c>
      <c r="H54" s="39"/>
      <c r="I54" s="40" t="s">
        <v>261</v>
      </c>
      <c r="J54" s="41">
        <v>1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0</v>
      </c>
      <c r="Q54" s="44">
        <v>0</v>
      </c>
      <c r="R54" s="45"/>
      <c r="S54" s="46"/>
      <c r="T54" s="39">
        <f t="shared" si="19"/>
        <v>10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0.76241877163232408</v>
      </c>
      <c r="AG54" s="44">
        <f t="shared" si="31"/>
        <v>0</v>
      </c>
      <c r="AH54" s="52">
        <f>HLOOKUP(I54,ElecAvoidedCostsWOCC!$A$5:$Q$50,T54+1,FALSE)</f>
        <v>0.76241877163232408</v>
      </c>
      <c r="AI54" s="44">
        <f t="shared" si="32"/>
        <v>0</v>
      </c>
      <c r="AJ54" s="44">
        <f t="shared" si="33"/>
        <v>0</v>
      </c>
      <c r="AK54" s="44">
        <f>HLOOKUP(I54,ElecAvoidedCostsWOCC!$A$5:$Q$50,G54+1,FALSE)*J54*L54</f>
        <v>0</v>
      </c>
      <c r="AL54" s="44">
        <f t="shared" si="34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 t="s">
        <v>1150</v>
      </c>
      <c r="F55" s="39" t="s">
        <v>1151</v>
      </c>
      <c r="G55" s="39">
        <v>15</v>
      </c>
      <c r="H55" s="39"/>
      <c r="I55" s="40" t="s">
        <v>261</v>
      </c>
      <c r="J55" s="41">
        <v>1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15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1.0763668537425979</v>
      </c>
      <c r="AG55" s="44">
        <f t="shared" si="31"/>
        <v>0</v>
      </c>
      <c r="AH55" s="52">
        <f>HLOOKUP(I55,ElecAvoidedCostsWOCC!$A$5:$Q$50,T55+1,FALSE)</f>
        <v>1.0763668537425979</v>
      </c>
      <c r="AI55" s="44">
        <f t="shared" si="32"/>
        <v>0</v>
      </c>
      <c r="AJ55" s="44">
        <f t="shared" si="33"/>
        <v>0</v>
      </c>
      <c r="AK55" s="44">
        <f>HLOOKUP(I55,ElecAvoidedCostsWOCC!$A$5:$Q$50,G55+1,FALSE)*J55*L55</f>
        <v>0</v>
      </c>
      <c r="AL55" s="44">
        <f t="shared" si="34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 t="s">
        <v>1150</v>
      </c>
      <c r="F56" s="39" t="s">
        <v>1151</v>
      </c>
      <c r="G56" s="39">
        <v>10</v>
      </c>
      <c r="H56" s="39"/>
      <c r="I56" s="40" t="s">
        <v>261</v>
      </c>
      <c r="J56" s="41">
        <v>1</v>
      </c>
      <c r="K56" s="41">
        <v>53009</v>
      </c>
      <c r="L56" s="41"/>
      <c r="M56" s="42">
        <v>24747</v>
      </c>
      <c r="N56" s="42">
        <v>35353.410000000003</v>
      </c>
      <c r="O56" s="43">
        <v>53009</v>
      </c>
      <c r="P56" s="44">
        <v>24747</v>
      </c>
      <c r="Q56" s="44">
        <v>35353.410000000003</v>
      </c>
      <c r="R56" s="45"/>
      <c r="S56" s="46"/>
      <c r="T56" s="39">
        <f t="shared" si="19"/>
        <v>10</v>
      </c>
      <c r="U56" s="47">
        <f t="shared" si="20"/>
        <v>4.0742691560170165E-2</v>
      </c>
      <c r="V56" s="48">
        <f t="shared" si="21"/>
        <v>10606.410000000003</v>
      </c>
      <c r="W56" s="49">
        <f t="shared" si="22"/>
        <v>4.0742691560170163E-3</v>
      </c>
      <c r="X56" s="44">
        <f t="shared" si="23"/>
        <v>7130.7230923732886</v>
      </c>
      <c r="Y56" s="44">
        <f t="shared" si="24"/>
        <v>10606.410000000003</v>
      </c>
      <c r="Z56" s="44">
        <f t="shared" si="25"/>
        <v>22197.135753420829</v>
      </c>
      <c r="AA56" s="50">
        <f t="shared" si="26"/>
        <v>42484.133092373289</v>
      </c>
      <c r="AB56" s="51">
        <f t="shared" si="27"/>
        <v>20783.834975113135</v>
      </c>
      <c r="AC56" s="44">
        <f t="shared" si="28"/>
        <v>39779.150835555512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0.76241877163232408</v>
      </c>
      <c r="AG56" s="44">
        <f t="shared" si="31"/>
        <v>40415.056665457865</v>
      </c>
      <c r="AH56" s="52">
        <f>HLOOKUP(I56,ElecAvoidedCostsWOCC!$A$5:$Q$50,T56+1,FALSE)</f>
        <v>0.76241877163232408</v>
      </c>
      <c r="AI56" s="44">
        <f t="shared" si="32"/>
        <v>0</v>
      </c>
      <c r="AJ56" s="44">
        <f t="shared" si="33"/>
        <v>40415.056665457865</v>
      </c>
      <c r="AK56" s="44">
        <f>HLOOKUP(I56,ElecAvoidedCostsWOCC!$A$5:$Q$50,G56+1,FALSE)*J56*L56</f>
        <v>0</v>
      </c>
      <c r="AL56" s="44">
        <f t="shared" si="34"/>
        <v>40415.056665457865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40415.056665457865</v>
      </c>
      <c r="AN56" s="48">
        <f t="shared" si="35"/>
        <v>44456.562332003654</v>
      </c>
      <c r="AO56" s="47">
        <f t="shared" si="36"/>
        <v>1.9445428003951839</v>
      </c>
      <c r="AP56" s="47">
        <f t="shared" si="37"/>
        <v>1.1175844983666008</v>
      </c>
    </row>
    <row r="57" spans="2:42" x14ac:dyDescent="0.35">
      <c r="B57" s="37"/>
      <c r="C57" s="61"/>
      <c r="D57" s="61"/>
      <c r="E57" s="38" t="s">
        <v>1150</v>
      </c>
      <c r="F57" s="39" t="s">
        <v>1151</v>
      </c>
      <c r="G57" s="39">
        <v>15</v>
      </c>
      <c r="H57" s="39"/>
      <c r="I57" s="40" t="s">
        <v>261</v>
      </c>
      <c r="J57" s="41">
        <v>1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0</v>
      </c>
      <c r="R57" s="45"/>
      <c r="S57" s="46"/>
      <c r="T57" s="39">
        <f t="shared" si="19"/>
        <v>15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1.0763668537425979</v>
      </c>
      <c r="AG57" s="44">
        <f t="shared" si="31"/>
        <v>0</v>
      </c>
      <c r="AH57" s="52">
        <f>HLOOKUP(I57,ElecAvoidedCostsWOCC!$A$5:$Q$50,T57+1,FALSE)</f>
        <v>1.0763668537425979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 t="s">
        <v>1152</v>
      </c>
      <c r="F58" s="39" t="s">
        <v>1153</v>
      </c>
      <c r="G58" s="39">
        <v>20</v>
      </c>
      <c r="H58" s="39"/>
      <c r="I58" s="40" t="s">
        <v>266</v>
      </c>
      <c r="J58" s="41">
        <v>1</v>
      </c>
      <c r="K58" s="41">
        <v>77096</v>
      </c>
      <c r="L58" s="41"/>
      <c r="M58" s="42">
        <v>58554</v>
      </c>
      <c r="N58" s="42">
        <v>67142</v>
      </c>
      <c r="O58" s="43">
        <v>77096</v>
      </c>
      <c r="P58" s="44">
        <v>58554</v>
      </c>
      <c r="Q58" s="44">
        <v>67142</v>
      </c>
      <c r="R58" s="45"/>
      <c r="S58" s="46"/>
      <c r="T58" s="39">
        <f t="shared" si="19"/>
        <v>20</v>
      </c>
      <c r="U58" s="47">
        <f t="shared" si="20"/>
        <v>0.11851189603738529</v>
      </c>
      <c r="V58" s="48">
        <f t="shared" si="21"/>
        <v>8588</v>
      </c>
      <c r="W58" s="49">
        <f t="shared" si="22"/>
        <v>5.9255948018692647E-3</v>
      </c>
      <c r="X58" s="44">
        <f t="shared" si="23"/>
        <v>10370.884708815693</v>
      </c>
      <c r="Y58" s="44">
        <f t="shared" si="24"/>
        <v>8588</v>
      </c>
      <c r="Z58" s="44">
        <f t="shared" si="25"/>
        <v>32283.392971867645</v>
      </c>
      <c r="AA58" s="50">
        <f t="shared" si="26"/>
        <v>77512.884708815691</v>
      </c>
      <c r="AB58" s="51">
        <f t="shared" si="27"/>
        <v>30227.896041074571</v>
      </c>
      <c r="AC58" s="44">
        <f t="shared" si="28"/>
        <v>72577.607405258139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1.6018928111000572</v>
      </c>
      <c r="AG58" s="44">
        <f t="shared" si="31"/>
        <v>123499.52816457002</v>
      </c>
      <c r="AH58" s="52">
        <f>HLOOKUP(I58,ElecAvoidedCostsWOCC!$A$5:$Q$50,T58+1,FALSE)</f>
        <v>1.6018928111000572</v>
      </c>
      <c r="AI58" s="44">
        <f t="shared" si="32"/>
        <v>0</v>
      </c>
      <c r="AJ58" s="44">
        <f t="shared" si="33"/>
        <v>123499.52816457002</v>
      </c>
      <c r="AK58" s="44">
        <f>HLOOKUP(I58,ElecAvoidedCostsWOCC!$A$5:$Q$50,G58+1,FALSE)*J58*L58</f>
        <v>0</v>
      </c>
      <c r="AL58" s="44">
        <f t="shared" si="34"/>
        <v>123499.52816457002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123499.52816457002</v>
      </c>
      <c r="AN58" s="48">
        <f t="shared" si="35"/>
        <v>135849.48098102704</v>
      </c>
      <c r="AO58" s="47">
        <f t="shared" si="36"/>
        <v>4.0856144270429926</v>
      </c>
      <c r="AP58" s="47">
        <f t="shared" si="37"/>
        <v>1.8717823008751449</v>
      </c>
    </row>
    <row r="59" spans="2:42" x14ac:dyDescent="0.35">
      <c r="B59" s="37"/>
      <c r="C59" s="61"/>
      <c r="D59" s="61"/>
      <c r="E59" s="38" t="s">
        <v>1152</v>
      </c>
      <c r="F59" s="39" t="s">
        <v>1153</v>
      </c>
      <c r="G59" s="39">
        <v>20</v>
      </c>
      <c r="H59" s="39"/>
      <c r="I59" s="40" t="s">
        <v>266</v>
      </c>
      <c r="J59" s="41">
        <v>1</v>
      </c>
      <c r="K59" s="41">
        <v>198405</v>
      </c>
      <c r="L59" s="41"/>
      <c r="M59" s="42">
        <v>50229</v>
      </c>
      <c r="N59" s="42">
        <v>154348.45000000001</v>
      </c>
      <c r="O59" s="43">
        <v>198405</v>
      </c>
      <c r="P59" s="44">
        <v>50229</v>
      </c>
      <c r="Q59" s="44">
        <v>154348.45000000001</v>
      </c>
      <c r="R59" s="45"/>
      <c r="S59" s="46"/>
      <c r="T59" s="39">
        <f t="shared" si="19"/>
        <v>20</v>
      </c>
      <c r="U59" s="47">
        <f t="shared" si="20"/>
        <v>0.30498797257052801</v>
      </c>
      <c r="V59" s="48">
        <f t="shared" si="21"/>
        <v>104119.45000000001</v>
      </c>
      <c r="W59" s="49">
        <f t="shared" si="22"/>
        <v>1.5249398628526402E-2</v>
      </c>
      <c r="X59" s="44">
        <f t="shared" si="23"/>
        <v>26689.262486414049</v>
      </c>
      <c r="Y59" s="44">
        <f t="shared" si="24"/>
        <v>104119.45000000001</v>
      </c>
      <c r="Z59" s="44">
        <f t="shared" si="25"/>
        <v>83080.66024934368</v>
      </c>
      <c r="AA59" s="50">
        <f t="shared" si="26"/>
        <v>181037.71248641406</v>
      </c>
      <c r="AB59" s="51">
        <f t="shared" si="27"/>
        <v>77790.880383280601</v>
      </c>
      <c r="AC59" s="44">
        <f t="shared" si="28"/>
        <v>169510.9667475787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1.6018928111000572</v>
      </c>
      <c r="AG59" s="44">
        <f t="shared" si="31"/>
        <v>317823.54318630684</v>
      </c>
      <c r="AH59" s="52">
        <f>HLOOKUP(I59,ElecAvoidedCostsWOCC!$A$5:$Q$50,T59+1,FALSE)</f>
        <v>1.6018928111000572</v>
      </c>
      <c r="AI59" s="44">
        <f t="shared" si="32"/>
        <v>0</v>
      </c>
      <c r="AJ59" s="44">
        <f t="shared" si="33"/>
        <v>317823.54318630684</v>
      </c>
      <c r="AK59" s="44">
        <f>HLOOKUP(I59,ElecAvoidedCostsWOCC!$A$5:$Q$50,G59+1,FALSE)*J59*L59</f>
        <v>0</v>
      </c>
      <c r="AL59" s="44">
        <f t="shared" si="34"/>
        <v>317823.54318630684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317823.54318630684</v>
      </c>
      <c r="AN59" s="48">
        <f t="shared" si="35"/>
        <v>349605.89750493754</v>
      </c>
      <c r="AO59" s="47">
        <f t="shared" si="36"/>
        <v>4.0856144270429908</v>
      </c>
      <c r="AP59" s="47">
        <f t="shared" si="37"/>
        <v>2.0624382257552747</v>
      </c>
    </row>
    <row r="60" spans="2:42" x14ac:dyDescent="0.35">
      <c r="B60" s="37"/>
      <c r="C60" s="61"/>
      <c r="D60" s="61"/>
      <c r="E60" s="38" t="s">
        <v>1154</v>
      </c>
      <c r="F60" s="39" t="s">
        <v>1155</v>
      </c>
      <c r="G60" s="39">
        <v>5</v>
      </c>
      <c r="H60" s="39"/>
      <c r="I60" s="40" t="s">
        <v>261</v>
      </c>
      <c r="J60" s="41">
        <v>1</v>
      </c>
      <c r="K60" s="41">
        <v>523044</v>
      </c>
      <c r="L60" s="41"/>
      <c r="M60" s="42">
        <v>52395</v>
      </c>
      <c r="N60" s="42">
        <v>60391</v>
      </c>
      <c r="O60" s="43">
        <v>523044</v>
      </c>
      <c r="P60" s="44">
        <v>52395</v>
      </c>
      <c r="Q60" s="44">
        <v>60391</v>
      </c>
      <c r="R60" s="45"/>
      <c r="S60" s="46"/>
      <c r="T60" s="39">
        <f t="shared" si="19"/>
        <v>5</v>
      </c>
      <c r="U60" s="47">
        <f t="shared" si="20"/>
        <v>0.20100568171817654</v>
      </c>
      <c r="V60" s="48">
        <f t="shared" si="21"/>
        <v>7996</v>
      </c>
      <c r="W60" s="49">
        <f t="shared" si="22"/>
        <v>4.0201136343635306E-2</v>
      </c>
      <c r="X60" s="44">
        <f t="shared" si="23"/>
        <v>70359.409329119473</v>
      </c>
      <c r="Y60" s="44">
        <f t="shared" si="24"/>
        <v>7996</v>
      </c>
      <c r="Z60" s="44">
        <f t="shared" si="25"/>
        <v>219020.89594242943</v>
      </c>
      <c r="AA60" s="50">
        <f t="shared" si="26"/>
        <v>130750.40932911947</v>
      </c>
      <c r="AB60" s="51">
        <f t="shared" si="27"/>
        <v>205075.74526444703</v>
      </c>
      <c r="AC60" s="44">
        <f t="shared" si="28"/>
        <v>122425.47689992459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0.39886803421791017</v>
      </c>
      <c r="AG60" s="44">
        <f t="shared" si="31"/>
        <v>208625.5320894726</v>
      </c>
      <c r="AH60" s="52">
        <f>HLOOKUP(I60,ElecAvoidedCostsWOCC!$A$5:$Q$50,T60+1,FALSE)</f>
        <v>0.39886803421791017</v>
      </c>
      <c r="AI60" s="44">
        <f t="shared" si="32"/>
        <v>0</v>
      </c>
      <c r="AJ60" s="44">
        <f t="shared" si="33"/>
        <v>208625.5320894726</v>
      </c>
      <c r="AK60" s="44">
        <f>HLOOKUP(I60,ElecAvoidedCostsWOCC!$A$5:$Q$50,G60+1,FALSE)*J60*L60</f>
        <v>0</v>
      </c>
      <c r="AL60" s="44">
        <f t="shared" si="34"/>
        <v>208625.5320894726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208625.5320894726</v>
      </c>
      <c r="AN60" s="48">
        <f t="shared" si="35"/>
        <v>229488.08529841987</v>
      </c>
      <c r="AO60" s="47">
        <f t="shared" si="36"/>
        <v>1.0173096375704893</v>
      </c>
      <c r="AP60" s="47">
        <f t="shared" si="37"/>
        <v>1.8745124880012718</v>
      </c>
    </row>
    <row r="61" spans="2:42" x14ac:dyDescent="0.35">
      <c r="B61" s="37"/>
      <c r="C61" s="61"/>
      <c r="D61" s="61"/>
      <c r="E61" s="38" t="s">
        <v>1156</v>
      </c>
      <c r="F61" s="39" t="s">
        <v>1157</v>
      </c>
      <c r="G61" s="39">
        <v>5</v>
      </c>
      <c r="H61" s="39"/>
      <c r="I61" s="40" t="s">
        <v>261</v>
      </c>
      <c r="J61" s="41">
        <v>1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0</v>
      </c>
      <c r="R61" s="45"/>
      <c r="S61" s="46"/>
      <c r="T61" s="39">
        <f t="shared" si="19"/>
        <v>5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0.39886803421791017</v>
      </c>
      <c r="AG61" s="44">
        <f t="shared" si="31"/>
        <v>0</v>
      </c>
      <c r="AH61" s="52">
        <f>HLOOKUP(I61,ElecAvoidedCostsWOCC!$A$5:$Q$50,T61+1,FALSE)</f>
        <v>0.39886803421791017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 t="s">
        <v>1156</v>
      </c>
      <c r="F62" s="39" t="s">
        <v>1157</v>
      </c>
      <c r="G62" s="39">
        <v>5</v>
      </c>
      <c r="H62" s="39"/>
      <c r="I62" s="40" t="s">
        <v>261</v>
      </c>
      <c r="J62" s="41">
        <v>1</v>
      </c>
      <c r="K62" s="41">
        <v>0</v>
      </c>
      <c r="L62" s="41"/>
      <c r="M62" s="42">
        <v>10647</v>
      </c>
      <c r="N62" s="42">
        <v>14500</v>
      </c>
      <c r="O62" s="43">
        <v>0</v>
      </c>
      <c r="P62" s="44">
        <v>10647</v>
      </c>
      <c r="Q62" s="44">
        <v>14500</v>
      </c>
      <c r="R62" s="45"/>
      <c r="S62" s="46"/>
      <c r="T62" s="39">
        <f t="shared" si="19"/>
        <v>5</v>
      </c>
      <c r="U62" s="47">
        <f t="shared" si="20"/>
        <v>0</v>
      </c>
      <c r="V62" s="48">
        <f t="shared" si="21"/>
        <v>3853</v>
      </c>
      <c r="W62" s="49">
        <f t="shared" si="22"/>
        <v>0</v>
      </c>
      <c r="X62" s="44">
        <f t="shared" si="23"/>
        <v>0</v>
      </c>
      <c r="Y62" s="44">
        <f t="shared" si="24"/>
        <v>3853</v>
      </c>
      <c r="Z62" s="44">
        <f t="shared" si="25"/>
        <v>0</v>
      </c>
      <c r="AA62" s="50">
        <f t="shared" si="26"/>
        <v>14500</v>
      </c>
      <c r="AB62" s="51">
        <f t="shared" si="27"/>
        <v>0</v>
      </c>
      <c r="AC62" s="44">
        <f t="shared" si="28"/>
        <v>13576.779026217228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0.39886803421791017</v>
      </c>
      <c r="AG62" s="44">
        <f t="shared" si="31"/>
        <v>0</v>
      </c>
      <c r="AH62" s="52">
        <f>HLOOKUP(I62,ElecAvoidedCostsWOCC!$A$5:$Q$50,T62+1,FALSE)</f>
        <v>0.39886803421791017</v>
      </c>
      <c r="AI62" s="44">
        <f t="shared" si="32"/>
        <v>0</v>
      </c>
      <c r="AJ62" s="44">
        <f t="shared" si="33"/>
        <v>0</v>
      </c>
      <c r="AK62" s="44">
        <f>HLOOKUP(I62,ElecAvoidedCostsWOCC!$A$5:$Q$50,G62+1,FALSE)*J62*L62</f>
        <v>0</v>
      </c>
      <c r="AL62" s="44">
        <f t="shared" si="34"/>
        <v>0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>
        <f t="shared" si="37"/>
        <v>0</v>
      </c>
    </row>
    <row r="63" spans="2:42" x14ac:dyDescent="0.35">
      <c r="B63" s="37"/>
      <c r="C63" s="61"/>
      <c r="D63" s="61"/>
      <c r="E63" s="38" t="s">
        <v>1158</v>
      </c>
      <c r="F63" s="39" t="s">
        <v>1159</v>
      </c>
      <c r="G63" s="39">
        <v>5</v>
      </c>
      <c r="H63" s="39"/>
      <c r="I63" s="40" t="s">
        <v>261</v>
      </c>
      <c r="J63" s="41">
        <v>1</v>
      </c>
      <c r="K63" s="41">
        <v>0</v>
      </c>
      <c r="L63" s="41"/>
      <c r="M63" s="42">
        <v>0</v>
      </c>
      <c r="N63" s="42">
        <v>0</v>
      </c>
      <c r="O63" s="43">
        <v>0</v>
      </c>
      <c r="P63" s="44">
        <v>0</v>
      </c>
      <c r="Q63" s="44">
        <v>0</v>
      </c>
      <c r="R63" s="45"/>
      <c r="S63" s="46"/>
      <c r="T63" s="39">
        <f t="shared" si="19"/>
        <v>5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0.39886803421791017</v>
      </c>
      <c r="AG63" s="44">
        <f t="shared" si="31"/>
        <v>0</v>
      </c>
      <c r="AH63" s="52">
        <f>HLOOKUP(I63,ElecAvoidedCostsWOCC!$A$5:$Q$50,T63+1,FALSE)</f>
        <v>0.39886803421791017</v>
      </c>
      <c r="AI63" s="44">
        <f t="shared" si="32"/>
        <v>0</v>
      </c>
      <c r="AJ63" s="44">
        <f t="shared" si="33"/>
        <v>0</v>
      </c>
      <c r="AK63" s="44">
        <f>HLOOKUP(I63,ElecAvoidedCostsWOCC!$A$5:$Q$50,G63+1,FALSE)*J63*L63</f>
        <v>0</v>
      </c>
      <c r="AL63" s="44">
        <f t="shared" si="34"/>
        <v>0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 t="s">
        <v>1158</v>
      </c>
      <c r="F64" s="39" t="s">
        <v>1159</v>
      </c>
      <c r="G64" s="39">
        <v>5</v>
      </c>
      <c r="H64" s="39"/>
      <c r="I64" s="40" t="s">
        <v>261</v>
      </c>
      <c r="J64" s="41">
        <v>1</v>
      </c>
      <c r="K64" s="41">
        <v>308460</v>
      </c>
      <c r="L64" s="41"/>
      <c r="M64" s="42">
        <v>5706</v>
      </c>
      <c r="N64" s="42">
        <v>8178</v>
      </c>
      <c r="O64" s="43">
        <v>308460</v>
      </c>
      <c r="P64" s="44">
        <v>5706</v>
      </c>
      <c r="Q64" s="44">
        <v>8178</v>
      </c>
      <c r="R64" s="45"/>
      <c r="S64" s="46"/>
      <c r="T64" s="39">
        <f t="shared" si="19"/>
        <v>5</v>
      </c>
      <c r="U64" s="47">
        <f t="shared" si="20"/>
        <v>0.11854110281886177</v>
      </c>
      <c r="V64" s="48">
        <f t="shared" si="21"/>
        <v>2472</v>
      </c>
      <c r="W64" s="49">
        <f t="shared" si="22"/>
        <v>2.3708220563772354E-2</v>
      </c>
      <c r="X64" s="44">
        <f t="shared" si="23"/>
        <v>41493.76228703549</v>
      </c>
      <c r="Y64" s="44">
        <f t="shared" si="24"/>
        <v>2472</v>
      </c>
      <c r="Z64" s="44">
        <f t="shared" si="25"/>
        <v>129165.39633836117</v>
      </c>
      <c r="AA64" s="50">
        <f t="shared" si="26"/>
        <v>49671.76228703549</v>
      </c>
      <c r="AB64" s="51">
        <f t="shared" si="27"/>
        <v>120941.38233928948</v>
      </c>
      <c r="AC64" s="44">
        <f t="shared" si="28"/>
        <v>46509.140718198025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0.39886803421791017</v>
      </c>
      <c r="AG64" s="44">
        <f t="shared" si="31"/>
        <v>123034.83383485657</v>
      </c>
      <c r="AH64" s="52">
        <f>HLOOKUP(I64,ElecAvoidedCostsWOCC!$A$5:$Q$50,T64+1,FALSE)</f>
        <v>0.39886803421791017</v>
      </c>
      <c r="AI64" s="44">
        <f t="shared" si="32"/>
        <v>0</v>
      </c>
      <c r="AJ64" s="44">
        <f t="shared" si="33"/>
        <v>123034.83383485657</v>
      </c>
      <c r="AK64" s="44">
        <f>HLOOKUP(I64,ElecAvoidedCostsWOCC!$A$5:$Q$50,G64+1,FALSE)*J64*L64</f>
        <v>0</v>
      </c>
      <c r="AL64" s="44">
        <f t="shared" si="34"/>
        <v>123034.83383485657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123034.83383485657</v>
      </c>
      <c r="AN64" s="48">
        <f t="shared" si="35"/>
        <v>135338.31721834224</v>
      </c>
      <c r="AO64" s="47">
        <f t="shared" si="36"/>
        <v>1.0173096375704893</v>
      </c>
      <c r="AP64" s="47">
        <f t="shared" si="37"/>
        <v>2.9099294273864595</v>
      </c>
    </row>
    <row r="65" spans="2:42" x14ac:dyDescent="0.35">
      <c r="B65" s="37"/>
      <c r="C65" s="61"/>
      <c r="D65" s="61"/>
      <c r="E65" s="38" t="s">
        <v>1160</v>
      </c>
      <c r="F65" s="39" t="s">
        <v>1161</v>
      </c>
      <c r="G65" s="39">
        <v>5</v>
      </c>
      <c r="H65" s="39"/>
      <c r="I65" s="40" t="s">
        <v>261</v>
      </c>
      <c r="J65" s="41">
        <v>1</v>
      </c>
      <c r="K65" s="41">
        <v>7791</v>
      </c>
      <c r="L65" s="41"/>
      <c r="M65" s="42">
        <v>3116</v>
      </c>
      <c r="N65" s="42">
        <v>8250.42</v>
      </c>
      <c r="O65" s="43">
        <v>7791</v>
      </c>
      <c r="P65" s="44">
        <v>3116</v>
      </c>
      <c r="Q65" s="44">
        <v>8250.42</v>
      </c>
      <c r="R65" s="45"/>
      <c r="S65" s="46"/>
      <c r="T65" s="39">
        <f t="shared" si="19"/>
        <v>5</v>
      </c>
      <c r="U65" s="47">
        <f t="shared" si="20"/>
        <v>2.9940794010949621E-3</v>
      </c>
      <c r="V65" s="48">
        <f t="shared" si="21"/>
        <v>5134.42</v>
      </c>
      <c r="W65" s="49">
        <f t="shared" si="22"/>
        <v>5.9881588021899247E-4</v>
      </c>
      <c r="X65" s="44">
        <f t="shared" si="23"/>
        <v>1048.0383258065667</v>
      </c>
      <c r="Y65" s="44">
        <f t="shared" si="24"/>
        <v>5134.42</v>
      </c>
      <c r="Z65" s="44">
        <f t="shared" si="25"/>
        <v>3262.4249590617001</v>
      </c>
      <c r="AA65" s="50">
        <f t="shared" si="26"/>
        <v>9298.4583258065668</v>
      </c>
      <c r="AB65" s="51">
        <f t="shared" si="27"/>
        <v>3054.7050178480335</v>
      </c>
      <c r="AC65" s="44">
        <f t="shared" si="28"/>
        <v>8706.421653376934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0.39886803421791017</v>
      </c>
      <c r="AG65" s="44">
        <f t="shared" si="31"/>
        <v>3107.580854591738</v>
      </c>
      <c r="AH65" s="52">
        <f>HLOOKUP(I65,ElecAvoidedCostsWOCC!$A$5:$Q$50,T65+1,FALSE)</f>
        <v>0.39886803421791017</v>
      </c>
      <c r="AI65" s="44">
        <f t="shared" si="32"/>
        <v>0</v>
      </c>
      <c r="AJ65" s="44">
        <f t="shared" si="33"/>
        <v>3107.580854591738</v>
      </c>
      <c r="AK65" s="44">
        <f>HLOOKUP(I65,ElecAvoidedCostsWOCC!$A$5:$Q$50,G65+1,FALSE)*J65*L65</f>
        <v>0</v>
      </c>
      <c r="AL65" s="44">
        <f t="shared" si="34"/>
        <v>3107.580854591738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3107.580854591738</v>
      </c>
      <c r="AN65" s="48">
        <f t="shared" si="35"/>
        <v>3418.3389400509122</v>
      </c>
      <c r="AO65" s="47">
        <f t="shared" si="36"/>
        <v>1.0173096375704893</v>
      </c>
      <c r="AP65" s="47">
        <f t="shared" si="37"/>
        <v>0.3926227187406035</v>
      </c>
    </row>
    <row r="66" spans="2:42" x14ac:dyDescent="0.35">
      <c r="B66" s="37"/>
      <c r="C66" s="61"/>
      <c r="D66" s="61"/>
      <c r="E66" s="38" t="s">
        <v>1162</v>
      </c>
      <c r="F66" s="39" t="s">
        <v>1163</v>
      </c>
      <c r="G66" s="39">
        <v>6</v>
      </c>
      <c r="H66" s="39"/>
      <c r="I66" s="40" t="s">
        <v>262</v>
      </c>
      <c r="J66" s="41">
        <v>1</v>
      </c>
      <c r="K66" s="41">
        <v>2374692</v>
      </c>
      <c r="L66" s="41"/>
      <c r="M66" s="42">
        <v>410833</v>
      </c>
      <c r="N66" s="42">
        <v>739758</v>
      </c>
      <c r="O66" s="43">
        <v>2374692</v>
      </c>
      <c r="P66" s="44">
        <v>410833</v>
      </c>
      <c r="Q66" s="44">
        <v>739758</v>
      </c>
      <c r="R66" s="45"/>
      <c r="S66" s="46"/>
      <c r="T66" s="39">
        <f t="shared" si="19"/>
        <v>6</v>
      </c>
      <c r="U66" s="47">
        <f t="shared" si="20"/>
        <v>1.0951122681778971</v>
      </c>
      <c r="V66" s="48">
        <f t="shared" si="21"/>
        <v>328925</v>
      </c>
      <c r="W66" s="49">
        <f t="shared" si="22"/>
        <v>0.18251871136298287</v>
      </c>
      <c r="X66" s="44">
        <f t="shared" si="23"/>
        <v>319441.43601415056</v>
      </c>
      <c r="Y66" s="44">
        <f t="shared" si="24"/>
        <v>328925</v>
      </c>
      <c r="Z66" s="44">
        <f t="shared" si="25"/>
        <v>994385.11755668675</v>
      </c>
      <c r="AA66" s="50">
        <f t="shared" si="26"/>
        <v>1059199.4360141505</v>
      </c>
      <c r="AB66" s="51">
        <f t="shared" si="27"/>
        <v>931072.20745008113</v>
      </c>
      <c r="AC66" s="44">
        <f t="shared" si="28"/>
        <v>991759.77154882997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0.4806440958545708</v>
      </c>
      <c r="AG66" s="44">
        <f t="shared" si="31"/>
        <v>1141381.6892730824</v>
      </c>
      <c r="AH66" s="52">
        <f>HLOOKUP(I66,ElecAvoidedCostsWOCC!$A$5:$Q$50,T66+1,FALSE)</f>
        <v>0.4806440958545708</v>
      </c>
      <c r="AI66" s="44">
        <f t="shared" si="32"/>
        <v>0</v>
      </c>
      <c r="AJ66" s="44">
        <f t="shared" si="33"/>
        <v>1141381.6892730824</v>
      </c>
      <c r="AK66" s="44">
        <f>HLOOKUP(I66,ElecAvoidedCostsWOCC!$A$5:$Q$50,G66+1,FALSE)*J66*L66</f>
        <v>0</v>
      </c>
      <c r="AL66" s="44">
        <f t="shared" si="34"/>
        <v>1141381.6892730824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1141381.6892730824</v>
      </c>
      <c r="AN66" s="48">
        <f t="shared" si="35"/>
        <v>1255519.8582003908</v>
      </c>
      <c r="AO66" s="47">
        <f t="shared" si="36"/>
        <v>1.2258788095490187</v>
      </c>
      <c r="AP66" s="47">
        <f t="shared" si="37"/>
        <v>1.2659515884977337</v>
      </c>
    </row>
    <row r="67" spans="2:42" x14ac:dyDescent="0.35">
      <c r="B67" s="37"/>
      <c r="C67" s="61"/>
      <c r="D67" s="61"/>
      <c r="E67" s="38" t="s">
        <v>1108</v>
      </c>
      <c r="F67" s="39" t="s">
        <v>1109</v>
      </c>
      <c r="G67" s="39">
        <v>13</v>
      </c>
      <c r="H67" s="39"/>
      <c r="I67" s="40" t="s">
        <v>260</v>
      </c>
      <c r="J67" s="41">
        <v>1</v>
      </c>
      <c r="K67" s="41"/>
      <c r="L67" s="41"/>
      <c r="M67" s="42"/>
      <c r="N67" s="42"/>
      <c r="O67" s="43">
        <v>0</v>
      </c>
      <c r="P67" s="44">
        <v>600</v>
      </c>
      <c r="Q67" s="44">
        <v>727.16</v>
      </c>
      <c r="R67" s="45"/>
      <c r="S67" s="46"/>
      <c r="T67" s="39">
        <f t="shared" si="19"/>
        <v>13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127.15999999999997</v>
      </c>
      <c r="Z67" s="44">
        <f t="shared" si="25"/>
        <v>0</v>
      </c>
      <c r="AA67" s="50">
        <f t="shared" si="26"/>
        <v>727.16</v>
      </c>
      <c r="AB67" s="51">
        <f t="shared" si="27"/>
        <v>0</v>
      </c>
      <c r="AC67" s="44">
        <f t="shared" si="28"/>
        <v>680.86142322097373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0.94976086996648723</v>
      </c>
      <c r="AG67" s="44">
        <f t="shared" si="31"/>
        <v>0</v>
      </c>
      <c r="AH67" s="52">
        <f>HLOOKUP(I67,ElecAvoidedCostsWOCC!$A$5:$Q$50,T67+1,FALSE)</f>
        <v>0.94976086996648723</v>
      </c>
      <c r="AI67" s="44">
        <f t="shared" si="32"/>
        <v>0</v>
      </c>
      <c r="AJ67" s="44">
        <f t="shared" si="33"/>
        <v>0</v>
      </c>
      <c r="AK67" s="44">
        <f>HLOOKUP(I67,ElecAvoidedCostsWOCC!$A$5:$Q$50,G67+1,FALSE)*J67*L67</f>
        <v>0</v>
      </c>
      <c r="AL67" s="44">
        <f t="shared" si="34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>
        <f t="shared" si="37"/>
        <v>0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91 R5:S91">
    <cfRule type="expression" dxfId="257" priority="2">
      <formula>ISTEXT(M5)</formula>
    </cfRule>
  </conditionalFormatting>
  <conditionalFormatting sqref="M5:N91 R5:S91">
    <cfRule type="notContainsBlanks" dxfId="256" priority="3">
      <formula>LEN(TRIM(M5))&gt;0</formula>
    </cfRule>
  </conditionalFormatting>
  <conditionalFormatting sqref="R5:S91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O31" sqref="O3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.81640625" customWidth="1"/>
    <col min="13" max="14" width="13.81640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18230724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18230724</v>
      </c>
      <c r="D5" s="61" t="s">
        <v>131</v>
      </c>
      <c r="E5" s="38" t="s">
        <v>1130</v>
      </c>
      <c r="F5" s="39" t="s">
        <v>1131</v>
      </c>
      <c r="G5" s="39">
        <v>11</v>
      </c>
      <c r="H5" s="39"/>
      <c r="I5" s="40" t="s">
        <v>262</v>
      </c>
      <c r="J5" s="41">
        <v>1</v>
      </c>
      <c r="K5" s="41">
        <v>693251</v>
      </c>
      <c r="L5" s="41"/>
      <c r="M5" s="42"/>
      <c r="N5" s="42"/>
      <c r="O5" s="43">
        <v>693251</v>
      </c>
      <c r="P5" s="44">
        <v>112070</v>
      </c>
      <c r="Q5" s="44">
        <v>232591.15</v>
      </c>
      <c r="R5" s="45"/>
      <c r="S5" s="46"/>
      <c r="T5" s="39">
        <f t="shared" ref="T5:T24" si="0">G5+H5</f>
        <v>11</v>
      </c>
      <c r="U5" s="47">
        <f t="shared" ref="U5:U24" si="1">(O5/$A$10)*T5</f>
        <v>0.21403128204798599</v>
      </c>
      <c r="V5" s="48">
        <f t="shared" ref="V5:V24" si="2">N5-M5</f>
        <v>0</v>
      </c>
      <c r="W5" s="49">
        <f t="shared" ref="W5:W24" si="3">(O5/A$10)</f>
        <v>1.9457389277089635E-2</v>
      </c>
      <c r="X5" s="44">
        <f t="shared" ref="X5:X24" si="4">W5*A$8</f>
        <v>50525.747564680169</v>
      </c>
      <c r="Y5" s="44">
        <f t="shared" ref="Y5:Y24" si="5">Q5-P5</f>
        <v>120521.15</v>
      </c>
      <c r="Z5" s="44">
        <f t="shared" ref="Z5:Z24" si="6">X5+(A$6*W5)</f>
        <v>223395.30298894341</v>
      </c>
      <c r="AA5" s="50">
        <f t="shared" ref="AA5:AA24" si="7">Q5+X5</f>
        <v>283116.89756468014</v>
      </c>
      <c r="AB5" s="51">
        <f t="shared" ref="AB5:AC20" si="8">Z5/(1+ElecDiscountRate)^1</f>
        <v>209171.63201211928</v>
      </c>
      <c r="AC5" s="44">
        <f t="shared" si="8"/>
        <v>265090.72805681662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0.84461586394517141</v>
      </c>
      <c r="AG5" s="44">
        <f t="shared" ref="AG5:AG24" si="10">AF5*J5*K5</f>
        <v>585530.79229585407</v>
      </c>
      <c r="AH5" s="52">
        <f>HLOOKUP(I5,ElecAvoidedCostsWOCC!$A$5:$Q$50,T5+1,FALSE)</f>
        <v>0.84461586394517141</v>
      </c>
      <c r="AI5" s="44">
        <f t="shared" ref="AI5:AI24" si="11">AH5*J5*L5</f>
        <v>0</v>
      </c>
      <c r="AJ5" s="44">
        <f>AG5+AI5</f>
        <v>585530.79229585407</v>
      </c>
      <c r="AK5" s="44">
        <f>HLOOKUP(I5,ElecAvoidedCostsWOCC!$A$5:$Q$50,G5+1,FALSE)*J5*L5</f>
        <v>0</v>
      </c>
      <c r="AL5" s="44">
        <f>AG5+AI5-AK5</f>
        <v>585530.79229585407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585530.79229585407</v>
      </c>
      <c r="AN5" s="48">
        <f>AM5*1.1+AD5+AE5</f>
        <v>644083.87152543955</v>
      </c>
      <c r="AO5" s="47">
        <f>IFERROR(AM5/AB5,0)</f>
        <v>2.7992839500431339</v>
      </c>
      <c r="AP5" s="47">
        <f>AN5/AC5</f>
        <v>2.4296733282478056</v>
      </c>
    </row>
    <row r="6" spans="1:42" ht="13.5" customHeight="1" x14ac:dyDescent="0.35">
      <c r="A6" s="53">
        <f>SUMIF('Program Costs'!D:D,C2,'Program Costs'!L:L)</f>
        <v>8884519.5500000007</v>
      </c>
      <c r="B6" s="97" t="s">
        <v>62</v>
      </c>
      <c r="C6" s="98">
        <v>18230724</v>
      </c>
      <c r="D6" s="61" t="s">
        <v>131</v>
      </c>
      <c r="E6" s="38" t="s">
        <v>1130</v>
      </c>
      <c r="F6" s="39" t="s">
        <v>1131</v>
      </c>
      <c r="G6" s="39">
        <v>7</v>
      </c>
      <c r="H6" s="39"/>
      <c r="I6" s="40" t="s">
        <v>262</v>
      </c>
      <c r="J6" s="41">
        <v>1</v>
      </c>
      <c r="K6" s="41">
        <v>209074</v>
      </c>
      <c r="L6" s="41"/>
      <c r="M6" s="42"/>
      <c r="N6" s="42"/>
      <c r="O6" s="43">
        <v>209074</v>
      </c>
      <c r="P6" s="44">
        <v>40625</v>
      </c>
      <c r="Q6" s="44">
        <v>153547</v>
      </c>
      <c r="R6" s="45"/>
      <c r="S6" s="46"/>
      <c r="T6" s="39">
        <f t="shared" si="0"/>
        <v>7</v>
      </c>
      <c r="U6" s="47">
        <f t="shared" si="1"/>
        <v>4.107637701211779E-2</v>
      </c>
      <c r="V6" s="48">
        <f t="shared" si="2"/>
        <v>0</v>
      </c>
      <c r="W6" s="49">
        <f t="shared" si="3"/>
        <v>5.86805385887397E-3</v>
      </c>
      <c r="X6" s="44">
        <f t="shared" si="4"/>
        <v>15237.800084439752</v>
      </c>
      <c r="Y6" s="44">
        <f t="shared" si="5"/>
        <v>112922</v>
      </c>
      <c r="Z6" s="44">
        <f t="shared" si="6"/>
        <v>67372.639314058484</v>
      </c>
      <c r="AA6" s="50">
        <f t="shared" si="7"/>
        <v>168784.80008443975</v>
      </c>
      <c r="AB6" s="51">
        <f t="shared" si="8"/>
        <v>63082.995612414306</v>
      </c>
      <c r="AC6" s="44">
        <f t="shared" si="8"/>
        <v>158038.20232625442</v>
      </c>
      <c r="AD6" s="44">
        <f t="shared" si="9"/>
        <v>0</v>
      </c>
      <c r="AE6" s="44">
        <v>0</v>
      </c>
      <c r="AF6" s="52">
        <f>HLOOKUP(I6,ElecAvoidedCostsWOCC!$A$5:$Q$50,G6+1,FALSE)</f>
        <v>0.55277358241959351</v>
      </c>
      <c r="AG6" s="44">
        <f t="shared" si="10"/>
        <v>115570.58397079409</v>
      </c>
      <c r="AH6" s="52">
        <f>HLOOKUP(I6,ElecAvoidedCostsWOCC!$A$5:$Q$50,T6+1,FALSE)</f>
        <v>0.55277358241959351</v>
      </c>
      <c r="AI6" s="44">
        <f t="shared" si="11"/>
        <v>0</v>
      </c>
      <c r="AJ6" s="44">
        <f t="shared" ref="AJ6:AJ24" si="12">AG6+AI6</f>
        <v>115570.58397079409</v>
      </c>
      <c r="AK6" s="44">
        <f>HLOOKUP(I6,ElecAvoidedCostsWOCC!$A$5:$Q$50,G6+1,FALSE)*J6*L6</f>
        <v>0</v>
      </c>
      <c r="AL6" s="44">
        <f t="shared" ref="AL6:AL24" si="13">AG6+AI6-AK6</f>
        <v>115570.58397079409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115570.58397079409</v>
      </c>
      <c r="AN6" s="48">
        <f t="shared" ref="AN6:AN24" si="14">AM6*1.1+AD6+AE6</f>
        <v>127127.64236787352</v>
      </c>
      <c r="AO6" s="47">
        <f t="shared" ref="AO6:AO24" si="15">IFERROR(AM6/AB6,0)</f>
        <v>1.8320402011481298</v>
      </c>
      <c r="AP6" s="47">
        <f t="shared" ref="AP6:AP24" si="16">AN6/AC6</f>
        <v>0.80441083546009284</v>
      </c>
    </row>
    <row r="7" spans="1:42" ht="13.5" customHeight="1" x14ac:dyDescent="0.35">
      <c r="A7" s="36" t="s">
        <v>240</v>
      </c>
      <c r="B7" s="97" t="s">
        <v>62</v>
      </c>
      <c r="C7" s="98">
        <v>18230724</v>
      </c>
      <c r="D7" s="61" t="s">
        <v>131</v>
      </c>
      <c r="E7" s="38" t="s">
        <v>1130</v>
      </c>
      <c r="F7" s="39" t="s">
        <v>1131</v>
      </c>
      <c r="G7" s="39">
        <v>10</v>
      </c>
      <c r="H7" s="39"/>
      <c r="I7" s="40" t="s">
        <v>262</v>
      </c>
      <c r="J7" s="41">
        <v>1</v>
      </c>
      <c r="K7" s="41">
        <v>2079600</v>
      </c>
      <c r="L7" s="41"/>
      <c r="M7" s="42"/>
      <c r="N7" s="42"/>
      <c r="O7" s="43">
        <v>2079600</v>
      </c>
      <c r="P7" s="44">
        <v>124226</v>
      </c>
      <c r="Q7" s="44">
        <v>831968.24</v>
      </c>
      <c r="R7" s="45"/>
      <c r="S7" s="46"/>
      <c r="T7" s="39">
        <f t="shared" si="0"/>
        <v>10</v>
      </c>
      <c r="U7" s="47">
        <f t="shared" si="1"/>
        <v>0.58367873599368203</v>
      </c>
      <c r="V7" s="48">
        <f t="shared" si="2"/>
        <v>0</v>
      </c>
      <c r="W7" s="49">
        <f t="shared" si="3"/>
        <v>5.8367873599368202E-2</v>
      </c>
      <c r="X7" s="44">
        <f t="shared" si="4"/>
        <v>151566.09169768076</v>
      </c>
      <c r="Y7" s="44">
        <f t="shared" si="5"/>
        <v>707742.24</v>
      </c>
      <c r="Z7" s="44">
        <f t="shared" si="6"/>
        <v>670136.6057831964</v>
      </c>
      <c r="AA7" s="50">
        <f t="shared" si="7"/>
        <v>983534.33169768075</v>
      </c>
      <c r="AB7" s="51">
        <f t="shared" si="8"/>
        <v>627468.7320067382</v>
      </c>
      <c r="AC7" s="44">
        <f t="shared" si="8"/>
        <v>920912.29559707933</v>
      </c>
      <c r="AD7" s="44">
        <f t="shared" si="9"/>
        <v>0</v>
      </c>
      <c r="AE7" s="44">
        <v>0</v>
      </c>
      <c r="AF7" s="52">
        <f>HLOOKUP(I7,ElecAvoidedCostsWOCC!$A$5:$Q$50,G7+1,FALSE)</f>
        <v>0.77460416073684046</v>
      </c>
      <c r="AG7" s="44">
        <f t="shared" si="10"/>
        <v>1610866.8126683335</v>
      </c>
      <c r="AH7" s="52">
        <f>HLOOKUP(I7,ElecAvoidedCostsWOCC!$A$5:$Q$50,T7+1,FALSE)</f>
        <v>0.77460416073684046</v>
      </c>
      <c r="AI7" s="44">
        <f t="shared" si="11"/>
        <v>0</v>
      </c>
      <c r="AJ7" s="44">
        <f t="shared" si="12"/>
        <v>1610866.8126683335</v>
      </c>
      <c r="AK7" s="44">
        <f>HLOOKUP(I7,ElecAvoidedCostsWOCC!$A$5:$Q$50,G7+1,FALSE)*J7*L7</f>
        <v>0</v>
      </c>
      <c r="AL7" s="44">
        <f t="shared" si="13"/>
        <v>1610866.8126683335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1610866.8126683335</v>
      </c>
      <c r="AN7" s="48">
        <f t="shared" si="14"/>
        <v>1771953.4939351671</v>
      </c>
      <c r="AO7" s="47">
        <f t="shared" si="15"/>
        <v>2.5672463510915393</v>
      </c>
      <c r="AP7" s="47">
        <f t="shared" si="16"/>
        <v>1.924128391386402</v>
      </c>
    </row>
    <row r="8" spans="1:42" ht="13.5" customHeight="1" x14ac:dyDescent="0.35">
      <c r="A8" s="53">
        <f>SUMIF('Program Costs'!D:D,C2,'Program Costs'!O:O)</f>
        <v>2596738.2799999993</v>
      </c>
      <c r="B8" s="97" t="s">
        <v>62</v>
      </c>
      <c r="C8" s="98">
        <v>18230724</v>
      </c>
      <c r="D8" s="61" t="s">
        <v>131</v>
      </c>
      <c r="E8" s="38" t="s">
        <v>1130</v>
      </c>
      <c r="F8" s="39" t="s">
        <v>1131</v>
      </c>
      <c r="G8" s="39">
        <v>11</v>
      </c>
      <c r="H8" s="39"/>
      <c r="I8" s="40" t="s">
        <v>262</v>
      </c>
      <c r="J8" s="41">
        <v>1</v>
      </c>
      <c r="K8" s="41">
        <v>404369</v>
      </c>
      <c r="L8" s="41"/>
      <c r="M8" s="42"/>
      <c r="N8" s="42"/>
      <c r="O8" s="43">
        <v>404369</v>
      </c>
      <c r="P8" s="44">
        <v>46835</v>
      </c>
      <c r="Q8" s="44">
        <v>259126.55</v>
      </c>
      <c r="R8" s="45"/>
      <c r="S8" s="46"/>
      <c r="T8" s="39">
        <f t="shared" si="0"/>
        <v>11</v>
      </c>
      <c r="U8" s="47">
        <f t="shared" si="1"/>
        <v>0.12484311669288908</v>
      </c>
      <c r="V8" s="48">
        <f t="shared" si="2"/>
        <v>0</v>
      </c>
      <c r="W8" s="49">
        <f t="shared" si="3"/>
        <v>1.1349374244808098E-2</v>
      </c>
      <c r="X8" s="44">
        <f t="shared" si="4"/>
        <v>29471.35455553927</v>
      </c>
      <c r="Y8" s="44">
        <f t="shared" si="5"/>
        <v>212291.55</v>
      </c>
      <c r="Z8" s="44">
        <f t="shared" si="6"/>
        <v>130305.09191380331</v>
      </c>
      <c r="AA8" s="50">
        <f t="shared" si="7"/>
        <v>288597.90455553925</v>
      </c>
      <c r="AB8" s="51">
        <f t="shared" si="8"/>
        <v>122008.5130279057</v>
      </c>
      <c r="AC8" s="44">
        <f t="shared" si="8"/>
        <v>270222.75707447494</v>
      </c>
      <c r="AD8" s="44">
        <f t="shared" si="9"/>
        <v>0</v>
      </c>
      <c r="AE8" s="44">
        <v>0</v>
      </c>
      <c r="AF8" s="52">
        <f>HLOOKUP(I8,ElecAvoidedCostsWOCC!$A$5:$Q$50,G8+1,FALSE)</f>
        <v>0.84461586394517141</v>
      </c>
      <c r="AG8" s="44">
        <f t="shared" si="10"/>
        <v>341536.47228764504</v>
      </c>
      <c r="AH8" s="52">
        <f>HLOOKUP(I8,ElecAvoidedCostsWOCC!$A$5:$Q$50,T8+1,FALSE)</f>
        <v>0.84461586394517141</v>
      </c>
      <c r="AI8" s="44">
        <f t="shared" si="11"/>
        <v>0</v>
      </c>
      <c r="AJ8" s="44">
        <f t="shared" si="12"/>
        <v>341536.47228764504</v>
      </c>
      <c r="AK8" s="44">
        <f>HLOOKUP(I8,ElecAvoidedCostsWOCC!$A$5:$Q$50,G8+1,FALSE)*J8*L8</f>
        <v>0</v>
      </c>
      <c r="AL8" s="44">
        <f t="shared" si="13"/>
        <v>341536.47228764504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341536.47228764504</v>
      </c>
      <c r="AN8" s="48">
        <f t="shared" si="14"/>
        <v>375690.11951640958</v>
      </c>
      <c r="AO8" s="47">
        <f t="shared" si="15"/>
        <v>2.7992839500431339</v>
      </c>
      <c r="AP8" s="47">
        <f t="shared" si="16"/>
        <v>1.3902978549392391</v>
      </c>
    </row>
    <row r="9" spans="1:42" ht="13.5" customHeight="1" x14ac:dyDescent="0.35">
      <c r="A9" s="36" t="s">
        <v>242</v>
      </c>
      <c r="B9" s="97" t="s">
        <v>62</v>
      </c>
      <c r="C9" s="98">
        <v>18230724</v>
      </c>
      <c r="D9" s="61" t="s">
        <v>131</v>
      </c>
      <c r="E9" s="38" t="s">
        <v>1130</v>
      </c>
      <c r="F9" s="39" t="s">
        <v>1131</v>
      </c>
      <c r="G9" s="39">
        <v>12</v>
      </c>
      <c r="H9" s="39"/>
      <c r="I9" s="40" t="s">
        <v>262</v>
      </c>
      <c r="J9" s="41">
        <v>1</v>
      </c>
      <c r="K9" s="41">
        <v>485796</v>
      </c>
      <c r="L9" s="41"/>
      <c r="M9" s="42"/>
      <c r="N9" s="42"/>
      <c r="O9" s="43">
        <v>485796</v>
      </c>
      <c r="P9" s="44">
        <v>75436</v>
      </c>
      <c r="Q9" s="44">
        <v>411067.46</v>
      </c>
      <c r="R9" s="45"/>
      <c r="S9" s="46"/>
      <c r="T9" s="39">
        <f t="shared" si="0"/>
        <v>12</v>
      </c>
      <c r="U9" s="47">
        <f t="shared" si="1"/>
        <v>0.16361730826935184</v>
      </c>
      <c r="V9" s="48">
        <f t="shared" si="2"/>
        <v>0</v>
      </c>
      <c r="W9" s="49">
        <f t="shared" si="3"/>
        <v>1.3634775689112654E-2</v>
      </c>
      <c r="X9" s="44">
        <f t="shared" si="4"/>
        <v>35405.943971132197</v>
      </c>
      <c r="Y9" s="44">
        <f t="shared" si="5"/>
        <v>335631.46</v>
      </c>
      <c r="Z9" s="44">
        <f t="shared" si="6"/>
        <v>156544.3751409183</v>
      </c>
      <c r="AA9" s="50">
        <f t="shared" si="7"/>
        <v>446473.40397113224</v>
      </c>
      <c r="AB9" s="51">
        <f t="shared" si="8"/>
        <v>146577.1302817587</v>
      </c>
      <c r="AC9" s="44">
        <f t="shared" si="8"/>
        <v>418046.25839993655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0.91128284670075355</v>
      </c>
      <c r="AG9" s="44">
        <f t="shared" si="10"/>
        <v>442697.56179583928</v>
      </c>
      <c r="AH9" s="52">
        <f>HLOOKUP(I9,ElecAvoidedCostsWOCC!$A$5:$Q$50,T9+1,FALSE)</f>
        <v>0.91128284670075355</v>
      </c>
      <c r="AI9" s="44">
        <f t="shared" si="11"/>
        <v>0</v>
      </c>
      <c r="AJ9" s="44">
        <f t="shared" si="12"/>
        <v>442697.56179583928</v>
      </c>
      <c r="AK9" s="44">
        <f>HLOOKUP(I9,ElecAvoidedCostsWOCC!$A$5:$Q$50,G9+1,FALSE)*J9*L9</f>
        <v>0</v>
      </c>
      <c r="AL9" s="44">
        <f t="shared" si="13"/>
        <v>442697.56179583928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442697.56179583928</v>
      </c>
      <c r="AN9" s="48">
        <f t="shared" si="14"/>
        <v>486967.31797542324</v>
      </c>
      <c r="AO9" s="47">
        <f t="shared" si="15"/>
        <v>3.0202362465744925</v>
      </c>
      <c r="AP9" s="47">
        <f t="shared" si="16"/>
        <v>1.1648646727261251</v>
      </c>
    </row>
    <row r="10" spans="1:42" ht="13.5" customHeight="1" x14ac:dyDescent="0.35">
      <c r="A10" s="54">
        <f>SUM(O5:O999)</f>
        <v>35629189</v>
      </c>
      <c r="B10" s="97" t="s">
        <v>62</v>
      </c>
      <c r="C10" s="98">
        <v>18230724</v>
      </c>
      <c r="D10" s="61" t="s">
        <v>131</v>
      </c>
      <c r="E10" s="38" t="s">
        <v>1130</v>
      </c>
      <c r="F10" s="39" t="s">
        <v>1131</v>
      </c>
      <c r="G10" s="39">
        <v>13</v>
      </c>
      <c r="H10" s="39"/>
      <c r="I10" s="40" t="s">
        <v>262</v>
      </c>
      <c r="J10" s="41">
        <v>1</v>
      </c>
      <c r="K10" s="41">
        <v>698370</v>
      </c>
      <c r="L10" s="41"/>
      <c r="M10" s="42"/>
      <c r="N10" s="42"/>
      <c r="O10" s="43">
        <v>698370</v>
      </c>
      <c r="P10" s="44">
        <v>132889</v>
      </c>
      <c r="Q10" s="44">
        <v>586963.34</v>
      </c>
      <c r="R10" s="45"/>
      <c r="S10" s="46"/>
      <c r="T10" s="39">
        <f t="shared" si="0"/>
        <v>13</v>
      </c>
      <c r="U10" s="47">
        <f t="shared" si="1"/>
        <v>0.25481382694397003</v>
      </c>
      <c r="V10" s="48">
        <f t="shared" si="2"/>
        <v>0</v>
      </c>
      <c r="W10" s="49">
        <f t="shared" si="3"/>
        <v>1.9601063611074616E-2</v>
      </c>
      <c r="X10" s="44">
        <f t="shared" si="4"/>
        <v>50898.832207592473</v>
      </c>
      <c r="Y10" s="44">
        <f t="shared" si="5"/>
        <v>454074.33999999997</v>
      </c>
      <c r="Z10" s="44">
        <f t="shared" si="6"/>
        <v>225044.86506097851</v>
      </c>
      <c r="AA10" s="50">
        <f t="shared" si="7"/>
        <v>637862.1722075924</v>
      </c>
      <c r="AB10" s="51">
        <f t="shared" si="8"/>
        <v>210716.16578743304</v>
      </c>
      <c r="AC10" s="44">
        <f t="shared" si="8"/>
        <v>597249.22491347603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0.9745097192212081</v>
      </c>
      <c r="AG10" s="44">
        <f t="shared" si="10"/>
        <v>680568.3526125151</v>
      </c>
      <c r="AH10" s="52">
        <f>HLOOKUP(I10,ElecAvoidedCostsWOCC!$A$5:$Q$50,T10+1,FALSE)</f>
        <v>0.9745097192212081</v>
      </c>
      <c r="AI10" s="44">
        <f t="shared" si="11"/>
        <v>0</v>
      </c>
      <c r="AJ10" s="44">
        <f t="shared" si="12"/>
        <v>680568.3526125151</v>
      </c>
      <c r="AK10" s="44">
        <f>HLOOKUP(I10,ElecAvoidedCostsWOCC!$A$5:$Q$50,G10+1,FALSE)*J10*L10</f>
        <v>0</v>
      </c>
      <c r="AL10" s="44">
        <f t="shared" si="13"/>
        <v>680568.3526125151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680568.3526125151</v>
      </c>
      <c r="AN10" s="48">
        <f t="shared" si="14"/>
        <v>748625.18787376664</v>
      </c>
      <c r="AO10" s="47">
        <f t="shared" si="15"/>
        <v>3.2297870933123427</v>
      </c>
      <c r="AP10" s="47">
        <f t="shared" si="16"/>
        <v>1.2534552689996719</v>
      </c>
    </row>
    <row r="11" spans="1:42" ht="13.5" customHeight="1" x14ac:dyDescent="0.35">
      <c r="A11" s="36" t="s">
        <v>243</v>
      </c>
      <c r="B11" s="97" t="s">
        <v>62</v>
      </c>
      <c r="C11" s="98">
        <v>18230724</v>
      </c>
      <c r="D11" s="61" t="s">
        <v>131</v>
      </c>
      <c r="E11" s="38" t="s">
        <v>1130</v>
      </c>
      <c r="F11" s="39" t="s">
        <v>1131</v>
      </c>
      <c r="G11" s="39">
        <v>14</v>
      </c>
      <c r="H11" s="39"/>
      <c r="I11" s="40" t="s">
        <v>262</v>
      </c>
      <c r="J11" s="41">
        <v>1</v>
      </c>
      <c r="K11" s="41">
        <v>1547323</v>
      </c>
      <c r="L11" s="41"/>
      <c r="M11" s="42"/>
      <c r="N11" s="42"/>
      <c r="O11" s="43">
        <v>1547323</v>
      </c>
      <c r="P11" s="44">
        <v>343379</v>
      </c>
      <c r="Q11" s="44">
        <v>858033.6</v>
      </c>
      <c r="R11" s="45"/>
      <c r="S11" s="46"/>
      <c r="T11" s="39">
        <f t="shared" si="0"/>
        <v>14</v>
      </c>
      <c r="U11" s="47">
        <f t="shared" si="1"/>
        <v>0.60799930079800579</v>
      </c>
      <c r="V11" s="48">
        <f t="shared" si="2"/>
        <v>0</v>
      </c>
      <c r="W11" s="49">
        <f t="shared" si="3"/>
        <v>4.3428521485571844E-2</v>
      </c>
      <c r="X11" s="44">
        <f t="shared" si="4"/>
        <v>112772.50418538685</v>
      </c>
      <c r="Y11" s="44">
        <f t="shared" si="5"/>
        <v>514654.6</v>
      </c>
      <c r="Z11" s="44">
        <f t="shared" si="6"/>
        <v>498614.05235154496</v>
      </c>
      <c r="AA11" s="50">
        <f t="shared" si="7"/>
        <v>970806.10418538679</v>
      </c>
      <c r="AB11" s="51">
        <f t="shared" si="8"/>
        <v>466867.09021680237</v>
      </c>
      <c r="AC11" s="44">
        <f t="shared" si="8"/>
        <v>908994.47957433213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1.0344437420326877</v>
      </c>
      <c r="AG11" s="44">
        <f t="shared" si="10"/>
        <v>1600618.5942532446</v>
      </c>
      <c r="AH11" s="52">
        <f>HLOOKUP(I11,ElecAvoidedCostsWOCC!$A$5:$Q$50,T11+1,FALSE)</f>
        <v>1.0344437420326877</v>
      </c>
      <c r="AI11" s="44">
        <f t="shared" si="11"/>
        <v>0</v>
      </c>
      <c r="AJ11" s="44">
        <f t="shared" si="12"/>
        <v>1600618.5942532446</v>
      </c>
      <c r="AK11" s="44">
        <f>HLOOKUP(I11,ElecAvoidedCostsWOCC!$A$5:$Q$50,G11+1,FALSE)*J11*L11</f>
        <v>0</v>
      </c>
      <c r="AL11" s="44">
        <f t="shared" si="13"/>
        <v>1600618.5942532446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1600618.5942532446</v>
      </c>
      <c r="AN11" s="48">
        <f t="shared" si="14"/>
        <v>1760680.4536785693</v>
      </c>
      <c r="AO11" s="47">
        <f t="shared" si="15"/>
        <v>3.4284245512142526</v>
      </c>
      <c r="AP11" s="47">
        <f t="shared" si="16"/>
        <v>1.9369539565334526</v>
      </c>
    </row>
    <row r="12" spans="1:42" ht="13.5" customHeight="1" x14ac:dyDescent="0.35">
      <c r="A12" s="55">
        <f>SUM(P5:P1000)</f>
        <v>8898082.5500000007</v>
      </c>
      <c r="B12" s="97" t="s">
        <v>62</v>
      </c>
      <c r="C12" s="98">
        <v>18230724</v>
      </c>
      <c r="D12" s="61" t="s">
        <v>131</v>
      </c>
      <c r="E12" s="38" t="s">
        <v>1130</v>
      </c>
      <c r="F12" s="39" t="s">
        <v>1131</v>
      </c>
      <c r="G12" s="39">
        <v>15</v>
      </c>
      <c r="H12" s="39"/>
      <c r="I12" s="40" t="s">
        <v>262</v>
      </c>
      <c r="J12" s="41">
        <v>1</v>
      </c>
      <c r="K12" s="41">
        <v>19039605</v>
      </c>
      <c r="L12" s="41"/>
      <c r="M12" s="42"/>
      <c r="N12" s="42"/>
      <c r="O12" s="43">
        <v>19039605</v>
      </c>
      <c r="P12" s="44">
        <v>4911284</v>
      </c>
      <c r="Q12" s="44">
        <v>11350234.65</v>
      </c>
      <c r="R12" s="45"/>
      <c r="S12" s="46"/>
      <c r="T12" s="39">
        <f t="shared" si="0"/>
        <v>15</v>
      </c>
      <c r="U12" s="47">
        <f t="shared" si="1"/>
        <v>8.0157332517447983</v>
      </c>
      <c r="V12" s="48">
        <f t="shared" si="2"/>
        <v>0</v>
      </c>
      <c r="W12" s="49">
        <f t="shared" si="3"/>
        <v>0.53438221678298659</v>
      </c>
      <c r="X12" s="44">
        <f t="shared" si="4"/>
        <v>1387650.7584716394</v>
      </c>
      <c r="Y12" s="44">
        <f t="shared" si="5"/>
        <v>6438950.6500000004</v>
      </c>
      <c r="Z12" s="44">
        <f t="shared" si="6"/>
        <v>6135380.0106524229</v>
      </c>
      <c r="AA12" s="50">
        <f t="shared" si="7"/>
        <v>12737885.40847164</v>
      </c>
      <c r="AB12" s="51">
        <f t="shared" si="8"/>
        <v>5744737.8376895338</v>
      </c>
      <c r="AC12" s="44">
        <f t="shared" si="8"/>
        <v>11926858.996696291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1.0914944041149737</v>
      </c>
      <c r="AG12" s="44">
        <f t="shared" si="10"/>
        <v>20781622.314059474</v>
      </c>
      <c r="AH12" s="52">
        <f>HLOOKUP(I12,ElecAvoidedCostsWOCC!$A$5:$Q$50,T12+1,FALSE)</f>
        <v>1.0914944041149737</v>
      </c>
      <c r="AI12" s="44">
        <f t="shared" si="11"/>
        <v>0</v>
      </c>
      <c r="AJ12" s="44">
        <f t="shared" si="12"/>
        <v>20781622.314059474</v>
      </c>
      <c r="AK12" s="44">
        <f>HLOOKUP(I12,ElecAvoidedCostsWOCC!$A$5:$Q$50,G12+1,FALSE)*J12*L12</f>
        <v>0</v>
      </c>
      <c r="AL12" s="44">
        <f t="shared" si="13"/>
        <v>20781622.314059474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20781622.314059474</v>
      </c>
      <c r="AN12" s="48">
        <f t="shared" si="14"/>
        <v>22859784.545465421</v>
      </c>
      <c r="AO12" s="47">
        <f t="shared" si="15"/>
        <v>3.6175057768027927</v>
      </c>
      <c r="AP12" s="47">
        <f t="shared" si="16"/>
        <v>1.9166642744579709</v>
      </c>
    </row>
    <row r="13" spans="1:42" ht="13.5" customHeight="1" x14ac:dyDescent="0.35">
      <c r="A13" s="56" t="s">
        <v>246</v>
      </c>
      <c r="B13" s="97" t="s">
        <v>62</v>
      </c>
      <c r="C13" s="98">
        <v>18230724</v>
      </c>
      <c r="D13" s="61" t="s">
        <v>131</v>
      </c>
      <c r="E13" s="38" t="s">
        <v>1130</v>
      </c>
      <c r="F13" s="39" t="s">
        <v>1131</v>
      </c>
      <c r="G13" s="39">
        <v>16</v>
      </c>
      <c r="H13" s="39"/>
      <c r="I13" s="40" t="s">
        <v>262</v>
      </c>
      <c r="J13" s="41">
        <v>1</v>
      </c>
      <c r="K13" s="41">
        <v>2019590</v>
      </c>
      <c r="L13" s="41"/>
      <c r="M13" s="42"/>
      <c r="N13" s="42"/>
      <c r="O13" s="43">
        <v>2019590</v>
      </c>
      <c r="P13" s="44">
        <v>541805.4</v>
      </c>
      <c r="Q13" s="44">
        <v>1164838.46</v>
      </c>
      <c r="R13" s="45"/>
      <c r="S13" s="46"/>
      <c r="T13" s="39">
        <f t="shared" si="0"/>
        <v>16</v>
      </c>
      <c r="U13" s="47">
        <f t="shared" si="1"/>
        <v>0.90693728672858653</v>
      </c>
      <c r="V13" s="48">
        <f t="shared" si="2"/>
        <v>0</v>
      </c>
      <c r="W13" s="49">
        <f t="shared" si="3"/>
        <v>5.6683580420536658E-2</v>
      </c>
      <c r="X13" s="44">
        <f t="shared" si="4"/>
        <v>147192.42312546601</v>
      </c>
      <c r="Y13" s="44">
        <f t="shared" si="5"/>
        <v>623033.05999999994</v>
      </c>
      <c r="Z13" s="44">
        <f t="shared" si="6"/>
        <v>650798.80153572117</v>
      </c>
      <c r="AA13" s="50">
        <f t="shared" si="7"/>
        <v>1312030.8831254661</v>
      </c>
      <c r="AB13" s="51">
        <f t="shared" si="8"/>
        <v>609362.17372258531</v>
      </c>
      <c r="AC13" s="44">
        <f t="shared" si="8"/>
        <v>1228493.3362597995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1.153913943507979</v>
      </c>
      <c r="AG13" s="44">
        <f t="shared" si="10"/>
        <v>2330433.0611692793</v>
      </c>
      <c r="AH13" s="52">
        <f>HLOOKUP(I13,ElecAvoidedCostsWOCC!$A$5:$Q$50,T13+1,FALSE)</f>
        <v>1.153913943507979</v>
      </c>
      <c r="AI13" s="44">
        <f t="shared" si="11"/>
        <v>0</v>
      </c>
      <c r="AJ13" s="44">
        <f t="shared" si="12"/>
        <v>2330433.0611692793</v>
      </c>
      <c r="AK13" s="44">
        <f>HLOOKUP(I13,ElecAvoidedCostsWOCC!$A$5:$Q$50,G13+1,FALSE)*J13*L13</f>
        <v>0</v>
      </c>
      <c r="AL13" s="44">
        <f t="shared" si="13"/>
        <v>2330433.0611692793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2330433.0611692793</v>
      </c>
      <c r="AN13" s="48">
        <f t="shared" si="14"/>
        <v>2563476.3672862076</v>
      </c>
      <c r="AO13" s="47">
        <f t="shared" si="15"/>
        <v>3.8243809045984838</v>
      </c>
      <c r="AP13" s="47">
        <f t="shared" si="16"/>
        <v>2.0866831684173568</v>
      </c>
    </row>
    <row r="14" spans="1:42" ht="13.5" customHeight="1" x14ac:dyDescent="0.35">
      <c r="A14" s="55">
        <f>SUM(Y5:Y1000)</f>
        <v>12342126.150000002</v>
      </c>
      <c r="B14" s="97" t="s">
        <v>62</v>
      </c>
      <c r="C14" s="98">
        <v>18230724</v>
      </c>
      <c r="D14" s="61" t="s">
        <v>131</v>
      </c>
      <c r="E14" s="38" t="s">
        <v>1130</v>
      </c>
      <c r="F14" s="39" t="s">
        <v>1131</v>
      </c>
      <c r="G14" s="39">
        <v>17</v>
      </c>
      <c r="H14" s="39"/>
      <c r="I14" s="40" t="s">
        <v>262</v>
      </c>
      <c r="J14" s="41">
        <v>1</v>
      </c>
      <c r="K14" s="41">
        <v>595823</v>
      </c>
      <c r="L14" s="41"/>
      <c r="M14" s="42"/>
      <c r="N14" s="42"/>
      <c r="O14" s="43">
        <v>595823</v>
      </c>
      <c r="P14" s="44">
        <v>145179</v>
      </c>
      <c r="Q14" s="44">
        <v>418353.09</v>
      </c>
      <c r="R14" s="45"/>
      <c r="S14" s="46"/>
      <c r="T14" s="39">
        <f t="shared" si="0"/>
        <v>17</v>
      </c>
      <c r="U14" s="47">
        <f t="shared" si="1"/>
        <v>0.28428912597477313</v>
      </c>
      <c r="V14" s="48">
        <f t="shared" si="2"/>
        <v>0</v>
      </c>
      <c r="W14" s="49">
        <f t="shared" si="3"/>
        <v>1.6722889763221949E-2</v>
      </c>
      <c r="X14" s="44">
        <f t="shared" si="4"/>
        <v>43424.968000378562</v>
      </c>
      <c r="Y14" s="44">
        <f t="shared" si="5"/>
        <v>273174.09000000003</v>
      </c>
      <c r="Z14" s="44">
        <f t="shared" si="6"/>
        <v>191999.80903421884</v>
      </c>
      <c r="AA14" s="50">
        <f t="shared" si="7"/>
        <v>461778.0580003786</v>
      </c>
      <c r="AB14" s="51">
        <f t="shared" si="8"/>
        <v>179775.10209196521</v>
      </c>
      <c r="AC14" s="44">
        <f t="shared" si="8"/>
        <v>432376.4588018526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1.212666668110173</v>
      </c>
      <c r="AG14" s="44">
        <f t="shared" si="10"/>
        <v>722534.69219340757</v>
      </c>
      <c r="AH14" s="52">
        <f>HLOOKUP(I14,ElecAvoidedCostsWOCC!$A$5:$Q$50,T14+1,FALSE)</f>
        <v>1.212666668110173</v>
      </c>
      <c r="AI14" s="44">
        <f t="shared" si="11"/>
        <v>0</v>
      </c>
      <c r="AJ14" s="44">
        <f t="shared" si="12"/>
        <v>722534.69219340757</v>
      </c>
      <c r="AK14" s="44">
        <f>HLOOKUP(I14,ElecAvoidedCostsWOCC!$A$5:$Q$50,G14+1,FALSE)*J14*L14</f>
        <v>0</v>
      </c>
      <c r="AL14" s="44">
        <f t="shared" si="13"/>
        <v>722534.69219340757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722534.69219340757</v>
      </c>
      <c r="AN14" s="48">
        <f t="shared" si="14"/>
        <v>794788.16141274839</v>
      </c>
      <c r="AO14" s="47">
        <f t="shared" si="15"/>
        <v>4.0191032227799255</v>
      </c>
      <c r="AP14" s="47">
        <f t="shared" si="16"/>
        <v>1.83818555620527</v>
      </c>
    </row>
    <row r="15" spans="1:42" ht="13.5" customHeight="1" x14ac:dyDescent="0.35">
      <c r="A15" s="57" t="s">
        <v>249</v>
      </c>
      <c r="B15" s="97" t="s">
        <v>62</v>
      </c>
      <c r="C15" s="98">
        <v>18230724</v>
      </c>
      <c r="D15" s="61" t="s">
        <v>131</v>
      </c>
      <c r="E15" s="38" t="s">
        <v>1130</v>
      </c>
      <c r="F15" s="39" t="s">
        <v>1131</v>
      </c>
      <c r="G15" s="39">
        <v>18</v>
      </c>
      <c r="H15" s="39"/>
      <c r="I15" s="40" t="s">
        <v>262</v>
      </c>
      <c r="J15" s="41">
        <v>1</v>
      </c>
      <c r="K15" s="41">
        <v>312946</v>
      </c>
      <c r="L15" s="41"/>
      <c r="M15" s="42"/>
      <c r="N15" s="42"/>
      <c r="O15" s="43">
        <v>312946</v>
      </c>
      <c r="P15" s="44">
        <v>76419</v>
      </c>
      <c r="Q15" s="44">
        <v>299319.59999999998</v>
      </c>
      <c r="R15" s="45"/>
      <c r="S15" s="46"/>
      <c r="T15" s="39">
        <f t="shared" si="0"/>
        <v>18</v>
      </c>
      <c r="U15" s="47">
        <f t="shared" si="1"/>
        <v>0.15810149369383625</v>
      </c>
      <c r="V15" s="48">
        <f t="shared" si="2"/>
        <v>0</v>
      </c>
      <c r="W15" s="49">
        <f t="shared" si="3"/>
        <v>8.7834163163242364E-3</v>
      </c>
      <c r="X15" s="44">
        <f t="shared" si="4"/>
        <v>22808.233377775727</v>
      </c>
      <c r="Y15" s="44">
        <f t="shared" si="5"/>
        <v>222900.59999999998</v>
      </c>
      <c r="Z15" s="44">
        <f t="shared" si="6"/>
        <v>100844.6673559474</v>
      </c>
      <c r="AA15" s="50">
        <f t="shared" si="7"/>
        <v>322127.83337777568</v>
      </c>
      <c r="AB15" s="51">
        <f t="shared" si="8"/>
        <v>94423.845838902052</v>
      </c>
      <c r="AC15" s="44">
        <f t="shared" si="8"/>
        <v>301617.8215147712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1.2679623363826162</v>
      </c>
      <c r="AG15" s="44">
        <f t="shared" si="10"/>
        <v>396803.74132159422</v>
      </c>
      <c r="AH15" s="52">
        <f>HLOOKUP(I15,ElecAvoidedCostsWOCC!$A$5:$Q$50,T15+1,FALSE)</f>
        <v>1.2679623363826162</v>
      </c>
      <c r="AI15" s="44">
        <f t="shared" si="11"/>
        <v>0</v>
      </c>
      <c r="AJ15" s="44">
        <f t="shared" si="12"/>
        <v>396803.74132159422</v>
      </c>
      <c r="AK15" s="44">
        <f>HLOOKUP(I15,ElecAvoidedCostsWOCC!$A$5:$Q$50,G15+1,FALSE)*J15*L15</f>
        <v>0</v>
      </c>
      <c r="AL15" s="44">
        <f t="shared" si="13"/>
        <v>396803.74132159422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396803.74132159422</v>
      </c>
      <c r="AN15" s="48">
        <f t="shared" si="14"/>
        <v>436484.11545375368</v>
      </c>
      <c r="AO15" s="47">
        <f t="shared" si="15"/>
        <v>4.2023679272562893</v>
      </c>
      <c r="AP15" s="47">
        <f t="shared" si="16"/>
        <v>1.447142987976185</v>
      </c>
    </row>
    <row r="16" spans="1:42" ht="13.5" customHeight="1" x14ac:dyDescent="0.35">
      <c r="A16" s="54">
        <f>SUM(U5:U999)</f>
        <v>14.792650598923258</v>
      </c>
      <c r="B16" s="97" t="s">
        <v>62</v>
      </c>
      <c r="C16" s="98">
        <v>18230724</v>
      </c>
      <c r="D16" s="61" t="s">
        <v>131</v>
      </c>
      <c r="E16" s="38" t="s">
        <v>1130</v>
      </c>
      <c r="F16" s="39" t="s">
        <v>1131</v>
      </c>
      <c r="G16" s="39">
        <v>19</v>
      </c>
      <c r="H16" s="39"/>
      <c r="I16" s="40" t="s">
        <v>262</v>
      </c>
      <c r="J16" s="41">
        <v>1</v>
      </c>
      <c r="K16" s="41">
        <v>1243453</v>
      </c>
      <c r="L16" s="41"/>
      <c r="M16" s="42"/>
      <c r="N16" s="42"/>
      <c r="O16" s="43">
        <v>1243453</v>
      </c>
      <c r="P16" s="44">
        <v>291846</v>
      </c>
      <c r="Q16" s="44">
        <v>514372.57</v>
      </c>
      <c r="R16" s="45"/>
      <c r="S16" s="46"/>
      <c r="T16" s="39">
        <f t="shared" si="0"/>
        <v>19</v>
      </c>
      <c r="U16" s="47">
        <f t="shared" si="1"/>
        <v>0.66309696243717475</v>
      </c>
      <c r="V16" s="48">
        <f t="shared" si="2"/>
        <v>0</v>
      </c>
      <c r="W16" s="49">
        <f t="shared" si="3"/>
        <v>3.4899840128272352E-2</v>
      </c>
      <c r="X16" s="44">
        <f t="shared" si="4"/>
        <v>90625.750826964912</v>
      </c>
      <c r="Y16" s="44">
        <f t="shared" si="5"/>
        <v>222526.57</v>
      </c>
      <c r="Z16" s="44">
        <f t="shared" si="6"/>
        <v>400694.06273847516</v>
      </c>
      <c r="AA16" s="50">
        <f t="shared" si="7"/>
        <v>604998.32082696492</v>
      </c>
      <c r="AB16" s="51">
        <f t="shared" si="8"/>
        <v>375181.70668396546</v>
      </c>
      <c r="AC16" s="44">
        <f t="shared" si="8"/>
        <v>566477.8284896675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1.3201485780830118</v>
      </c>
      <c r="AG16" s="44">
        <f t="shared" si="10"/>
        <v>1641542.7098630553</v>
      </c>
      <c r="AH16" s="52">
        <f>HLOOKUP(I16,ElecAvoidedCostsWOCC!$A$5:$Q$50,T16+1,FALSE)</f>
        <v>1.3201485780830118</v>
      </c>
      <c r="AI16" s="44">
        <f t="shared" si="11"/>
        <v>0</v>
      </c>
      <c r="AJ16" s="44">
        <f t="shared" si="12"/>
        <v>1641542.7098630553</v>
      </c>
      <c r="AK16" s="44">
        <f>HLOOKUP(I16,ElecAvoidedCostsWOCC!$A$5:$Q$50,G16+1,FALSE)*J16*L16</f>
        <v>0</v>
      </c>
      <c r="AL16" s="44">
        <f t="shared" si="13"/>
        <v>1641542.7098630553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1641542.7098630553</v>
      </c>
      <c r="AN16" s="48">
        <f t="shared" si="14"/>
        <v>1805696.980849361</v>
      </c>
      <c r="AO16" s="47">
        <f t="shared" si="15"/>
        <v>4.3753271564645067</v>
      </c>
      <c r="AP16" s="47">
        <f t="shared" si="16"/>
        <v>3.187586327365497</v>
      </c>
    </row>
    <row r="17" spans="1:42" ht="13.5" customHeight="1" x14ac:dyDescent="0.35">
      <c r="A17" s="58" t="s">
        <v>252</v>
      </c>
      <c r="B17" s="97" t="s">
        <v>62</v>
      </c>
      <c r="C17" s="98">
        <v>18230724</v>
      </c>
      <c r="D17" s="61" t="s">
        <v>131</v>
      </c>
      <c r="E17" s="38" t="s">
        <v>1130</v>
      </c>
      <c r="F17" s="39" t="s">
        <v>1131</v>
      </c>
      <c r="G17" s="39">
        <v>20</v>
      </c>
      <c r="H17" s="39"/>
      <c r="I17" s="40" t="s">
        <v>262</v>
      </c>
      <c r="J17" s="41">
        <v>1</v>
      </c>
      <c r="K17" s="41">
        <v>2041890</v>
      </c>
      <c r="L17" s="41"/>
      <c r="M17" s="42"/>
      <c r="N17" s="42"/>
      <c r="O17" s="43">
        <v>2041890</v>
      </c>
      <c r="P17" s="44">
        <v>546269</v>
      </c>
      <c r="Q17" s="44">
        <v>1322048.28</v>
      </c>
      <c r="R17" s="45"/>
      <c r="S17" s="46"/>
      <c r="T17" s="39">
        <f t="shared" si="0"/>
        <v>20</v>
      </c>
      <c r="U17" s="47">
        <f t="shared" si="1"/>
        <v>1.14618943473566</v>
      </c>
      <c r="V17" s="48">
        <f t="shared" si="2"/>
        <v>0</v>
      </c>
      <c r="W17" s="49">
        <f t="shared" si="3"/>
        <v>5.7309471736783003E-2</v>
      </c>
      <c r="X17" s="44">
        <f t="shared" si="4"/>
        <v>148817.69906548248</v>
      </c>
      <c r="Y17" s="44">
        <f t="shared" si="5"/>
        <v>775779.28</v>
      </c>
      <c r="Z17" s="44">
        <f t="shared" si="6"/>
        <v>657984.82111110352</v>
      </c>
      <c r="AA17" s="50">
        <f t="shared" si="7"/>
        <v>1470865.9790654825</v>
      </c>
      <c r="AB17" s="51">
        <f t="shared" si="8"/>
        <v>616090.65647107072</v>
      </c>
      <c r="AC17" s="44">
        <f t="shared" si="8"/>
        <v>1377215.3362036352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1.3695735240203228</v>
      </c>
      <c r="AG17" s="44">
        <f t="shared" si="10"/>
        <v>2796518.4829618572</v>
      </c>
      <c r="AH17" s="52">
        <f>HLOOKUP(I17,ElecAvoidedCostsWOCC!$A$5:$Q$50,T17+1,FALSE)</f>
        <v>1.3695735240203228</v>
      </c>
      <c r="AI17" s="44">
        <f t="shared" si="11"/>
        <v>0</v>
      </c>
      <c r="AJ17" s="44">
        <f t="shared" si="12"/>
        <v>2796518.4829618572</v>
      </c>
      <c r="AK17" s="44">
        <f>HLOOKUP(I17,ElecAvoidedCostsWOCC!$A$5:$Q$50,G17+1,FALSE)*J17*L17</f>
        <v>0</v>
      </c>
      <c r="AL17" s="44">
        <f t="shared" si="13"/>
        <v>2796518.4829618572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2796518.4829618572</v>
      </c>
      <c r="AN17" s="48">
        <f t="shared" si="14"/>
        <v>3076170.3312580432</v>
      </c>
      <c r="AO17" s="47">
        <f t="shared" si="15"/>
        <v>4.5391347094600372</v>
      </c>
      <c r="AP17" s="47">
        <f t="shared" si="16"/>
        <v>2.2336160877627638</v>
      </c>
    </row>
    <row r="18" spans="1:42" ht="13.5" customHeight="1" x14ac:dyDescent="0.35">
      <c r="A18" s="59">
        <f>A6+A8</f>
        <v>11481257.83</v>
      </c>
      <c r="B18" s="97" t="s">
        <v>62</v>
      </c>
      <c r="C18" s="98">
        <v>18230724</v>
      </c>
      <c r="D18" s="61" t="s">
        <v>131</v>
      </c>
      <c r="E18" s="38" t="s">
        <v>1164</v>
      </c>
      <c r="F18" s="39" t="s">
        <v>1165</v>
      </c>
      <c r="G18" s="39">
        <v>20</v>
      </c>
      <c r="H18" s="39"/>
      <c r="I18" s="40" t="s">
        <v>262</v>
      </c>
      <c r="J18" s="41">
        <v>1</v>
      </c>
      <c r="K18" s="41">
        <v>337434</v>
      </c>
      <c r="L18" s="41"/>
      <c r="M18" s="42"/>
      <c r="N18" s="42"/>
      <c r="O18" s="43">
        <v>337434</v>
      </c>
      <c r="P18" s="44">
        <v>64696</v>
      </c>
      <c r="Q18" s="44">
        <v>73041</v>
      </c>
      <c r="R18" s="45"/>
      <c r="S18" s="46"/>
      <c r="T18" s="39">
        <f t="shared" si="0"/>
        <v>20</v>
      </c>
      <c r="U18" s="47">
        <f t="shared" si="1"/>
        <v>0.18941435910876331</v>
      </c>
      <c r="V18" s="48">
        <f t="shared" si="2"/>
        <v>0</v>
      </c>
      <c r="W18" s="49">
        <f t="shared" si="3"/>
        <v>9.4707179554381661E-3</v>
      </c>
      <c r="X18" s="44">
        <f t="shared" si="4"/>
        <v>24592.975853969612</v>
      </c>
      <c r="Y18" s="44">
        <f t="shared" si="5"/>
        <v>8345</v>
      </c>
      <c r="Z18" s="44">
        <f t="shared" si="6"/>
        <v>108735.75468159604</v>
      </c>
      <c r="AA18" s="50">
        <f t="shared" si="7"/>
        <v>97633.975853969605</v>
      </c>
      <c r="AB18" s="51">
        <f t="shared" si="8"/>
        <v>101812.50438351688</v>
      </c>
      <c r="AC18" s="44">
        <f t="shared" si="8"/>
        <v>91417.58038761199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1.3695735240203228</v>
      </c>
      <c r="AG18" s="44">
        <f t="shared" si="10"/>
        <v>462140.67250427359</v>
      </c>
      <c r="AH18" s="52">
        <f>HLOOKUP(I18,ElecAvoidedCostsWOCC!$A$5:$Q$50,T18+1,FALSE)</f>
        <v>1.3695735240203228</v>
      </c>
      <c r="AI18" s="44">
        <f t="shared" si="11"/>
        <v>0</v>
      </c>
      <c r="AJ18" s="44">
        <f t="shared" si="12"/>
        <v>462140.67250427359</v>
      </c>
      <c r="AK18" s="44">
        <f>HLOOKUP(I18,ElecAvoidedCostsWOCC!$A$5:$Q$50,G18+1,FALSE)*J18*L18</f>
        <v>0</v>
      </c>
      <c r="AL18" s="44">
        <f t="shared" si="13"/>
        <v>462140.67250427359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462140.67250427359</v>
      </c>
      <c r="AN18" s="48">
        <f t="shared" si="14"/>
        <v>508354.73975470098</v>
      </c>
      <c r="AO18" s="47">
        <f t="shared" si="15"/>
        <v>4.5391347094600372</v>
      </c>
      <c r="AP18" s="47">
        <f t="shared" si="16"/>
        <v>5.5607984547312324</v>
      </c>
    </row>
    <row r="19" spans="1:42" ht="13.5" customHeight="1" x14ac:dyDescent="0.35">
      <c r="A19" s="58" t="s">
        <v>222</v>
      </c>
      <c r="B19" s="97" t="s">
        <v>62</v>
      </c>
      <c r="C19" s="98">
        <v>18230724</v>
      </c>
      <c r="D19" s="61" t="s">
        <v>131</v>
      </c>
      <c r="E19" s="38" t="s">
        <v>1166</v>
      </c>
      <c r="F19" s="39" t="s">
        <v>1167</v>
      </c>
      <c r="G19" s="39">
        <v>14</v>
      </c>
      <c r="H19" s="39"/>
      <c r="I19" s="40" t="s">
        <v>262</v>
      </c>
      <c r="J19" s="41">
        <v>1</v>
      </c>
      <c r="K19" s="41">
        <v>153060</v>
      </c>
      <c r="L19" s="41"/>
      <c r="M19" s="42"/>
      <c r="N19" s="42"/>
      <c r="O19" s="43">
        <v>153060</v>
      </c>
      <c r="P19" s="44">
        <v>47886</v>
      </c>
      <c r="Q19" s="44">
        <v>86103</v>
      </c>
      <c r="R19" s="45"/>
      <c r="S19" s="46"/>
      <c r="T19" s="39">
        <f t="shared" si="0"/>
        <v>14</v>
      </c>
      <c r="U19" s="47">
        <f t="shared" si="1"/>
        <v>6.0142822784992382E-2</v>
      </c>
      <c r="V19" s="48">
        <f t="shared" si="2"/>
        <v>0</v>
      </c>
      <c r="W19" s="49">
        <f t="shared" si="3"/>
        <v>4.2959159132137416E-3</v>
      </c>
      <c r="X19" s="44">
        <f t="shared" si="4"/>
        <v>11155.369299503278</v>
      </c>
      <c r="Y19" s="44">
        <f t="shared" si="5"/>
        <v>38217</v>
      </c>
      <c r="Z19" s="44">
        <f t="shared" si="6"/>
        <v>49322.518215606869</v>
      </c>
      <c r="AA19" s="50">
        <f t="shared" si="7"/>
        <v>97258.369299503276</v>
      </c>
      <c r="AB19" s="51">
        <f t="shared" si="8"/>
        <v>46182.133160680583</v>
      </c>
      <c r="AC19" s="44">
        <f t="shared" si="8"/>
        <v>91065.888857212805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1.0344437420326877</v>
      </c>
      <c r="AG19" s="44">
        <f t="shared" si="10"/>
        <v>158331.95915552319</v>
      </c>
      <c r="AH19" s="52">
        <f>HLOOKUP(I19,ElecAvoidedCostsWOCC!$A$5:$Q$50,T19+1,FALSE)</f>
        <v>1.0344437420326877</v>
      </c>
      <c r="AI19" s="44">
        <f t="shared" si="11"/>
        <v>0</v>
      </c>
      <c r="AJ19" s="44">
        <f t="shared" si="12"/>
        <v>158331.95915552319</v>
      </c>
      <c r="AK19" s="44">
        <f>HLOOKUP(I19,ElecAvoidedCostsWOCC!$A$5:$Q$50,G19+1,FALSE)*J19*L19</f>
        <v>0</v>
      </c>
      <c r="AL19" s="44">
        <f t="shared" si="13"/>
        <v>158331.95915552319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158331.95915552319</v>
      </c>
      <c r="AN19" s="48">
        <f t="shared" si="14"/>
        <v>174165.15507107551</v>
      </c>
      <c r="AO19" s="47">
        <f t="shared" si="15"/>
        <v>3.4284245512142526</v>
      </c>
      <c r="AP19" s="47">
        <f t="shared" si="16"/>
        <v>1.9125180378369622</v>
      </c>
    </row>
    <row r="20" spans="1:42" ht="13.5" customHeight="1" x14ac:dyDescent="0.35">
      <c r="A20" s="59">
        <f>A8+SUM(Q5:Q906)</f>
        <v>23836946.979999997</v>
      </c>
      <c r="B20" s="97" t="s">
        <v>62</v>
      </c>
      <c r="C20" s="98">
        <v>18230724</v>
      </c>
      <c r="D20" s="61" t="s">
        <v>131</v>
      </c>
      <c r="E20" s="38" t="s">
        <v>1166</v>
      </c>
      <c r="F20" s="39" t="s">
        <v>1167</v>
      </c>
      <c r="G20" s="39">
        <v>15</v>
      </c>
      <c r="H20" s="39"/>
      <c r="I20" s="40" t="s">
        <v>262</v>
      </c>
      <c r="J20" s="41">
        <v>1</v>
      </c>
      <c r="K20" s="41">
        <v>1639003</v>
      </c>
      <c r="L20" s="41"/>
      <c r="M20" s="42"/>
      <c r="N20" s="42"/>
      <c r="O20" s="43">
        <v>1639003</v>
      </c>
      <c r="P20" s="44">
        <v>786016</v>
      </c>
      <c r="Q20" s="44">
        <v>1874228.4</v>
      </c>
      <c r="R20" s="45"/>
      <c r="S20" s="46"/>
      <c r="T20" s="39">
        <f t="shared" si="0"/>
        <v>15</v>
      </c>
      <c r="U20" s="47">
        <f t="shared" si="1"/>
        <v>0.69002538901460819</v>
      </c>
      <c r="V20" s="48">
        <f t="shared" si="2"/>
        <v>0</v>
      </c>
      <c r="W20" s="49">
        <f t="shared" si="3"/>
        <v>4.6001692600973879E-2</v>
      </c>
      <c r="X20" s="44">
        <f t="shared" si="4"/>
        <v>119454.3561217416</v>
      </c>
      <c r="Y20" s="44">
        <f t="shared" si="5"/>
        <v>1088212.3999999999</v>
      </c>
      <c r="Z20" s="44">
        <f t="shared" si="6"/>
        <v>528157.29336818447</v>
      </c>
      <c r="AA20" s="50">
        <f t="shared" si="7"/>
        <v>1993682.7561217416</v>
      </c>
      <c r="AB20" s="51">
        <f t="shared" si="8"/>
        <v>494529.30090653972</v>
      </c>
      <c r="AC20" s="44">
        <f t="shared" si="8"/>
        <v>1866744.1536720425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1.0914944041149737</v>
      </c>
      <c r="AG20" s="44">
        <f t="shared" si="10"/>
        <v>1788962.6028276542</v>
      </c>
      <c r="AH20" s="52">
        <f>HLOOKUP(I20,ElecAvoidedCostsWOCC!$A$5:$Q$50,T20+1,FALSE)</f>
        <v>1.0914944041149737</v>
      </c>
      <c r="AI20" s="44">
        <f t="shared" si="11"/>
        <v>0</v>
      </c>
      <c r="AJ20" s="44">
        <f t="shared" si="12"/>
        <v>1788962.6028276542</v>
      </c>
      <c r="AK20" s="44">
        <f>HLOOKUP(I20,ElecAvoidedCostsWOCC!$A$5:$Q$50,G20+1,FALSE)*J20*L20</f>
        <v>0</v>
      </c>
      <c r="AL20" s="44">
        <f t="shared" si="13"/>
        <v>1788962.6028276542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1788962.6028276542</v>
      </c>
      <c r="AN20" s="48">
        <f t="shared" si="14"/>
        <v>1967858.8631104198</v>
      </c>
      <c r="AO20" s="47">
        <f t="shared" si="15"/>
        <v>3.6175057768027932</v>
      </c>
      <c r="AP20" s="47">
        <f t="shared" si="16"/>
        <v>1.0541663458484529</v>
      </c>
    </row>
    <row r="21" spans="1:42" ht="13.5" customHeight="1" x14ac:dyDescent="0.35">
      <c r="A21" s="58" t="s">
        <v>236</v>
      </c>
      <c r="B21" s="97" t="s">
        <v>62</v>
      </c>
      <c r="C21" s="98">
        <v>18230724</v>
      </c>
      <c r="D21" s="61" t="s">
        <v>131</v>
      </c>
      <c r="E21" s="38" t="s">
        <v>1168</v>
      </c>
      <c r="F21" s="39" t="s">
        <v>1169</v>
      </c>
      <c r="G21" s="39">
        <v>10</v>
      </c>
      <c r="H21" s="39"/>
      <c r="I21" s="40" t="s">
        <v>262</v>
      </c>
      <c r="J21" s="41">
        <v>1</v>
      </c>
      <c r="K21" s="41">
        <v>1443394</v>
      </c>
      <c r="L21" s="41"/>
      <c r="M21" s="42"/>
      <c r="N21" s="42"/>
      <c r="O21" s="43">
        <v>1443394</v>
      </c>
      <c r="P21" s="44">
        <v>363225</v>
      </c>
      <c r="Q21" s="44">
        <v>396825</v>
      </c>
      <c r="R21" s="45"/>
      <c r="S21" s="46"/>
      <c r="T21" s="39">
        <f t="shared" si="0"/>
        <v>10</v>
      </c>
      <c r="U21" s="47">
        <f t="shared" si="1"/>
        <v>0.40511559216237003</v>
      </c>
      <c r="V21" s="48">
        <f t="shared" si="2"/>
        <v>0</v>
      </c>
      <c r="W21" s="49">
        <f t="shared" si="3"/>
        <v>4.0511559216237003E-2</v>
      </c>
      <c r="X21" s="44">
        <f t="shared" si="4"/>
        <v>105197.9165992894</v>
      </c>
      <c r="Y21" s="44">
        <f t="shared" si="5"/>
        <v>33600</v>
      </c>
      <c r="Z21" s="44">
        <f t="shared" si="6"/>
        <v>465123.65645692975</v>
      </c>
      <c r="AA21" s="50">
        <f t="shared" si="7"/>
        <v>502022.9165992894</v>
      </c>
      <c r="AB21" s="51">
        <f t="shared" ref="AB21:AC24" si="18">Z21/(1+ElecDiscountRate)^1</f>
        <v>435509.04162633867</v>
      </c>
      <c r="AC21" s="44">
        <f t="shared" si="18"/>
        <v>470058.91067349195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0.77460416073684046</v>
      </c>
      <c r="AG21" s="44">
        <f t="shared" si="10"/>
        <v>1118058.9979825912</v>
      </c>
      <c r="AH21" s="52">
        <f>HLOOKUP(I21,ElecAvoidedCostsWOCC!$A$5:$Q$50,T21+1,FALSE)</f>
        <v>0.77460416073684046</v>
      </c>
      <c r="AI21" s="44">
        <f t="shared" si="11"/>
        <v>0</v>
      </c>
      <c r="AJ21" s="44">
        <f t="shared" si="12"/>
        <v>1118058.9979825912</v>
      </c>
      <c r="AK21" s="44">
        <f>HLOOKUP(I21,ElecAvoidedCostsWOCC!$A$5:$Q$50,G21+1,FALSE)*J21*L21</f>
        <v>0</v>
      </c>
      <c r="AL21" s="44">
        <f t="shared" si="13"/>
        <v>1118058.9979825912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1118058.9979825912</v>
      </c>
      <c r="AN21" s="48">
        <f t="shared" si="14"/>
        <v>1229864.8977808503</v>
      </c>
      <c r="AO21" s="47">
        <f t="shared" si="15"/>
        <v>2.5672463510915389</v>
      </c>
      <c r="AP21" s="47">
        <f t="shared" si="16"/>
        <v>2.6164058798900802</v>
      </c>
    </row>
    <row r="22" spans="1:42" ht="13.5" customHeight="1" x14ac:dyDescent="0.35">
      <c r="A22" s="60">
        <f>(SUM(AM5:AM1000)/(SUM(AB5:AB1000)))</f>
        <v>3.563798827111988</v>
      </c>
      <c r="B22" s="97" t="s">
        <v>62</v>
      </c>
      <c r="C22" s="98">
        <v>18230724</v>
      </c>
      <c r="D22" s="61" t="s">
        <v>131</v>
      </c>
      <c r="E22" s="38" t="s">
        <v>1170</v>
      </c>
      <c r="F22" s="39" t="s">
        <v>1171</v>
      </c>
      <c r="G22" s="39">
        <v>12</v>
      </c>
      <c r="H22" s="39"/>
      <c r="I22" s="40" t="s">
        <v>262</v>
      </c>
      <c r="J22" s="41">
        <v>85</v>
      </c>
      <c r="K22" s="41">
        <v>252</v>
      </c>
      <c r="L22" s="41"/>
      <c r="M22" s="42">
        <v>35</v>
      </c>
      <c r="N22" s="42">
        <v>108</v>
      </c>
      <c r="O22" s="43">
        <v>21420</v>
      </c>
      <c r="P22" s="44">
        <v>2975</v>
      </c>
      <c r="Q22" s="44">
        <v>5177.66</v>
      </c>
      <c r="R22" s="45">
        <v>8.5129999999999999</v>
      </c>
      <c r="S22" s="46">
        <v>0</v>
      </c>
      <c r="T22" s="39">
        <f t="shared" si="0"/>
        <v>12</v>
      </c>
      <c r="U22" s="47">
        <f t="shared" si="1"/>
        <v>7.2143095931821513E-3</v>
      </c>
      <c r="V22" s="48">
        <f t="shared" si="2"/>
        <v>73</v>
      </c>
      <c r="W22" s="49">
        <f t="shared" si="3"/>
        <v>6.0119246609851261E-4</v>
      </c>
      <c r="X22" s="44">
        <f t="shared" si="4"/>
        <v>1561.1394903656096</v>
      </c>
      <c r="Y22" s="44">
        <f t="shared" si="5"/>
        <v>2202.66</v>
      </c>
      <c r="Z22" s="44">
        <f t="shared" si="6"/>
        <v>6902.4457087305582</v>
      </c>
      <c r="AA22" s="50">
        <f t="shared" si="7"/>
        <v>6738.799490365609</v>
      </c>
      <c r="AB22" s="51">
        <f t="shared" si="18"/>
        <v>6462.9641467514584</v>
      </c>
      <c r="AC22" s="44">
        <f t="shared" si="18"/>
        <v>6309.7373505295964</v>
      </c>
      <c r="AD22" s="44">
        <f t="shared" si="9"/>
        <v>5809.1310775681404</v>
      </c>
      <c r="AE22" s="44">
        <f t="shared" si="17"/>
        <v>0</v>
      </c>
      <c r="AF22" s="52">
        <f>HLOOKUP(I22,ElecAvoidedCostsWOCC!$A$5:$Q$50,G22+1,FALSE)</f>
        <v>0.91128284670075355</v>
      </c>
      <c r="AG22" s="44">
        <f t="shared" si="10"/>
        <v>19519.678576330141</v>
      </c>
      <c r="AH22" s="52">
        <f>HLOOKUP(I22,ElecAvoidedCostsWOCC!$A$5:$Q$50,T22+1,FALSE)</f>
        <v>0.91128284670075355</v>
      </c>
      <c r="AI22" s="44">
        <f t="shared" si="11"/>
        <v>0</v>
      </c>
      <c r="AJ22" s="44">
        <f t="shared" si="12"/>
        <v>19519.678576330141</v>
      </c>
      <c r="AK22" s="44">
        <f>HLOOKUP(I22,ElecAvoidedCostsWOCC!$A$5:$Q$50,G22+1,FALSE)*J22*L22</f>
        <v>0</v>
      </c>
      <c r="AL22" s="44">
        <f t="shared" si="13"/>
        <v>19519.678576330141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19519.678576330141</v>
      </c>
      <c r="AN22" s="48">
        <f t="shared" si="14"/>
        <v>27280.777511531298</v>
      </c>
      <c r="AO22" s="47">
        <f t="shared" si="15"/>
        <v>3.0202362465744925</v>
      </c>
      <c r="AP22" s="47">
        <f t="shared" si="16"/>
        <v>4.3235995408337455</v>
      </c>
    </row>
    <row r="23" spans="1:42" ht="13.5" customHeight="1" x14ac:dyDescent="0.35">
      <c r="A23" s="58" t="s">
        <v>237</v>
      </c>
      <c r="B23" s="97" t="s">
        <v>62</v>
      </c>
      <c r="C23" s="98">
        <v>18230724</v>
      </c>
      <c r="D23" s="61" t="s">
        <v>131</v>
      </c>
      <c r="E23" s="38" t="s">
        <v>1172</v>
      </c>
      <c r="F23" s="39" t="s">
        <v>1173</v>
      </c>
      <c r="G23" s="39">
        <v>12</v>
      </c>
      <c r="H23" s="39"/>
      <c r="I23" s="40" t="s">
        <v>262</v>
      </c>
      <c r="J23" s="41">
        <v>5</v>
      </c>
      <c r="K23" s="41">
        <v>699</v>
      </c>
      <c r="L23" s="41"/>
      <c r="M23" s="42">
        <v>90</v>
      </c>
      <c r="N23" s="42">
        <v>235</v>
      </c>
      <c r="O23" s="43">
        <v>3495</v>
      </c>
      <c r="P23" s="44">
        <v>450</v>
      </c>
      <c r="Q23" s="44">
        <v>614.34</v>
      </c>
      <c r="R23" s="45">
        <v>23.611999999999998</v>
      </c>
      <c r="S23" s="46">
        <v>0</v>
      </c>
      <c r="T23" s="39">
        <f t="shared" si="0"/>
        <v>12</v>
      </c>
      <c r="U23" s="47">
        <f t="shared" si="1"/>
        <v>1.1771247445458272E-3</v>
      </c>
      <c r="V23" s="48">
        <f t="shared" si="2"/>
        <v>145</v>
      </c>
      <c r="W23" s="49">
        <f t="shared" si="3"/>
        <v>9.8093728712152277E-5</v>
      </c>
      <c r="X23" s="44">
        <f t="shared" si="4"/>
        <v>254.72374037478085</v>
      </c>
      <c r="Y23" s="44">
        <f t="shared" si="5"/>
        <v>164.34000000000003</v>
      </c>
      <c r="Z23" s="44">
        <f t="shared" si="6"/>
        <v>1126.2393908502941</v>
      </c>
      <c r="AA23" s="50">
        <f t="shared" si="7"/>
        <v>869.06374037478088</v>
      </c>
      <c r="AB23" s="51">
        <f t="shared" si="18"/>
        <v>1054.5312648410993</v>
      </c>
      <c r="AC23" s="44">
        <f t="shared" si="18"/>
        <v>813.73009398387717</v>
      </c>
      <c r="AD23" s="44">
        <f t="shared" si="9"/>
        <v>947.79059710435206</v>
      </c>
      <c r="AE23" s="44">
        <f t="shared" si="17"/>
        <v>0</v>
      </c>
      <c r="AF23" s="52">
        <f>HLOOKUP(I23,ElecAvoidedCostsWOCC!$A$5:$Q$50,G23+1,FALSE)</f>
        <v>0.91128284670075355</v>
      </c>
      <c r="AG23" s="44">
        <f t="shared" si="10"/>
        <v>3184.9335492191335</v>
      </c>
      <c r="AH23" s="52">
        <f>HLOOKUP(I23,ElecAvoidedCostsWOCC!$A$5:$Q$50,T23+1,FALSE)</f>
        <v>0.91128284670075355</v>
      </c>
      <c r="AI23" s="44">
        <f t="shared" si="11"/>
        <v>0</v>
      </c>
      <c r="AJ23" s="44">
        <f t="shared" si="12"/>
        <v>3184.9335492191335</v>
      </c>
      <c r="AK23" s="44">
        <f>HLOOKUP(I23,ElecAvoidedCostsWOCC!$A$5:$Q$50,G23+1,FALSE)*J23*L23</f>
        <v>0</v>
      </c>
      <c r="AL23" s="44">
        <f t="shared" si="13"/>
        <v>3184.9335492191335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3184.9335492191335</v>
      </c>
      <c r="AN23" s="48">
        <f t="shared" si="14"/>
        <v>4451.217501245399</v>
      </c>
      <c r="AO23" s="47">
        <f t="shared" si="15"/>
        <v>3.0202362465744921</v>
      </c>
      <c r="AP23" s="47">
        <f t="shared" si="16"/>
        <v>5.4701399569149931</v>
      </c>
    </row>
    <row r="24" spans="1:42" ht="13.5" customHeight="1" x14ac:dyDescent="0.35">
      <c r="A24" s="60">
        <f>(SUM(AN5:AN1000)/SUM(AC5:AC1000))</f>
        <v>1.8888841264863856</v>
      </c>
      <c r="B24" s="97" t="s">
        <v>62</v>
      </c>
      <c r="C24" s="98">
        <v>18230724</v>
      </c>
      <c r="D24" s="61" t="s">
        <v>131</v>
      </c>
      <c r="E24" s="38" t="s">
        <v>1174</v>
      </c>
      <c r="F24" s="39" t="s">
        <v>1175</v>
      </c>
      <c r="G24" s="39">
        <v>12</v>
      </c>
      <c r="H24" s="39"/>
      <c r="I24" s="40" t="s">
        <v>262</v>
      </c>
      <c r="J24" s="41">
        <v>38</v>
      </c>
      <c r="K24" s="41">
        <v>857</v>
      </c>
      <c r="L24" s="41"/>
      <c r="M24" s="42">
        <v>110</v>
      </c>
      <c r="N24" s="42">
        <v>320</v>
      </c>
      <c r="O24" s="43">
        <v>32566</v>
      </c>
      <c r="P24" s="44">
        <v>4180</v>
      </c>
      <c r="Q24" s="44">
        <v>6616.14</v>
      </c>
      <c r="R24" s="45">
        <v>28.949000000000002</v>
      </c>
      <c r="S24" s="46">
        <v>0</v>
      </c>
      <c r="T24" s="39">
        <f t="shared" si="0"/>
        <v>12</v>
      </c>
      <c r="U24" s="47">
        <f t="shared" si="1"/>
        <v>1.0968310280652193E-2</v>
      </c>
      <c r="V24" s="48">
        <f t="shared" si="2"/>
        <v>210</v>
      </c>
      <c r="W24" s="49">
        <f t="shared" si="3"/>
        <v>9.1402585672101602E-4</v>
      </c>
      <c r="X24" s="44">
        <f t="shared" si="4"/>
        <v>2373.4859310572569</v>
      </c>
      <c r="Y24" s="44">
        <f t="shared" si="5"/>
        <v>2436.1400000000003</v>
      </c>
      <c r="Z24" s="44">
        <f t="shared" si="6"/>
        <v>10494.166524300623</v>
      </c>
      <c r="AA24" s="50">
        <f t="shared" si="7"/>
        <v>8989.6259310572568</v>
      </c>
      <c r="AB24" s="51">
        <f t="shared" si="18"/>
        <v>9825.9986182590092</v>
      </c>
      <c r="AC24" s="44">
        <f t="shared" si="18"/>
        <v>8417.2527444356328</v>
      </c>
      <c r="AD24" s="44">
        <f t="shared" si="9"/>
        <v>8831.3435527003894</v>
      </c>
      <c r="AE24" s="44">
        <f t="shared" si="17"/>
        <v>0</v>
      </c>
      <c r="AF24" s="52">
        <f>HLOOKUP(I24,ElecAvoidedCostsWOCC!$A$5:$Q$50,G24+1,FALSE)</f>
        <v>0.91128284670075355</v>
      </c>
      <c r="AG24" s="44">
        <f t="shared" si="10"/>
        <v>29676.837185656739</v>
      </c>
      <c r="AH24" s="52">
        <f>HLOOKUP(I24,ElecAvoidedCostsWOCC!$A$5:$Q$50,T24+1,FALSE)</f>
        <v>0.91128284670075355</v>
      </c>
      <c r="AI24" s="44">
        <f t="shared" si="11"/>
        <v>0</v>
      </c>
      <c r="AJ24" s="44">
        <f t="shared" si="12"/>
        <v>29676.837185656739</v>
      </c>
      <c r="AK24" s="44">
        <f>HLOOKUP(I24,ElecAvoidedCostsWOCC!$A$5:$Q$50,G24+1,FALSE)*J24*L24</f>
        <v>0</v>
      </c>
      <c r="AL24" s="44">
        <f t="shared" si="13"/>
        <v>29676.837185656739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29676.837185656739</v>
      </c>
      <c r="AN24" s="48">
        <f t="shared" si="14"/>
        <v>41475.864456922805</v>
      </c>
      <c r="AO24" s="47">
        <f t="shared" si="15"/>
        <v>3.0202362465744925</v>
      </c>
      <c r="AP24" s="47">
        <f t="shared" si="16"/>
        <v>4.9274823646398316</v>
      </c>
    </row>
    <row r="25" spans="1:42" ht="13.5" customHeight="1" x14ac:dyDescent="0.35">
      <c r="B25" s="97" t="s">
        <v>62</v>
      </c>
      <c r="C25" s="98">
        <v>18230724</v>
      </c>
      <c r="D25" s="61" t="s">
        <v>131</v>
      </c>
      <c r="E25" s="38" t="s">
        <v>1176</v>
      </c>
      <c r="F25" s="39" t="s">
        <v>1177</v>
      </c>
      <c r="G25" s="39">
        <v>15</v>
      </c>
      <c r="H25" s="39"/>
      <c r="I25" s="40" t="s">
        <v>262</v>
      </c>
      <c r="J25" s="41">
        <v>40</v>
      </c>
      <c r="K25" s="41">
        <v>352</v>
      </c>
      <c r="L25" s="41"/>
      <c r="M25" s="42">
        <v>70</v>
      </c>
      <c r="N25" s="42">
        <v>365</v>
      </c>
      <c r="O25" s="43">
        <v>14080</v>
      </c>
      <c r="P25" s="44">
        <v>2800</v>
      </c>
      <c r="Q25" s="44">
        <v>13777.22</v>
      </c>
      <c r="R25" s="45">
        <v>0</v>
      </c>
      <c r="S25" s="46">
        <v>0</v>
      </c>
      <c r="T25" s="39">
        <f t="shared" ref="T25:T67" si="19">G25+H25</f>
        <v>15</v>
      </c>
      <c r="U25" s="47">
        <f t="shared" ref="U25:U67" si="20">(O25/$A$10)*T25</f>
        <v>5.9277240354811333E-3</v>
      </c>
      <c r="V25" s="48">
        <f t="shared" ref="V25:V67" si="21">N25-M25</f>
        <v>295</v>
      </c>
      <c r="W25" s="49">
        <f t="shared" ref="W25:W67" si="22">(O25/A$10)</f>
        <v>3.9518160236540889E-4</v>
      </c>
      <c r="X25" s="44">
        <f t="shared" ref="X25:X67" si="23">W25*A$8</f>
        <v>1026.1831944139956</v>
      </c>
      <c r="Y25" s="44">
        <f t="shared" ref="Y25:Y67" si="24">Q25-P25</f>
        <v>10977.22</v>
      </c>
      <c r="Z25" s="44">
        <f t="shared" ref="Z25:Z67" si="25">X25+(A$6*W25)</f>
        <v>4537.1818664297971</v>
      </c>
      <c r="AA25" s="50">
        <f t="shared" ref="AA25:AA67" si="26">Q25+X25</f>
        <v>14803.403194413995</v>
      </c>
      <c r="AB25" s="51">
        <f t="shared" ref="AB25:AB67" si="27">Z25/(1+ElecDiscountRate)^1</f>
        <v>4248.2976277432554</v>
      </c>
      <c r="AC25" s="44">
        <f t="shared" ref="AC25:AC67" si="28">AA25/(1+ElecDiscountRate)^1</f>
        <v>13860.864414245312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1.0914944041149737</v>
      </c>
      <c r="AG25" s="44">
        <f t="shared" ref="AG25:AG67" si="31">AF25*J25*K25</f>
        <v>15368.241209938829</v>
      </c>
      <c r="AH25" s="52">
        <f>HLOOKUP(I25,ElecAvoidedCostsWOCC!$A$5:$Q$50,T25+1,FALSE)</f>
        <v>1.0914944041149737</v>
      </c>
      <c r="AI25" s="44">
        <f t="shared" ref="AI25:AI67" si="32">AH25*J25*L25</f>
        <v>0</v>
      </c>
      <c r="AJ25" s="44">
        <f t="shared" ref="AJ25:AJ67" si="33">AG25+AI25</f>
        <v>15368.241209938829</v>
      </c>
      <c r="AK25" s="44">
        <f>HLOOKUP(I25,ElecAvoidedCostsWOCC!$A$5:$Q$50,G25+1,FALSE)*J25*L25</f>
        <v>0</v>
      </c>
      <c r="AL25" s="44">
        <f t="shared" ref="AL25:AL67" si="34">AG25+AI25-AK25</f>
        <v>15368.241209938829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15368.241209938828</v>
      </c>
      <c r="AN25" s="48">
        <f t="shared" ref="AN25:AN67" si="35">AM25*1.1+AD25+AE25</f>
        <v>16905.06533093271</v>
      </c>
      <c r="AO25" s="47">
        <f t="shared" ref="AO25:AO67" si="36">IFERROR(AM25/AB25,0)</f>
        <v>3.6175057768027932</v>
      </c>
      <c r="AP25" s="47">
        <f t="shared" ref="AP25:AP67" si="37">AN25/AC25</f>
        <v>1.2196256182665464</v>
      </c>
    </row>
    <row r="26" spans="1:42" ht="13.5" customHeight="1" x14ac:dyDescent="0.35">
      <c r="B26" s="97" t="s">
        <v>62</v>
      </c>
      <c r="C26" s="98">
        <v>18230724</v>
      </c>
      <c r="D26" s="61" t="s">
        <v>131</v>
      </c>
      <c r="E26" s="38" t="s">
        <v>1178</v>
      </c>
      <c r="F26" s="39" t="s">
        <v>1179</v>
      </c>
      <c r="G26" s="39">
        <v>15</v>
      </c>
      <c r="H26" s="39"/>
      <c r="I26" s="40" t="s">
        <v>262</v>
      </c>
      <c r="J26" s="41">
        <v>6</v>
      </c>
      <c r="K26" s="41">
        <v>533</v>
      </c>
      <c r="L26" s="41"/>
      <c r="M26" s="42">
        <v>110</v>
      </c>
      <c r="N26" s="42">
        <v>388</v>
      </c>
      <c r="O26" s="43">
        <v>3198</v>
      </c>
      <c r="P26" s="44">
        <v>660</v>
      </c>
      <c r="Q26" s="44">
        <v>2328</v>
      </c>
      <c r="R26" s="45">
        <v>0</v>
      </c>
      <c r="S26" s="46">
        <v>0</v>
      </c>
      <c r="T26" s="39">
        <f t="shared" si="19"/>
        <v>15</v>
      </c>
      <c r="U26" s="47">
        <f t="shared" si="20"/>
        <v>1.346368001808854E-3</v>
      </c>
      <c r="V26" s="48">
        <f t="shared" si="21"/>
        <v>278</v>
      </c>
      <c r="W26" s="49">
        <f t="shared" si="22"/>
        <v>8.9757866787256935E-5</v>
      </c>
      <c r="X26" s="44">
        <f t="shared" si="23"/>
        <v>233.07768861761065</v>
      </c>
      <c r="Y26" s="44">
        <f t="shared" si="24"/>
        <v>1668</v>
      </c>
      <c r="Z26" s="44">
        <f t="shared" si="25"/>
        <v>1030.5332108552907</v>
      </c>
      <c r="AA26" s="50">
        <f t="shared" si="26"/>
        <v>2561.0776886176109</v>
      </c>
      <c r="AB26" s="51">
        <f t="shared" si="27"/>
        <v>964.91873675589011</v>
      </c>
      <c r="AC26" s="44">
        <f t="shared" si="28"/>
        <v>2398.0128170576882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1.0914944041149737</v>
      </c>
      <c r="AG26" s="44">
        <f t="shared" si="31"/>
        <v>3490.599104359686</v>
      </c>
      <c r="AH26" s="52">
        <f>HLOOKUP(I26,ElecAvoidedCostsWOCC!$A$5:$Q$50,T26+1,FALSE)</f>
        <v>1.0914944041149737</v>
      </c>
      <c r="AI26" s="44">
        <f t="shared" si="32"/>
        <v>0</v>
      </c>
      <c r="AJ26" s="44">
        <f t="shared" si="33"/>
        <v>3490.599104359686</v>
      </c>
      <c r="AK26" s="44">
        <f>HLOOKUP(I26,ElecAvoidedCostsWOCC!$A$5:$Q$50,G26+1,FALSE)*J26*L26</f>
        <v>0</v>
      </c>
      <c r="AL26" s="44">
        <f t="shared" si="34"/>
        <v>3490.599104359686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3490.599104359686</v>
      </c>
      <c r="AN26" s="48">
        <f t="shared" si="35"/>
        <v>3839.6590147956549</v>
      </c>
      <c r="AO26" s="47">
        <f t="shared" si="36"/>
        <v>3.6175057768027932</v>
      </c>
      <c r="AP26" s="47">
        <f t="shared" si="37"/>
        <v>1.6011836915479196</v>
      </c>
    </row>
    <row r="27" spans="1:42" ht="13.5" customHeight="1" x14ac:dyDescent="0.35">
      <c r="B27" s="97" t="s">
        <v>62</v>
      </c>
      <c r="C27" s="98">
        <v>18230724</v>
      </c>
      <c r="D27" s="61" t="s">
        <v>131</v>
      </c>
      <c r="E27" s="38" t="s">
        <v>1180</v>
      </c>
      <c r="F27" s="39" t="s">
        <v>1181</v>
      </c>
      <c r="G27" s="39">
        <v>15</v>
      </c>
      <c r="H27" s="39"/>
      <c r="I27" s="40" t="s">
        <v>262</v>
      </c>
      <c r="J27" s="41">
        <v>28</v>
      </c>
      <c r="K27" s="41">
        <v>857</v>
      </c>
      <c r="L27" s="41"/>
      <c r="M27" s="42">
        <v>175</v>
      </c>
      <c r="N27" s="42">
        <v>516</v>
      </c>
      <c r="O27" s="43">
        <v>23996</v>
      </c>
      <c r="P27" s="44">
        <v>4900</v>
      </c>
      <c r="Q27" s="44">
        <v>12670.31</v>
      </c>
      <c r="R27" s="45">
        <v>0</v>
      </c>
      <c r="S27" s="46">
        <v>0</v>
      </c>
      <c r="T27" s="39">
        <f t="shared" si="19"/>
        <v>15</v>
      </c>
      <c r="U27" s="47">
        <f t="shared" si="20"/>
        <v>1.0102391047969124E-2</v>
      </c>
      <c r="V27" s="48">
        <f t="shared" si="21"/>
        <v>341</v>
      </c>
      <c r="W27" s="49">
        <f t="shared" si="22"/>
        <v>6.7349273653127492E-4</v>
      </c>
      <c r="X27" s="44">
        <f t="shared" si="23"/>
        <v>1748.8843702527156</v>
      </c>
      <c r="Y27" s="44">
        <f t="shared" si="24"/>
        <v>7770.3099999999995</v>
      </c>
      <c r="Z27" s="44">
        <f t="shared" si="25"/>
        <v>7732.5437547478277</v>
      </c>
      <c r="AA27" s="50">
        <f t="shared" si="26"/>
        <v>14419.194370252715</v>
      </c>
      <c r="AB27" s="51">
        <f t="shared" si="27"/>
        <v>7240.2095081908492</v>
      </c>
      <c r="AC27" s="44">
        <f t="shared" si="28"/>
        <v>13501.118324206662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1.0914944041149737</v>
      </c>
      <c r="AG27" s="44">
        <f t="shared" si="31"/>
        <v>26191.499721142907</v>
      </c>
      <c r="AH27" s="52">
        <f>HLOOKUP(I27,ElecAvoidedCostsWOCC!$A$5:$Q$50,T27+1,FALSE)</f>
        <v>1.0914944041149737</v>
      </c>
      <c r="AI27" s="44">
        <f t="shared" si="32"/>
        <v>0</v>
      </c>
      <c r="AJ27" s="44">
        <f t="shared" si="33"/>
        <v>26191.499721142907</v>
      </c>
      <c r="AK27" s="44">
        <f>HLOOKUP(I27,ElecAvoidedCostsWOCC!$A$5:$Q$50,G27+1,FALSE)*J27*L27</f>
        <v>0</v>
      </c>
      <c r="AL27" s="44">
        <f t="shared" si="34"/>
        <v>26191.499721142907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26191.499721142911</v>
      </c>
      <c r="AN27" s="48">
        <f t="shared" si="35"/>
        <v>28810.649693257204</v>
      </c>
      <c r="AO27" s="47">
        <f t="shared" si="36"/>
        <v>3.6175057768027936</v>
      </c>
      <c r="AP27" s="47">
        <f t="shared" si="37"/>
        <v>2.1339454259579007</v>
      </c>
    </row>
    <row r="28" spans="1:42" ht="13.5" customHeight="1" x14ac:dyDescent="0.35">
      <c r="B28" s="97" t="s">
        <v>62</v>
      </c>
      <c r="C28" s="98">
        <v>18230724</v>
      </c>
      <c r="D28" s="61" t="s">
        <v>131</v>
      </c>
      <c r="E28" s="38" t="s">
        <v>1182</v>
      </c>
      <c r="F28" s="39" t="s">
        <v>1183</v>
      </c>
      <c r="G28" s="39">
        <v>15</v>
      </c>
      <c r="H28" s="39"/>
      <c r="I28" s="40" t="s">
        <v>262</v>
      </c>
      <c r="J28" s="41">
        <v>3</v>
      </c>
      <c r="K28" s="41">
        <v>1230</v>
      </c>
      <c r="L28" s="41"/>
      <c r="M28" s="42">
        <v>250</v>
      </c>
      <c r="N28" s="42">
        <v>677</v>
      </c>
      <c r="O28" s="43">
        <v>3690</v>
      </c>
      <c r="P28" s="44">
        <v>423.34</v>
      </c>
      <c r="Q28" s="44">
        <v>423.34</v>
      </c>
      <c r="R28" s="45">
        <v>0</v>
      </c>
      <c r="S28" s="46">
        <v>0</v>
      </c>
      <c r="T28" s="39">
        <f t="shared" si="19"/>
        <v>15</v>
      </c>
      <c r="U28" s="47">
        <f t="shared" si="20"/>
        <v>1.5535015405486778E-3</v>
      </c>
      <c r="V28" s="48">
        <f t="shared" si="21"/>
        <v>427</v>
      </c>
      <c r="W28" s="49">
        <f t="shared" si="22"/>
        <v>1.0356676936991185E-4</v>
      </c>
      <c r="X28" s="44">
        <f t="shared" si="23"/>
        <v>268.93579455878148</v>
      </c>
      <c r="Y28" s="44">
        <f t="shared" si="24"/>
        <v>0</v>
      </c>
      <c r="Z28" s="44">
        <f t="shared" si="25"/>
        <v>1189.0767817561045</v>
      </c>
      <c r="AA28" s="50">
        <f t="shared" si="26"/>
        <v>692.2757945587814</v>
      </c>
      <c r="AB28" s="51">
        <f t="shared" si="27"/>
        <v>1113.3677731798732</v>
      </c>
      <c r="AC28" s="44">
        <f t="shared" si="28"/>
        <v>648.19830951196752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1.0914944041149737</v>
      </c>
      <c r="AG28" s="44">
        <f t="shared" si="31"/>
        <v>4027.6143511842533</v>
      </c>
      <c r="AH28" s="52">
        <f>HLOOKUP(I28,ElecAvoidedCostsWOCC!$A$5:$Q$50,T28+1,FALSE)</f>
        <v>1.0914944041149737</v>
      </c>
      <c r="AI28" s="44">
        <f t="shared" si="32"/>
        <v>0</v>
      </c>
      <c r="AJ28" s="44">
        <f t="shared" si="33"/>
        <v>4027.6143511842533</v>
      </c>
      <c r="AK28" s="44">
        <f>HLOOKUP(I28,ElecAvoidedCostsWOCC!$A$5:$Q$50,G28+1,FALSE)*J28*L28</f>
        <v>0</v>
      </c>
      <c r="AL28" s="44">
        <f t="shared" si="34"/>
        <v>4027.6143511842533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4027.6143511842529</v>
      </c>
      <c r="AN28" s="48">
        <f t="shared" si="35"/>
        <v>4430.3757863026785</v>
      </c>
      <c r="AO28" s="47">
        <f t="shared" si="36"/>
        <v>3.6175057768027927</v>
      </c>
      <c r="AP28" s="47">
        <f t="shared" si="37"/>
        <v>6.8349079614822443</v>
      </c>
    </row>
    <row r="29" spans="1:42" x14ac:dyDescent="0.35">
      <c r="B29" s="97" t="s">
        <v>62</v>
      </c>
      <c r="C29" s="98">
        <v>18230724</v>
      </c>
      <c r="D29" s="61" t="s">
        <v>131</v>
      </c>
      <c r="E29" s="38" t="s">
        <v>1184</v>
      </c>
      <c r="F29" s="39" t="s">
        <v>1185</v>
      </c>
      <c r="G29" s="39">
        <v>15</v>
      </c>
      <c r="H29" s="39"/>
      <c r="I29" s="40" t="s">
        <v>262</v>
      </c>
      <c r="J29" s="41">
        <v>10</v>
      </c>
      <c r="K29" s="41">
        <v>3204</v>
      </c>
      <c r="L29" s="41"/>
      <c r="M29" s="42">
        <v>645</v>
      </c>
      <c r="N29" s="42">
        <v>1203</v>
      </c>
      <c r="O29" s="43">
        <v>32040</v>
      </c>
      <c r="P29" s="44">
        <v>3876.3</v>
      </c>
      <c r="Q29" s="44">
        <v>3876.3</v>
      </c>
      <c r="R29" s="45">
        <v>0</v>
      </c>
      <c r="S29" s="46">
        <v>0</v>
      </c>
      <c r="T29" s="39">
        <f t="shared" si="19"/>
        <v>15</v>
      </c>
      <c r="U29" s="47">
        <f t="shared" si="20"/>
        <v>1.3488940205739737E-2</v>
      </c>
      <c r="V29" s="48">
        <f t="shared" si="21"/>
        <v>558</v>
      </c>
      <c r="W29" s="49">
        <f t="shared" si="22"/>
        <v>8.9926268038264916E-4</v>
      </c>
      <c r="X29" s="44">
        <f t="shared" si="23"/>
        <v>2335.1498259250293</v>
      </c>
      <c r="Y29" s="44">
        <f t="shared" si="24"/>
        <v>0</v>
      </c>
      <c r="Z29" s="44">
        <f t="shared" si="25"/>
        <v>10324.666690370079</v>
      </c>
      <c r="AA29" s="50">
        <f t="shared" si="26"/>
        <v>6211.4498259250295</v>
      </c>
      <c r="AB29" s="51">
        <f t="shared" si="27"/>
        <v>9667.2909085862157</v>
      </c>
      <c r="AC29" s="44">
        <f t="shared" si="28"/>
        <v>5815.9642564841097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1.0914944041149737</v>
      </c>
      <c r="AG29" s="44">
        <f t="shared" si="31"/>
        <v>34971.480707843752</v>
      </c>
      <c r="AH29" s="52">
        <f>HLOOKUP(I29,ElecAvoidedCostsWOCC!$A$5:$Q$50,T29+1,FALSE)</f>
        <v>1.0914944041149737</v>
      </c>
      <c r="AI29" s="44">
        <f t="shared" si="32"/>
        <v>0</v>
      </c>
      <c r="AJ29" s="44">
        <f t="shared" si="33"/>
        <v>34971.480707843752</v>
      </c>
      <c r="AK29" s="44">
        <f>HLOOKUP(I29,ElecAvoidedCostsWOCC!$A$5:$Q$50,G29+1,FALSE)*J29*L29</f>
        <v>0</v>
      </c>
      <c r="AL29" s="44">
        <f t="shared" si="34"/>
        <v>34971.480707843752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34971.480707843759</v>
      </c>
      <c r="AN29" s="48">
        <f t="shared" si="35"/>
        <v>38468.628778628139</v>
      </c>
      <c r="AO29" s="47">
        <f t="shared" si="36"/>
        <v>3.6175057768027932</v>
      </c>
      <c r="AP29" s="47">
        <f t="shared" si="37"/>
        <v>6.6143165745456889</v>
      </c>
    </row>
    <row r="30" spans="1:42" x14ac:dyDescent="0.35">
      <c r="B30" s="97" t="s">
        <v>62</v>
      </c>
      <c r="C30" s="98">
        <v>18230724</v>
      </c>
      <c r="D30" s="61" t="s">
        <v>131</v>
      </c>
      <c r="E30" s="38" t="s">
        <v>1186</v>
      </c>
      <c r="F30" s="39" t="s">
        <v>1187</v>
      </c>
      <c r="G30" s="39">
        <v>14</v>
      </c>
      <c r="H30" s="39"/>
      <c r="I30" s="40" t="s">
        <v>262</v>
      </c>
      <c r="J30" s="41">
        <v>1</v>
      </c>
      <c r="K30" s="41">
        <v>3201</v>
      </c>
      <c r="L30" s="41"/>
      <c r="M30" s="42"/>
      <c r="N30" s="42"/>
      <c r="O30" s="43">
        <v>3201</v>
      </c>
      <c r="P30" s="44">
        <v>672</v>
      </c>
      <c r="Q30" s="44">
        <v>17621</v>
      </c>
      <c r="R30" s="45"/>
      <c r="S30" s="46"/>
      <c r="T30" s="39">
        <f t="shared" si="19"/>
        <v>14</v>
      </c>
      <c r="U30" s="47">
        <f t="shared" si="20"/>
        <v>1.2577889437786528E-3</v>
      </c>
      <c r="V30" s="48">
        <f t="shared" si="21"/>
        <v>0</v>
      </c>
      <c r="W30" s="49">
        <f t="shared" si="22"/>
        <v>8.9842067412760918E-5</v>
      </c>
      <c r="X30" s="44">
        <f t="shared" si="23"/>
        <v>233.29633560505678</v>
      </c>
      <c r="Y30" s="44">
        <f t="shared" si="24"/>
        <v>16949</v>
      </c>
      <c r="Z30" s="44">
        <f t="shared" si="25"/>
        <v>1031.4999399461492</v>
      </c>
      <c r="AA30" s="50">
        <f t="shared" si="26"/>
        <v>17854.296335605057</v>
      </c>
      <c r="AB30" s="51">
        <f t="shared" si="27"/>
        <v>965.82391380725574</v>
      </c>
      <c r="AC30" s="44">
        <f t="shared" si="28"/>
        <v>16717.505932214473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1.0344437420326877</v>
      </c>
      <c r="AG30" s="44">
        <f t="shared" si="31"/>
        <v>3311.2544182466336</v>
      </c>
      <c r="AH30" s="52">
        <f>HLOOKUP(I30,ElecAvoidedCostsWOCC!$A$5:$Q$50,T30+1,FALSE)</f>
        <v>1.0344437420326877</v>
      </c>
      <c r="AI30" s="44">
        <f t="shared" si="32"/>
        <v>0</v>
      </c>
      <c r="AJ30" s="44">
        <f t="shared" si="33"/>
        <v>3311.2544182466336</v>
      </c>
      <c r="AK30" s="44">
        <f>HLOOKUP(I30,ElecAvoidedCostsWOCC!$A$5:$Q$50,G30+1,FALSE)*J30*L30</f>
        <v>0</v>
      </c>
      <c r="AL30" s="44">
        <f t="shared" si="34"/>
        <v>3311.2544182466336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3311.2544182466336</v>
      </c>
      <c r="AN30" s="48">
        <f t="shared" si="35"/>
        <v>3642.3798600712971</v>
      </c>
      <c r="AO30" s="47">
        <f t="shared" si="36"/>
        <v>3.4284245512142526</v>
      </c>
      <c r="AP30" s="47">
        <f t="shared" si="37"/>
        <v>0.21787818558822616</v>
      </c>
    </row>
    <row r="31" spans="1:42" x14ac:dyDescent="0.35">
      <c r="B31" s="97" t="s">
        <v>62</v>
      </c>
      <c r="C31" s="98">
        <v>18230724</v>
      </c>
      <c r="D31" s="61" t="s">
        <v>131</v>
      </c>
      <c r="E31" s="38" t="s">
        <v>1186</v>
      </c>
      <c r="F31" s="39" t="s">
        <v>1187</v>
      </c>
      <c r="G31" s="39">
        <v>15</v>
      </c>
      <c r="H31" s="39"/>
      <c r="I31" s="40" t="s">
        <v>262</v>
      </c>
      <c r="J31" s="41">
        <v>1</v>
      </c>
      <c r="K31" s="41">
        <v>547522</v>
      </c>
      <c r="L31" s="41"/>
      <c r="M31" s="42"/>
      <c r="N31" s="42"/>
      <c r="O31" s="43">
        <v>547522</v>
      </c>
      <c r="P31" s="44">
        <v>193341</v>
      </c>
      <c r="Q31" s="44">
        <v>344443</v>
      </c>
      <c r="R31" s="45"/>
      <c r="S31" s="46"/>
      <c r="T31" s="39">
        <f t="shared" si="19"/>
        <v>15</v>
      </c>
      <c r="U31" s="47">
        <f t="shared" si="20"/>
        <v>0.23050847438598729</v>
      </c>
      <c r="V31" s="48">
        <f t="shared" si="21"/>
        <v>0</v>
      </c>
      <c r="W31" s="49">
        <f t="shared" si="22"/>
        <v>1.5367231625732485E-2</v>
      </c>
      <c r="X31" s="44">
        <f t="shared" si="23"/>
        <v>39904.678620166167</v>
      </c>
      <c r="Y31" s="44">
        <f t="shared" si="24"/>
        <v>151102</v>
      </c>
      <c r="Z31" s="44">
        <f t="shared" si="25"/>
        <v>176435.14842836474</v>
      </c>
      <c r="AA31" s="50">
        <f t="shared" si="26"/>
        <v>384347.67862016615</v>
      </c>
      <c r="AB31" s="51">
        <f t="shared" si="27"/>
        <v>165201.44983929282</v>
      </c>
      <c r="AC31" s="44">
        <f t="shared" si="28"/>
        <v>359876.10357693455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1.0914944041149737</v>
      </c>
      <c r="AG31" s="44">
        <f t="shared" si="31"/>
        <v>597617.19912983861</v>
      </c>
      <c r="AH31" s="52">
        <f>HLOOKUP(I31,ElecAvoidedCostsWOCC!$A$5:$Q$50,T31+1,FALSE)</f>
        <v>1.0914944041149737</v>
      </c>
      <c r="AI31" s="44">
        <f t="shared" si="32"/>
        <v>0</v>
      </c>
      <c r="AJ31" s="44">
        <f t="shared" si="33"/>
        <v>597617.19912983861</v>
      </c>
      <c r="AK31" s="44">
        <f>HLOOKUP(I31,ElecAvoidedCostsWOCC!$A$5:$Q$50,G31+1,FALSE)*J31*L31</f>
        <v>0</v>
      </c>
      <c r="AL31" s="44">
        <f t="shared" si="34"/>
        <v>597617.19912983861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597617.19912983861</v>
      </c>
      <c r="AN31" s="48">
        <f t="shared" si="35"/>
        <v>657378.91904282256</v>
      </c>
      <c r="AO31" s="47">
        <f t="shared" si="36"/>
        <v>3.6175057768027927</v>
      </c>
      <c r="AP31" s="47">
        <f t="shared" si="37"/>
        <v>1.8266812175326548</v>
      </c>
    </row>
    <row r="32" spans="1:42" x14ac:dyDescent="0.35">
      <c r="B32" s="97" t="s">
        <v>62</v>
      </c>
      <c r="C32" s="98">
        <v>18230724</v>
      </c>
      <c r="D32" s="61" t="s">
        <v>131</v>
      </c>
      <c r="E32" s="38" t="s">
        <v>1188</v>
      </c>
      <c r="F32" s="39" t="s">
        <v>1189</v>
      </c>
      <c r="G32" s="39"/>
      <c r="H32" s="39"/>
      <c r="I32" s="40"/>
      <c r="J32" s="41">
        <v>3371951</v>
      </c>
      <c r="K32" s="41">
        <v>0</v>
      </c>
      <c r="L32" s="41"/>
      <c r="M32" s="42">
        <v>0.01</v>
      </c>
      <c r="N32" s="42">
        <v>0</v>
      </c>
      <c r="O32" s="43">
        <v>0</v>
      </c>
      <c r="P32" s="44">
        <v>33719.51</v>
      </c>
      <c r="Q32" s="44">
        <v>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-0.01</v>
      </c>
      <c r="W32" s="49">
        <f t="shared" si="22"/>
        <v>0</v>
      </c>
      <c r="X32" s="44">
        <f t="shared" si="23"/>
        <v>0</v>
      </c>
      <c r="Y32" s="44">
        <f t="shared" si="24"/>
        <v>-33719.51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62</v>
      </c>
      <c r="C33" s="98">
        <v>18230724</v>
      </c>
      <c r="D33" s="61" t="s">
        <v>131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97" t="s">
        <v>62</v>
      </c>
      <c r="C34" s="98">
        <v>18230724</v>
      </c>
      <c r="D34" s="61" t="s">
        <v>131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97" t="s">
        <v>62</v>
      </c>
      <c r="C35" s="98">
        <v>18230724</v>
      </c>
      <c r="D35" s="61" t="s">
        <v>131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97" t="s">
        <v>62</v>
      </c>
      <c r="C36" s="98">
        <v>18230724</v>
      </c>
      <c r="D36" s="61" t="s">
        <v>131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67 R5:S67">
    <cfRule type="expression" dxfId="252" priority="2">
      <formula>ISTEXT(M5)</formula>
    </cfRule>
  </conditionalFormatting>
  <conditionalFormatting sqref="M5:N67 R5:S67">
    <cfRule type="notContainsBlanks" dxfId="251" priority="3">
      <formula>LEN(TRIM(M5))&gt;0</formula>
    </cfRule>
  </conditionalFormatting>
  <conditionalFormatting sqref="R5:S67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D14" sqref="D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" customWidth="1"/>
    <col min="13" max="14" width="12.7265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18231137</v>
      </c>
      <c r="D2" s="20" t="s">
        <v>94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100">
        <v>18231137</v>
      </c>
      <c r="D5" s="100" t="s">
        <v>94</v>
      </c>
      <c r="E5" s="38" t="s">
        <v>1128</v>
      </c>
      <c r="F5" s="39" t="s">
        <v>1129</v>
      </c>
      <c r="G5" s="39">
        <v>15</v>
      </c>
      <c r="H5" s="39"/>
      <c r="I5" s="40" t="s">
        <v>261</v>
      </c>
      <c r="J5" s="41">
        <v>1</v>
      </c>
      <c r="K5" s="41">
        <v>42453</v>
      </c>
      <c r="L5" s="41"/>
      <c r="M5" s="42">
        <v>7669</v>
      </c>
      <c r="N5" s="42">
        <v>11964</v>
      </c>
      <c r="O5" s="43">
        <v>42453</v>
      </c>
      <c r="P5" s="44">
        <v>7669</v>
      </c>
      <c r="Q5" s="44">
        <v>11964</v>
      </c>
      <c r="R5" s="45"/>
      <c r="S5" s="46"/>
      <c r="T5" s="39">
        <f t="shared" ref="T5:T24" si="0">G5+H5</f>
        <v>15</v>
      </c>
      <c r="U5" s="47">
        <f t="shared" ref="U5:U24" si="1">(O5/$A$10)*T5</f>
        <v>0.15772688216733499</v>
      </c>
      <c r="V5" s="48">
        <f t="shared" ref="V5:V24" si="2">N5-M5</f>
        <v>4295</v>
      </c>
      <c r="W5" s="49">
        <f t="shared" ref="W5:W24" si="3">(O5/A$10)</f>
        <v>1.0515125477822332E-2</v>
      </c>
      <c r="X5" s="44">
        <f t="shared" ref="X5:X24" si="4">W5*A$8</f>
        <v>6212.7668318370052</v>
      </c>
      <c r="Y5" s="44">
        <f t="shared" ref="Y5:Y24" si="5">Q5-P5</f>
        <v>4295</v>
      </c>
      <c r="Z5" s="44">
        <f t="shared" ref="Z5:Z24" si="6">X5+(A$6*W5)</f>
        <v>15369.537464703752</v>
      </c>
      <c r="AA5" s="50">
        <f t="shared" ref="AA5:AA24" si="7">Q5+X5</f>
        <v>18176.766831837005</v>
      </c>
      <c r="AB5" s="51">
        <f t="shared" ref="AB5:AC20" si="8">Z5/(1+ElecDiscountRate)^1</f>
        <v>14390.952682306883</v>
      </c>
      <c r="AC5" s="44">
        <f t="shared" si="8"/>
        <v>17019.444599098319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1.0763668537425979</v>
      </c>
      <c r="AG5" s="44">
        <f t="shared" ref="AG5:AG24" si="10">AF5*J5*K5</f>
        <v>45695.002041934509</v>
      </c>
      <c r="AH5" s="52">
        <f>HLOOKUP(I5,ElecAvoidedCostsWOCC!$A$5:$Q$50,T5+1,FALSE)</f>
        <v>1.0763668537425979</v>
      </c>
      <c r="AI5" s="44">
        <f t="shared" ref="AI5:AI24" si="11">AH5*J5*L5</f>
        <v>0</v>
      </c>
      <c r="AJ5" s="44">
        <f>AG5+AI5</f>
        <v>45695.002041934509</v>
      </c>
      <c r="AK5" s="44">
        <f>HLOOKUP(I5,ElecAvoidedCostsWOCC!$A$5:$Q$50,G5+1,FALSE)*J5*L5</f>
        <v>0</v>
      </c>
      <c r="AL5" s="44">
        <f>AG5+AI5-AK5</f>
        <v>45695.002041934509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45695.002041934509</v>
      </c>
      <c r="AN5" s="48">
        <f>AM5*1.1+AD5+AE5</f>
        <v>50264.502246127966</v>
      </c>
      <c r="AO5" s="47">
        <f>IFERROR(AM5/AB5,0)</f>
        <v>3.1752590013109234</v>
      </c>
      <c r="AP5" s="47">
        <f>AN5/AC5</f>
        <v>2.9533573762325331</v>
      </c>
    </row>
    <row r="6" spans="1:42" ht="13.5" customHeight="1" x14ac:dyDescent="0.35">
      <c r="A6" s="53">
        <f>SUMIF('Program Costs'!D:D,C2,'Program Costs'!L:L)</f>
        <v>870818.96</v>
      </c>
      <c r="B6" s="97" t="s">
        <v>62</v>
      </c>
      <c r="C6" s="100">
        <v>18231137</v>
      </c>
      <c r="D6" s="100" t="s">
        <v>94</v>
      </c>
      <c r="E6" s="38" t="s">
        <v>1140</v>
      </c>
      <c r="F6" s="39" t="s">
        <v>1141</v>
      </c>
      <c r="G6" s="39">
        <v>15</v>
      </c>
      <c r="H6" s="39"/>
      <c r="I6" s="40" t="s">
        <v>261</v>
      </c>
      <c r="J6" s="41">
        <v>1</v>
      </c>
      <c r="K6" s="41">
        <v>101626</v>
      </c>
      <c r="L6" s="41"/>
      <c r="M6" s="42">
        <v>35844</v>
      </c>
      <c r="N6" s="42">
        <v>64100</v>
      </c>
      <c r="O6" s="43">
        <v>101626</v>
      </c>
      <c r="P6" s="44">
        <v>35844</v>
      </c>
      <c r="Q6" s="44">
        <v>64100</v>
      </c>
      <c r="R6" s="45"/>
      <c r="S6" s="46"/>
      <c r="T6" s="39">
        <f t="shared" si="0"/>
        <v>15</v>
      </c>
      <c r="U6" s="47">
        <f t="shared" si="1"/>
        <v>0.37757407314294827</v>
      </c>
      <c r="V6" s="48">
        <f t="shared" si="2"/>
        <v>28256</v>
      </c>
      <c r="W6" s="49">
        <f t="shared" si="3"/>
        <v>2.5171604876196553E-2</v>
      </c>
      <c r="X6" s="44">
        <f t="shared" si="4"/>
        <v>14872.415189792651</v>
      </c>
      <c r="Y6" s="44">
        <f t="shared" si="5"/>
        <v>28256</v>
      </c>
      <c r="Z6" s="44">
        <f t="shared" si="6"/>
        <v>36792.325969613063</v>
      </c>
      <c r="AA6" s="50">
        <f t="shared" si="7"/>
        <v>78972.415189792649</v>
      </c>
      <c r="AB6" s="51">
        <f t="shared" si="8"/>
        <v>34449.743417240694</v>
      </c>
      <c r="AC6" s="44">
        <f t="shared" si="8"/>
        <v>73944.208979206596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109386.85787844525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109386.85787844525</v>
      </c>
      <c r="AK6" s="44">
        <f>HLOOKUP(I6,ElecAvoidedCostsWOCC!$A$5:$Q$50,G6+1,FALSE)*J6*L6</f>
        <v>0</v>
      </c>
      <c r="AL6" s="44">
        <f t="shared" ref="AL6:AL24" si="13">AG6+AI6-AK6</f>
        <v>109386.85787844525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109386.85787844525</v>
      </c>
      <c r="AN6" s="48">
        <f t="shared" ref="AN6:AN24" si="14">AM6*1.1+AD6+AE6</f>
        <v>120325.54366628978</v>
      </c>
      <c r="AO6" s="47">
        <f t="shared" ref="AO6:AO24" si="15">IFERROR(AM6/AB6,0)</f>
        <v>3.1752590013109239</v>
      </c>
      <c r="AP6" s="47">
        <f t="shared" ref="AP6:AP24" si="16">AN6/AC6</f>
        <v>1.6272476956258441</v>
      </c>
    </row>
    <row r="7" spans="1:42" ht="13.5" customHeight="1" x14ac:dyDescent="0.35">
      <c r="A7" s="36" t="s">
        <v>240</v>
      </c>
      <c r="B7" s="97" t="s">
        <v>62</v>
      </c>
      <c r="C7" s="100">
        <v>18231137</v>
      </c>
      <c r="D7" s="100" t="s">
        <v>94</v>
      </c>
      <c r="E7" s="38" t="s">
        <v>1146</v>
      </c>
      <c r="F7" s="39" t="s">
        <v>1147</v>
      </c>
      <c r="G7" s="39">
        <v>20</v>
      </c>
      <c r="H7" s="39"/>
      <c r="I7" s="40" t="s">
        <v>265</v>
      </c>
      <c r="J7" s="41">
        <v>1</v>
      </c>
      <c r="K7" s="41">
        <v>576058</v>
      </c>
      <c r="L7" s="41"/>
      <c r="M7" s="42">
        <v>288029</v>
      </c>
      <c r="N7" s="42">
        <v>446791</v>
      </c>
      <c r="O7" s="43">
        <v>576058</v>
      </c>
      <c r="P7" s="44">
        <v>288029</v>
      </c>
      <c r="Q7" s="44">
        <v>446791</v>
      </c>
      <c r="R7" s="45"/>
      <c r="S7" s="46"/>
      <c r="T7" s="39">
        <f t="shared" si="0"/>
        <v>20</v>
      </c>
      <c r="U7" s="47">
        <f t="shared" si="1"/>
        <v>2.8536603549823929</v>
      </c>
      <c r="V7" s="48">
        <f t="shared" si="2"/>
        <v>158762</v>
      </c>
      <c r="W7" s="49">
        <f t="shared" si="3"/>
        <v>0.14268301774911965</v>
      </c>
      <c r="X7" s="44">
        <f t="shared" si="4"/>
        <v>84302.971182586887</v>
      </c>
      <c r="Y7" s="44">
        <f t="shared" si="5"/>
        <v>158762</v>
      </c>
      <c r="Z7" s="44">
        <f t="shared" si="6"/>
        <v>208554.04830853682</v>
      </c>
      <c r="AA7" s="50">
        <f t="shared" si="7"/>
        <v>531093.97118258686</v>
      </c>
      <c r="AB7" s="51">
        <f t="shared" si="8"/>
        <v>195275.32613158878</v>
      </c>
      <c r="AC7" s="44">
        <f t="shared" si="8"/>
        <v>497278.99923463189</v>
      </c>
      <c r="AD7" s="44">
        <f t="shared" si="9"/>
        <v>0</v>
      </c>
      <c r="AE7" s="44">
        <v>0</v>
      </c>
      <c r="AF7" s="52">
        <f>HLOOKUP(I7,ElecAvoidedCostsWOCC!$A$5:$Q$50,G7+1,FALSE)</f>
        <v>1.336812363712726</v>
      </c>
      <c r="AG7" s="44">
        <f t="shared" si="10"/>
        <v>770081.45661562553</v>
      </c>
      <c r="AH7" s="52">
        <f>HLOOKUP(I7,ElecAvoidedCostsWOCC!$A$5:$Q$50,T7+1,FALSE)</f>
        <v>1.336812363712726</v>
      </c>
      <c r="AI7" s="44">
        <f t="shared" si="11"/>
        <v>0</v>
      </c>
      <c r="AJ7" s="44">
        <f t="shared" si="12"/>
        <v>770081.45661562553</v>
      </c>
      <c r="AK7" s="44">
        <f>HLOOKUP(I7,ElecAvoidedCostsWOCC!$A$5:$Q$50,G7+1,FALSE)*J7*L7</f>
        <v>0</v>
      </c>
      <c r="AL7" s="44">
        <f t="shared" si="13"/>
        <v>770081.45661562553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770081.45661562553</v>
      </c>
      <c r="AN7" s="48">
        <f t="shared" si="14"/>
        <v>847089.6022771881</v>
      </c>
      <c r="AO7" s="47">
        <f t="shared" si="15"/>
        <v>3.9435676379139486</v>
      </c>
      <c r="AP7" s="47">
        <f t="shared" si="16"/>
        <v>1.7034493786806881</v>
      </c>
    </row>
    <row r="8" spans="1:42" ht="13.5" customHeight="1" x14ac:dyDescent="0.35">
      <c r="A8" s="53">
        <f>SUMIF('Program Costs'!D:D,C2,'Program Costs'!O:O)</f>
        <v>590840.96</v>
      </c>
      <c r="B8" s="97" t="s">
        <v>62</v>
      </c>
      <c r="C8" s="100">
        <v>18231137</v>
      </c>
      <c r="D8" s="100" t="s">
        <v>94</v>
      </c>
      <c r="E8" s="38" t="s">
        <v>1150</v>
      </c>
      <c r="F8" s="39" t="s">
        <v>1151</v>
      </c>
      <c r="G8" s="39">
        <v>15</v>
      </c>
      <c r="H8" s="39"/>
      <c r="I8" s="40" t="s">
        <v>261</v>
      </c>
      <c r="J8" s="41">
        <v>1</v>
      </c>
      <c r="K8" s="41">
        <v>139911</v>
      </c>
      <c r="L8" s="41"/>
      <c r="M8" s="42">
        <v>39910</v>
      </c>
      <c r="N8" s="42">
        <v>57014</v>
      </c>
      <c r="O8" s="43">
        <v>139911</v>
      </c>
      <c r="P8" s="44">
        <v>39910</v>
      </c>
      <c r="Q8" s="44">
        <v>57014</v>
      </c>
      <c r="R8" s="45"/>
      <c r="S8" s="46"/>
      <c r="T8" s="39">
        <f t="shared" si="0"/>
        <v>15</v>
      </c>
      <c r="U8" s="47">
        <f t="shared" si="1"/>
        <v>0.51981546206190388</v>
      </c>
      <c r="V8" s="48">
        <f t="shared" si="2"/>
        <v>17104</v>
      </c>
      <c r="W8" s="49">
        <f t="shared" si="3"/>
        <v>3.4654364137460258E-2</v>
      </c>
      <c r="X8" s="44">
        <f t="shared" si="4"/>
        <v>20475.217775166591</v>
      </c>
      <c r="Y8" s="44">
        <f t="shared" si="5"/>
        <v>17104</v>
      </c>
      <c r="Z8" s="44">
        <f t="shared" si="6"/>
        <v>50652.895112811035</v>
      </c>
      <c r="AA8" s="50">
        <f t="shared" si="7"/>
        <v>77489.217775166588</v>
      </c>
      <c r="AB8" s="51">
        <f t="shared" si="8"/>
        <v>47427.804412744415</v>
      </c>
      <c r="AC8" s="44">
        <f t="shared" si="8"/>
        <v>72555.447355024895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150595.56287398061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150595.56287398061</v>
      </c>
      <c r="AK8" s="44">
        <f>HLOOKUP(I8,ElecAvoidedCostsWOCC!$A$5:$Q$50,G8+1,FALSE)*J8*L8</f>
        <v>0</v>
      </c>
      <c r="AL8" s="44">
        <f t="shared" si="13"/>
        <v>150595.56287398061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150595.56287398061</v>
      </c>
      <c r="AN8" s="48">
        <f t="shared" si="14"/>
        <v>165655.11916137868</v>
      </c>
      <c r="AO8" s="47">
        <f t="shared" si="15"/>
        <v>3.175259001310923</v>
      </c>
      <c r="AP8" s="47">
        <f t="shared" si="16"/>
        <v>2.283152060944547</v>
      </c>
    </row>
    <row r="9" spans="1:42" ht="13.5" customHeight="1" x14ac:dyDescent="0.35">
      <c r="A9" s="36" t="s">
        <v>242</v>
      </c>
      <c r="B9" s="97" t="s">
        <v>62</v>
      </c>
      <c r="C9" s="100">
        <v>18231137</v>
      </c>
      <c r="D9" s="100" t="s">
        <v>94</v>
      </c>
      <c r="E9" s="38" t="s">
        <v>1190</v>
      </c>
      <c r="F9" s="39" t="s">
        <v>1191</v>
      </c>
      <c r="G9" s="39">
        <v>5</v>
      </c>
      <c r="H9" s="39"/>
      <c r="I9" s="40" t="s">
        <v>265</v>
      </c>
      <c r="J9" s="41">
        <v>1</v>
      </c>
      <c r="K9" s="41">
        <v>1069696</v>
      </c>
      <c r="L9" s="41"/>
      <c r="M9" s="42">
        <v>14207</v>
      </c>
      <c r="N9" s="42">
        <v>15716</v>
      </c>
      <c r="O9" s="43">
        <v>1069696</v>
      </c>
      <c r="P9" s="44">
        <v>14207</v>
      </c>
      <c r="Q9" s="44">
        <v>15716</v>
      </c>
      <c r="R9" s="45"/>
      <c r="S9" s="46"/>
      <c r="T9" s="39">
        <f t="shared" si="0"/>
        <v>5</v>
      </c>
      <c r="U9" s="47">
        <f t="shared" si="1"/>
        <v>1.3247576924039097</v>
      </c>
      <c r="V9" s="48">
        <f t="shared" si="2"/>
        <v>1509</v>
      </c>
      <c r="W9" s="49">
        <f t="shared" si="3"/>
        <v>0.26495153848078196</v>
      </c>
      <c r="X9" s="44">
        <f t="shared" si="4"/>
        <v>156544.22134946214</v>
      </c>
      <c r="Y9" s="44">
        <f t="shared" si="5"/>
        <v>1509</v>
      </c>
      <c r="Z9" s="44">
        <f t="shared" si="6"/>
        <v>387269.04453969665</v>
      </c>
      <c r="AA9" s="50">
        <f t="shared" si="7"/>
        <v>172260.22134946214</v>
      </c>
      <c r="AB9" s="51">
        <f t="shared" si="8"/>
        <v>362611.46492480958</v>
      </c>
      <c r="AC9" s="44">
        <f t="shared" si="8"/>
        <v>161292.34208751135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0.39157338275269854</v>
      </c>
      <c r="AG9" s="44">
        <f t="shared" si="10"/>
        <v>418864.48123703065</v>
      </c>
      <c r="AH9" s="52">
        <f>HLOOKUP(I9,ElecAvoidedCostsWOCC!$A$5:$Q$50,T9+1,FALSE)</f>
        <v>0.39157338275269854</v>
      </c>
      <c r="AI9" s="44">
        <f t="shared" si="11"/>
        <v>0</v>
      </c>
      <c r="AJ9" s="44">
        <f t="shared" si="12"/>
        <v>418864.48123703065</v>
      </c>
      <c r="AK9" s="44">
        <f>HLOOKUP(I9,ElecAvoidedCostsWOCC!$A$5:$Q$50,G9+1,FALSE)*J9*L9</f>
        <v>0</v>
      </c>
      <c r="AL9" s="44">
        <f t="shared" si="13"/>
        <v>418864.48123703065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418864.48123703065</v>
      </c>
      <c r="AN9" s="48">
        <f t="shared" si="14"/>
        <v>460750.92936073377</v>
      </c>
      <c r="AO9" s="47">
        <f t="shared" si="15"/>
        <v>1.1551330328837937</v>
      </c>
      <c r="AP9" s="47">
        <f t="shared" si="16"/>
        <v>2.8566199944616533</v>
      </c>
    </row>
    <row r="10" spans="1:42" ht="13.5" customHeight="1" x14ac:dyDescent="0.35">
      <c r="A10" s="54">
        <f>SUM(O5:O999)</f>
        <v>4037327</v>
      </c>
      <c r="B10" s="97" t="s">
        <v>62</v>
      </c>
      <c r="C10" s="100">
        <v>18231137</v>
      </c>
      <c r="D10" s="100" t="s">
        <v>94</v>
      </c>
      <c r="E10" s="38" t="s">
        <v>1192</v>
      </c>
      <c r="F10" s="39" t="s">
        <v>1193</v>
      </c>
      <c r="G10" s="39">
        <v>5</v>
      </c>
      <c r="H10" s="39"/>
      <c r="I10" s="40" t="s">
        <v>261</v>
      </c>
      <c r="J10" s="41">
        <v>1</v>
      </c>
      <c r="K10" s="41">
        <v>250965</v>
      </c>
      <c r="L10" s="41"/>
      <c r="M10" s="42">
        <v>8777</v>
      </c>
      <c r="N10" s="42">
        <v>8777</v>
      </c>
      <c r="O10" s="43">
        <v>250965</v>
      </c>
      <c r="P10" s="44">
        <v>8777</v>
      </c>
      <c r="Q10" s="44">
        <v>8777</v>
      </c>
      <c r="R10" s="45"/>
      <c r="S10" s="46"/>
      <c r="T10" s="39">
        <f t="shared" si="0"/>
        <v>5</v>
      </c>
      <c r="U10" s="47">
        <f t="shared" si="1"/>
        <v>0.31080588716247159</v>
      </c>
      <c r="V10" s="48">
        <f t="shared" si="2"/>
        <v>0</v>
      </c>
      <c r="W10" s="49">
        <f t="shared" si="3"/>
        <v>6.2161177432494323E-2</v>
      </c>
      <c r="X10" s="44">
        <f t="shared" si="4"/>
        <v>36727.369748945275</v>
      </c>
      <c r="Y10" s="44">
        <f t="shared" si="5"/>
        <v>0</v>
      </c>
      <c r="Z10" s="44">
        <f t="shared" si="6"/>
        <v>90858.501633085456</v>
      </c>
      <c r="AA10" s="50">
        <f t="shared" si="7"/>
        <v>45504.369748945275</v>
      </c>
      <c r="AB10" s="51">
        <f t="shared" si="8"/>
        <v>85073.503401765411</v>
      </c>
      <c r="AC10" s="44">
        <f t="shared" si="8"/>
        <v>42607.0877799113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0.39886803421791017</v>
      </c>
      <c r="AG10" s="44">
        <f t="shared" si="10"/>
        <v>100101.91620749782</v>
      </c>
      <c r="AH10" s="52">
        <f>HLOOKUP(I10,ElecAvoidedCostsWOCC!$A$5:$Q$50,T10+1,FALSE)</f>
        <v>0.39886803421791017</v>
      </c>
      <c r="AI10" s="44">
        <f t="shared" si="11"/>
        <v>0</v>
      </c>
      <c r="AJ10" s="44">
        <f t="shared" si="12"/>
        <v>100101.91620749782</v>
      </c>
      <c r="AK10" s="44">
        <f>HLOOKUP(I10,ElecAvoidedCostsWOCC!$A$5:$Q$50,G10+1,FALSE)*J10*L10</f>
        <v>0</v>
      </c>
      <c r="AL10" s="44">
        <f t="shared" si="13"/>
        <v>100101.91620749782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100101.91620749782</v>
      </c>
      <c r="AN10" s="48">
        <f t="shared" si="14"/>
        <v>110112.10782824761</v>
      </c>
      <c r="AO10" s="47">
        <f t="shared" si="15"/>
        <v>1.1766520973605579</v>
      </c>
      <c r="AP10" s="47">
        <f t="shared" si="16"/>
        <v>2.5843612780351553</v>
      </c>
    </row>
    <row r="11" spans="1:42" ht="13.5" customHeight="1" x14ac:dyDescent="0.35">
      <c r="A11" s="36" t="s">
        <v>243</v>
      </c>
      <c r="B11" s="97" t="s">
        <v>62</v>
      </c>
      <c r="C11" s="100">
        <v>18231137</v>
      </c>
      <c r="D11" s="100" t="s">
        <v>94</v>
      </c>
      <c r="E11" s="38" t="s">
        <v>1194</v>
      </c>
      <c r="F11" s="39" t="s">
        <v>1195</v>
      </c>
      <c r="G11" s="39">
        <v>5</v>
      </c>
      <c r="H11" s="39"/>
      <c r="I11" s="40" t="s">
        <v>261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0.39886803421791017</v>
      </c>
      <c r="AG11" s="44">
        <f t="shared" si="10"/>
        <v>0</v>
      </c>
      <c r="AH11" s="52">
        <f>HLOOKUP(I11,ElecAvoidedCostsWOCC!$A$5:$Q$50,T11+1,FALSE)</f>
        <v>0.39886803421791017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451567.84</v>
      </c>
      <c r="B12" s="97" t="s">
        <v>62</v>
      </c>
      <c r="C12" s="100">
        <v>18231137</v>
      </c>
      <c r="D12" s="100" t="s">
        <v>94</v>
      </c>
      <c r="E12" s="38" t="s">
        <v>1196</v>
      </c>
      <c r="F12" s="39" t="s">
        <v>1197</v>
      </c>
      <c r="G12" s="39">
        <v>3</v>
      </c>
      <c r="H12" s="39"/>
      <c r="I12" s="40" t="s">
        <v>261</v>
      </c>
      <c r="J12" s="41">
        <v>1</v>
      </c>
      <c r="K12" s="41">
        <v>1606402</v>
      </c>
      <c r="L12" s="41"/>
      <c r="M12" s="42">
        <v>32127.84</v>
      </c>
      <c r="N12" s="42">
        <v>32127.84</v>
      </c>
      <c r="O12" s="43">
        <v>1606402</v>
      </c>
      <c r="P12" s="44">
        <v>32127.84</v>
      </c>
      <c r="Q12" s="44">
        <v>32127.84</v>
      </c>
      <c r="R12" s="45"/>
      <c r="S12" s="46"/>
      <c r="T12" s="39">
        <f t="shared" si="0"/>
        <v>3</v>
      </c>
      <c r="U12" s="47">
        <f t="shared" si="1"/>
        <v>1.193662539596124</v>
      </c>
      <c r="V12" s="48">
        <f t="shared" si="2"/>
        <v>0</v>
      </c>
      <c r="W12" s="49">
        <f t="shared" si="3"/>
        <v>0.39788751319870796</v>
      </c>
      <c r="X12" s="44">
        <f t="shared" si="4"/>
        <v>235088.24027033726</v>
      </c>
      <c r="Y12" s="44">
        <f t="shared" si="5"/>
        <v>0</v>
      </c>
      <c r="Z12" s="44">
        <f t="shared" si="6"/>
        <v>581576.23071102239</v>
      </c>
      <c r="AA12" s="50">
        <f t="shared" si="7"/>
        <v>267216.08027033729</v>
      </c>
      <c r="AB12" s="51">
        <f t="shared" si="8"/>
        <v>544547.03250095726</v>
      </c>
      <c r="AC12" s="44">
        <f t="shared" si="8"/>
        <v>250202.32235050306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0.24822643794190363</v>
      </c>
      <c r="AG12" s="44">
        <f t="shared" si="10"/>
        <v>398751.44636274991</v>
      </c>
      <c r="AH12" s="52">
        <f>HLOOKUP(I12,ElecAvoidedCostsWOCC!$A$5:$Q$50,T12+1,FALSE)</f>
        <v>0.24822643794190363</v>
      </c>
      <c r="AI12" s="44">
        <f t="shared" si="11"/>
        <v>0</v>
      </c>
      <c r="AJ12" s="44">
        <f t="shared" si="12"/>
        <v>398751.44636274991</v>
      </c>
      <c r="AK12" s="44">
        <f>HLOOKUP(I12,ElecAvoidedCostsWOCC!$A$5:$Q$50,G12+1,FALSE)*J12*L12</f>
        <v>0</v>
      </c>
      <c r="AL12" s="44">
        <f t="shared" si="13"/>
        <v>398751.44636274991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398751.44636274991</v>
      </c>
      <c r="AN12" s="48">
        <f t="shared" si="14"/>
        <v>438626.59099902492</v>
      </c>
      <c r="AO12" s="47">
        <f t="shared" si="15"/>
        <v>0.73226263768510935</v>
      </c>
      <c r="AP12" s="47">
        <f t="shared" si="16"/>
        <v>1.7530876087735203</v>
      </c>
    </row>
    <row r="13" spans="1:42" ht="13.5" customHeight="1" x14ac:dyDescent="0.35">
      <c r="A13" s="56" t="s">
        <v>246</v>
      </c>
      <c r="B13" s="97" t="s">
        <v>62</v>
      </c>
      <c r="C13" s="100">
        <v>18231137</v>
      </c>
      <c r="D13" s="100" t="s">
        <v>94</v>
      </c>
      <c r="E13" s="38" t="s">
        <v>1198</v>
      </c>
      <c r="F13" s="39" t="s">
        <v>1199</v>
      </c>
      <c r="G13" s="39">
        <v>3</v>
      </c>
      <c r="H13" s="39"/>
      <c r="I13" s="40" t="s">
        <v>261</v>
      </c>
      <c r="J13" s="41">
        <v>1</v>
      </c>
      <c r="K13" s="41">
        <v>250216</v>
      </c>
      <c r="L13" s="41"/>
      <c r="M13" s="42">
        <v>5004</v>
      </c>
      <c r="N13" s="42">
        <v>5004</v>
      </c>
      <c r="O13" s="43">
        <v>250216</v>
      </c>
      <c r="P13" s="44">
        <v>5004</v>
      </c>
      <c r="Q13" s="44">
        <v>5004</v>
      </c>
      <c r="R13" s="45"/>
      <c r="S13" s="46"/>
      <c r="T13" s="39">
        <f t="shared" si="0"/>
        <v>3</v>
      </c>
      <c r="U13" s="47">
        <f t="shared" si="1"/>
        <v>0.18592697594225091</v>
      </c>
      <c r="V13" s="48">
        <f t="shared" si="2"/>
        <v>0</v>
      </c>
      <c r="W13" s="49">
        <f t="shared" si="3"/>
        <v>6.197565864741697E-2</v>
      </c>
      <c r="X13" s="44">
        <f t="shared" si="4"/>
        <v>36617.75765187214</v>
      </c>
      <c r="Y13" s="44">
        <f t="shared" si="5"/>
        <v>0</v>
      </c>
      <c r="Z13" s="44">
        <f t="shared" si="6"/>
        <v>90587.336260530792</v>
      </c>
      <c r="AA13" s="50">
        <f t="shared" si="7"/>
        <v>41621.75765187214</v>
      </c>
      <c r="AB13" s="51">
        <f t="shared" si="8"/>
        <v>84819.603240197364</v>
      </c>
      <c r="AC13" s="44">
        <f t="shared" si="8"/>
        <v>38971.683194636833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0.24822643794190363</v>
      </c>
      <c r="AG13" s="44">
        <f t="shared" si="10"/>
        <v>62110.226396071361</v>
      </c>
      <c r="AH13" s="52">
        <f>HLOOKUP(I13,ElecAvoidedCostsWOCC!$A$5:$Q$50,T13+1,FALSE)</f>
        <v>0.24822643794190363</v>
      </c>
      <c r="AI13" s="44">
        <f t="shared" si="11"/>
        <v>0</v>
      </c>
      <c r="AJ13" s="44">
        <f t="shared" si="12"/>
        <v>62110.226396071361</v>
      </c>
      <c r="AK13" s="44">
        <f>HLOOKUP(I13,ElecAvoidedCostsWOCC!$A$5:$Q$50,G13+1,FALSE)*J13*L13</f>
        <v>0</v>
      </c>
      <c r="AL13" s="44">
        <f t="shared" si="13"/>
        <v>62110.226396071361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62110.226396071361</v>
      </c>
      <c r="AN13" s="48">
        <f t="shared" si="14"/>
        <v>68321.249035678498</v>
      </c>
      <c r="AO13" s="47">
        <f t="shared" si="15"/>
        <v>0.73226263768510924</v>
      </c>
      <c r="AP13" s="47">
        <f t="shared" si="16"/>
        <v>1.753099774891957</v>
      </c>
    </row>
    <row r="14" spans="1:42" ht="13.5" customHeight="1" x14ac:dyDescent="0.35">
      <c r="A14" s="55">
        <f>SUM(Y5:Y1000)</f>
        <v>209926</v>
      </c>
      <c r="B14" s="97" t="s">
        <v>62</v>
      </c>
      <c r="C14" s="100">
        <v>18231137</v>
      </c>
      <c r="D14" s="100" t="s">
        <v>94</v>
      </c>
      <c r="E14" s="38" t="s">
        <v>1200</v>
      </c>
      <c r="F14" s="39" t="s">
        <v>1201</v>
      </c>
      <c r="G14" s="39">
        <v>0</v>
      </c>
      <c r="H14" s="39"/>
      <c r="I14" s="40" t="s">
        <v>261</v>
      </c>
      <c r="J14" s="41">
        <v>1</v>
      </c>
      <c r="K14" s="41">
        <v>0</v>
      </c>
      <c r="L14" s="41"/>
      <c r="M14" s="42">
        <v>5000</v>
      </c>
      <c r="N14" s="42">
        <v>5000</v>
      </c>
      <c r="O14" s="43">
        <v>0</v>
      </c>
      <c r="P14" s="44">
        <v>5000</v>
      </c>
      <c r="Q14" s="44">
        <v>5000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5000</v>
      </c>
      <c r="AB14" s="51">
        <f t="shared" si="8"/>
        <v>0</v>
      </c>
      <c r="AC14" s="44">
        <f t="shared" si="8"/>
        <v>4681.6479400749058</v>
      </c>
      <c r="AD14" s="44">
        <f t="shared" si="9"/>
        <v>0</v>
      </c>
      <c r="AE14" s="44">
        <f t="shared" si="17"/>
        <v>0</v>
      </c>
      <c r="AF14" s="52" t="str">
        <f>HLOOKUP(I14,ElecAvoidedCostsWOCC!$A$5:$Q$50,G14+1,FALSE)</f>
        <v>Comm Flat</v>
      </c>
      <c r="AG14" s="44" t="e">
        <f t="shared" si="10"/>
        <v>#VALUE!</v>
      </c>
      <c r="AH14" s="52" t="str">
        <f>HLOOKUP(I14,ElecAvoidedCostsWOCC!$A$5:$Q$50,T14+1,FALSE)</f>
        <v>Comm Flat</v>
      </c>
      <c r="AI14" s="44" t="e">
        <f t="shared" si="11"/>
        <v>#VALUE!</v>
      </c>
      <c r="AJ14" s="44" t="e">
        <f t="shared" si="12"/>
        <v>#VALUE!</v>
      </c>
      <c r="AK14" s="44" t="e">
        <f>HLOOKUP(I14,ElecAvoidedCostsWOCC!$A$5:$Q$50,G14+1,FALSE)*J14*L14</f>
        <v>#VALUE!</v>
      </c>
      <c r="AL14" s="44" t="e">
        <f t="shared" si="13"/>
        <v>#VALUE!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 x14ac:dyDescent="0.35">
      <c r="A15" s="57" t="s">
        <v>249</v>
      </c>
      <c r="B15" s="37"/>
      <c r="E15" s="38" t="s">
        <v>1200</v>
      </c>
      <c r="F15" s="39" t="s">
        <v>1201</v>
      </c>
      <c r="G15" s="39">
        <v>0</v>
      </c>
      <c r="H15" s="39"/>
      <c r="I15" s="40" t="s">
        <v>261</v>
      </c>
      <c r="J15" s="41">
        <v>1</v>
      </c>
      <c r="K15" s="41">
        <v>0</v>
      </c>
      <c r="L15" s="41"/>
      <c r="M15" s="42">
        <v>1000</v>
      </c>
      <c r="N15" s="42">
        <v>1000</v>
      </c>
      <c r="O15" s="43">
        <v>0</v>
      </c>
      <c r="P15" s="44">
        <v>1000</v>
      </c>
      <c r="Q15" s="44">
        <v>1000</v>
      </c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1000</v>
      </c>
      <c r="AB15" s="51">
        <f t="shared" si="8"/>
        <v>0</v>
      </c>
      <c r="AC15" s="44">
        <f t="shared" si="8"/>
        <v>936.32958801498125</v>
      </c>
      <c r="AD15" s="44">
        <f t="shared" si="9"/>
        <v>0</v>
      </c>
      <c r="AE15" s="44">
        <f t="shared" si="17"/>
        <v>0</v>
      </c>
      <c r="AF15" s="52" t="str">
        <f>HLOOKUP(I15,ElecAvoidedCostsWOCC!$A$5:$Q$50,G15+1,FALSE)</f>
        <v>Comm Flat</v>
      </c>
      <c r="AG15" s="44" t="e">
        <f t="shared" si="10"/>
        <v>#VALUE!</v>
      </c>
      <c r="AH15" s="52" t="str">
        <f>HLOOKUP(I15,ElecAvoidedCostsWOCC!$A$5:$Q$50,T15+1,FALSE)</f>
        <v>Comm Flat</v>
      </c>
      <c r="AI15" s="44" t="e">
        <f t="shared" si="11"/>
        <v>#VALUE!</v>
      </c>
      <c r="AJ15" s="44" t="e">
        <f t="shared" si="12"/>
        <v>#VALUE!</v>
      </c>
      <c r="AK15" s="44" t="e">
        <f>HLOOKUP(I15,ElecAvoidedCostsWOCC!$A$5:$Q$50,G15+1,FALSE)*J15*L15</f>
        <v>#VALUE!</v>
      </c>
      <c r="AL15" s="44" t="e">
        <f t="shared" si="13"/>
        <v>#VALUE!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 x14ac:dyDescent="0.35">
      <c r="A16" s="54">
        <f>SUM(U5:U999)</f>
        <v>6.9239298674593366</v>
      </c>
      <c r="B16" s="37"/>
      <c r="E16" s="38" t="s">
        <v>1200</v>
      </c>
      <c r="F16" s="39" t="s">
        <v>1201</v>
      </c>
      <c r="G16" s="39">
        <v>0</v>
      </c>
      <c r="H16" s="39"/>
      <c r="I16" s="40" t="s">
        <v>261</v>
      </c>
      <c r="J16" s="41">
        <v>1</v>
      </c>
      <c r="K16" s="41">
        <v>0</v>
      </c>
      <c r="L16" s="41"/>
      <c r="M16" s="42">
        <v>1000</v>
      </c>
      <c r="N16" s="42">
        <v>1000</v>
      </c>
      <c r="O16" s="43">
        <v>0</v>
      </c>
      <c r="P16" s="44">
        <v>1000</v>
      </c>
      <c r="Q16" s="44">
        <v>1000</v>
      </c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1000</v>
      </c>
      <c r="AB16" s="51">
        <f t="shared" si="8"/>
        <v>0</v>
      </c>
      <c r="AC16" s="44">
        <f t="shared" si="8"/>
        <v>936.32958801498125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Comm Flat</v>
      </c>
      <c r="AG16" s="44" t="e">
        <f t="shared" si="10"/>
        <v>#VALUE!</v>
      </c>
      <c r="AH16" s="52" t="str">
        <f>HLOOKUP(I16,ElecAvoidedCostsWOCC!$A$5:$Q$50,T16+1,FALSE)</f>
        <v>Comm Flat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37"/>
      <c r="E17" s="38" t="s">
        <v>1200</v>
      </c>
      <c r="F17" s="39" t="s">
        <v>1201</v>
      </c>
      <c r="G17" s="39">
        <v>0</v>
      </c>
      <c r="H17" s="39"/>
      <c r="I17" s="40" t="s">
        <v>261</v>
      </c>
      <c r="J17" s="41">
        <v>1</v>
      </c>
      <c r="K17" s="41">
        <v>0</v>
      </c>
      <c r="L17" s="41"/>
      <c r="M17" s="42">
        <v>3000</v>
      </c>
      <c r="N17" s="42">
        <v>3000</v>
      </c>
      <c r="O17" s="43">
        <v>0</v>
      </c>
      <c r="P17" s="44">
        <v>3000</v>
      </c>
      <c r="Q17" s="44">
        <v>3000</v>
      </c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3000</v>
      </c>
      <c r="AB17" s="51">
        <f t="shared" si="8"/>
        <v>0</v>
      </c>
      <c r="AC17" s="44">
        <f t="shared" si="8"/>
        <v>2808.9887640449438</v>
      </c>
      <c r="AD17" s="44">
        <f t="shared" si="9"/>
        <v>0</v>
      </c>
      <c r="AE17" s="44">
        <f t="shared" si="17"/>
        <v>0</v>
      </c>
      <c r="AF17" s="52" t="str">
        <f>HLOOKUP(I17,ElecAvoidedCostsWOCC!$A$5:$Q$50,G17+1,FALSE)</f>
        <v>Comm Flat</v>
      </c>
      <c r="AG17" s="44" t="e">
        <f t="shared" si="10"/>
        <v>#VALUE!</v>
      </c>
      <c r="AH17" s="52" t="str">
        <f>HLOOKUP(I17,ElecAvoidedCostsWOCC!$A$5:$Q$50,T17+1,FALSE)</f>
        <v>Comm Flat</v>
      </c>
      <c r="AI17" s="44" t="e">
        <f t="shared" si="11"/>
        <v>#VALUE!</v>
      </c>
      <c r="AJ17" s="44" t="e">
        <f t="shared" si="12"/>
        <v>#VALUE!</v>
      </c>
      <c r="AK17" s="44" t="e">
        <f>HLOOKUP(I17,ElecAvoidedCostsWOCC!$A$5:$Q$50,G17+1,FALSE)*J17*L17</f>
        <v>#VALUE!</v>
      </c>
      <c r="AL17" s="44" t="e">
        <f t="shared" si="13"/>
        <v>#VALUE!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 x14ac:dyDescent="0.35">
      <c r="A18" s="59">
        <f>A6+A8</f>
        <v>1461659.92</v>
      </c>
      <c r="B18" s="37"/>
      <c r="E18" s="38" t="s">
        <v>1200</v>
      </c>
      <c r="F18" s="39" t="s">
        <v>1201</v>
      </c>
      <c r="G18" s="39">
        <v>0</v>
      </c>
      <c r="H18" s="39"/>
      <c r="I18" s="40" t="s">
        <v>261</v>
      </c>
      <c r="J18" s="41">
        <v>1</v>
      </c>
      <c r="K18" s="41">
        <v>0</v>
      </c>
      <c r="L18" s="41"/>
      <c r="M18" s="42">
        <v>2000</v>
      </c>
      <c r="N18" s="42">
        <v>2000</v>
      </c>
      <c r="O18" s="43">
        <v>0</v>
      </c>
      <c r="P18" s="44">
        <v>2000</v>
      </c>
      <c r="Q18" s="44">
        <v>2000</v>
      </c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2000</v>
      </c>
      <c r="AB18" s="51">
        <f t="shared" si="8"/>
        <v>0</v>
      </c>
      <c r="AC18" s="44">
        <f t="shared" si="8"/>
        <v>1872.6591760299625</v>
      </c>
      <c r="AD18" s="44">
        <f t="shared" si="9"/>
        <v>0</v>
      </c>
      <c r="AE18" s="44">
        <f t="shared" si="17"/>
        <v>0</v>
      </c>
      <c r="AF18" s="52" t="str">
        <f>HLOOKUP(I18,ElecAvoidedCostsWOCC!$A$5:$Q$50,G18+1,FALSE)</f>
        <v>Comm Flat</v>
      </c>
      <c r="AG18" s="44" t="e">
        <f t="shared" si="10"/>
        <v>#VALUE!</v>
      </c>
      <c r="AH18" s="52" t="str">
        <f>HLOOKUP(I18,ElecAvoidedCostsWOCC!$A$5:$Q$50,T18+1,FALSE)</f>
        <v>Comm Flat</v>
      </c>
      <c r="AI18" s="44" t="e">
        <f t="shared" si="11"/>
        <v>#VALUE!</v>
      </c>
      <c r="AJ18" s="44" t="e">
        <f t="shared" si="12"/>
        <v>#VALUE!</v>
      </c>
      <c r="AK18" s="44" t="e">
        <f>HLOOKUP(I18,ElecAvoidedCostsWOCC!$A$5:$Q$50,G18+1,FALSE)*J18*L18</f>
        <v>#VALUE!</v>
      </c>
      <c r="AL18" s="44" t="e">
        <f t="shared" si="13"/>
        <v>#VALUE!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 x14ac:dyDescent="0.35">
      <c r="A19" s="58" t="s">
        <v>222</v>
      </c>
      <c r="B19" s="37"/>
      <c r="E19" s="38" t="s">
        <v>1200</v>
      </c>
      <c r="F19" s="39" t="s">
        <v>1201</v>
      </c>
      <c r="G19" s="39">
        <v>0</v>
      </c>
      <c r="H19" s="39"/>
      <c r="I19" s="40" t="s">
        <v>261</v>
      </c>
      <c r="J19" s="41">
        <v>1</v>
      </c>
      <c r="K19" s="41">
        <v>0</v>
      </c>
      <c r="L19" s="41"/>
      <c r="M19" s="42">
        <v>3000</v>
      </c>
      <c r="N19" s="42">
        <v>3000</v>
      </c>
      <c r="O19" s="43">
        <v>0</v>
      </c>
      <c r="P19" s="44">
        <v>3000</v>
      </c>
      <c r="Q19" s="44">
        <v>3000</v>
      </c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3000</v>
      </c>
      <c r="AB19" s="51">
        <f t="shared" si="8"/>
        <v>0</v>
      </c>
      <c r="AC19" s="44">
        <f t="shared" si="8"/>
        <v>2808.9887640449438</v>
      </c>
      <c r="AD19" s="44">
        <f t="shared" si="9"/>
        <v>0</v>
      </c>
      <c r="AE19" s="44">
        <f t="shared" si="17"/>
        <v>0</v>
      </c>
      <c r="AF19" s="52" t="str">
        <f>HLOOKUP(I19,ElecAvoidedCostsWOCC!$A$5:$Q$50,G19+1,FALSE)</f>
        <v>Comm Flat</v>
      </c>
      <c r="AG19" s="44" t="e">
        <f t="shared" si="10"/>
        <v>#VALUE!</v>
      </c>
      <c r="AH19" s="52" t="str">
        <f>HLOOKUP(I19,ElecAvoidedCostsWOCC!$A$5:$Q$50,T19+1,FALSE)</f>
        <v>Comm Flat</v>
      </c>
      <c r="AI19" s="44" t="e">
        <f t="shared" si="11"/>
        <v>#VALUE!</v>
      </c>
      <c r="AJ19" s="44" t="e">
        <f t="shared" si="12"/>
        <v>#VALUE!</v>
      </c>
      <c r="AK19" s="44" t="e">
        <f>HLOOKUP(I19,ElecAvoidedCostsWOCC!$A$5:$Q$50,G19+1,FALSE)*J19*L19</f>
        <v>#VALUE!</v>
      </c>
      <c r="AL19" s="44" t="e">
        <f t="shared" si="13"/>
        <v>#VALUE!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 x14ac:dyDescent="0.35">
      <c r="A20" s="59">
        <f>A8+SUM(Q5:Q906)</f>
        <v>1252334.7999999998</v>
      </c>
      <c r="B20" s="37"/>
      <c r="E20" s="38" t="s">
        <v>1200</v>
      </c>
      <c r="F20" s="39" t="s">
        <v>1201</v>
      </c>
      <c r="G20" s="39">
        <v>0</v>
      </c>
      <c r="H20" s="39"/>
      <c r="I20" s="40" t="s">
        <v>261</v>
      </c>
      <c r="J20" s="41">
        <v>1</v>
      </c>
      <c r="K20" s="41">
        <v>0</v>
      </c>
      <c r="L20" s="41"/>
      <c r="M20" s="42">
        <v>1000</v>
      </c>
      <c r="N20" s="42">
        <v>1000</v>
      </c>
      <c r="O20" s="43">
        <v>0</v>
      </c>
      <c r="P20" s="44">
        <v>1000</v>
      </c>
      <c r="Q20" s="44">
        <v>1000</v>
      </c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1000</v>
      </c>
      <c r="AB20" s="51">
        <f t="shared" si="8"/>
        <v>0</v>
      </c>
      <c r="AC20" s="44">
        <f t="shared" si="8"/>
        <v>936.32958801498125</v>
      </c>
      <c r="AD20" s="44">
        <f t="shared" si="9"/>
        <v>0</v>
      </c>
      <c r="AE20" s="44">
        <f t="shared" si="17"/>
        <v>0</v>
      </c>
      <c r="AF20" s="52" t="str">
        <f>HLOOKUP(I20,ElecAvoidedCostsWOCC!$A$5:$Q$50,G20+1,FALSE)</f>
        <v>Comm Flat</v>
      </c>
      <c r="AG20" s="44" t="e">
        <f t="shared" si="10"/>
        <v>#VALUE!</v>
      </c>
      <c r="AH20" s="52" t="str">
        <f>HLOOKUP(I20,ElecAvoidedCostsWOCC!$A$5:$Q$50,T20+1,FALSE)</f>
        <v>Comm Flat</v>
      </c>
      <c r="AI20" s="44" t="e">
        <f t="shared" si="11"/>
        <v>#VALUE!</v>
      </c>
      <c r="AJ20" s="44" t="e">
        <f t="shared" si="12"/>
        <v>#VALUE!</v>
      </c>
      <c r="AK20" s="44" t="e">
        <f>HLOOKUP(I20,ElecAvoidedCostsWOCC!$A$5:$Q$50,G20+1,FALSE)*J20*L20</f>
        <v>#VALUE!</v>
      </c>
      <c r="AL20" s="44" t="e">
        <f t="shared" si="13"/>
        <v>#VALUE!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 x14ac:dyDescent="0.35">
      <c r="A21" s="58" t="s">
        <v>236</v>
      </c>
      <c r="B21" s="37"/>
      <c r="E21" s="38" t="s">
        <v>1202</v>
      </c>
      <c r="F21" s="39" t="s">
        <v>1203</v>
      </c>
      <c r="G21" s="39">
        <v>0</v>
      </c>
      <c r="H21" s="39"/>
      <c r="I21" s="40" t="s">
        <v>261</v>
      </c>
      <c r="J21" s="41">
        <v>1</v>
      </c>
      <c r="K21" s="41">
        <v>0</v>
      </c>
      <c r="L21" s="41"/>
      <c r="M21" s="42">
        <v>1000</v>
      </c>
      <c r="N21" s="42">
        <v>1000</v>
      </c>
      <c r="O21" s="43">
        <v>0</v>
      </c>
      <c r="P21" s="44">
        <v>1000</v>
      </c>
      <c r="Q21" s="44">
        <v>1000</v>
      </c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1000</v>
      </c>
      <c r="AB21" s="51">
        <f t="shared" ref="AB21:AC24" si="18">Z21/(1+ElecDiscountRate)^1</f>
        <v>0</v>
      </c>
      <c r="AC21" s="44">
        <f t="shared" si="18"/>
        <v>936.32958801498125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Comm Flat</v>
      </c>
      <c r="AG21" s="44" t="e">
        <f t="shared" si="10"/>
        <v>#VALUE!</v>
      </c>
      <c r="AH21" s="52" t="str">
        <f>HLOOKUP(I21,ElecAvoidedCostsWOCC!$A$5:$Q$50,T21+1,FALSE)</f>
        <v>Comm Flat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 x14ac:dyDescent="0.35">
      <c r="A22" s="60">
        <f>(SUM(AM5:AM1000)/(SUM(AB5:AB1000)))</f>
        <v>1.5019682979246243</v>
      </c>
      <c r="B22" s="37"/>
      <c r="E22" s="38" t="s">
        <v>1202</v>
      </c>
      <c r="F22" s="39" t="s">
        <v>1203</v>
      </c>
      <c r="G22" s="39">
        <v>0</v>
      </c>
      <c r="H22" s="39"/>
      <c r="I22" s="40" t="s">
        <v>261</v>
      </c>
      <c r="J22" s="41">
        <v>1</v>
      </c>
      <c r="K22" s="41">
        <v>0</v>
      </c>
      <c r="L22" s="41"/>
      <c r="M22" s="42">
        <v>1000</v>
      </c>
      <c r="N22" s="42">
        <v>1000</v>
      </c>
      <c r="O22" s="43">
        <v>0</v>
      </c>
      <c r="P22" s="44">
        <v>1000</v>
      </c>
      <c r="Q22" s="44">
        <v>1000</v>
      </c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1000</v>
      </c>
      <c r="AB22" s="51">
        <f t="shared" si="18"/>
        <v>0</v>
      </c>
      <c r="AC22" s="44">
        <f t="shared" si="18"/>
        <v>936.32958801498125</v>
      </c>
      <c r="AD22" s="44">
        <f t="shared" si="9"/>
        <v>0</v>
      </c>
      <c r="AE22" s="44">
        <f t="shared" si="17"/>
        <v>0</v>
      </c>
      <c r="AF22" s="52" t="str">
        <f>HLOOKUP(I22,ElecAvoidedCostsWOCC!$A$5:$Q$50,G22+1,FALSE)</f>
        <v>Comm Flat</v>
      </c>
      <c r="AG22" s="44" t="e">
        <f t="shared" si="10"/>
        <v>#VALUE!</v>
      </c>
      <c r="AH22" s="52" t="str">
        <f>HLOOKUP(I22,ElecAvoidedCostsWOCC!$A$5:$Q$50,T22+1,FALSE)</f>
        <v>Comm Flat</v>
      </c>
      <c r="AI22" s="44" t="e">
        <f t="shared" si="11"/>
        <v>#VALUE!</v>
      </c>
      <c r="AJ22" s="44" t="e">
        <f t="shared" si="12"/>
        <v>#VALUE!</v>
      </c>
      <c r="AK22" s="44" t="e">
        <f>HLOOKUP(I22,ElecAvoidedCostsWOCC!$A$5:$Q$50,G22+1,FALSE)*J22*L22</f>
        <v>#VALUE!</v>
      </c>
      <c r="AL22" s="44" t="e">
        <f t="shared" si="13"/>
        <v>#VALUE!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 x14ac:dyDescent="0.35">
      <c r="A23" s="58" t="s">
        <v>237</v>
      </c>
      <c r="B23" s="37"/>
      <c r="E23" s="38" t="s">
        <v>1202</v>
      </c>
      <c r="F23" s="39" t="s">
        <v>1203</v>
      </c>
      <c r="G23" s="39">
        <v>0</v>
      </c>
      <c r="H23" s="39"/>
      <c r="I23" s="40" t="s">
        <v>261</v>
      </c>
      <c r="J23" s="41">
        <v>1</v>
      </c>
      <c r="K23" s="41">
        <v>0</v>
      </c>
      <c r="L23" s="41"/>
      <c r="M23" s="42">
        <v>1000</v>
      </c>
      <c r="N23" s="42">
        <v>1000</v>
      </c>
      <c r="O23" s="43">
        <v>0</v>
      </c>
      <c r="P23" s="44">
        <v>1000</v>
      </c>
      <c r="Q23" s="44">
        <v>1000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1000</v>
      </c>
      <c r="AB23" s="51">
        <f t="shared" si="18"/>
        <v>0</v>
      </c>
      <c r="AC23" s="44">
        <f t="shared" si="18"/>
        <v>936.32958801498125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Comm Flat</v>
      </c>
      <c r="AG23" s="44" t="e">
        <f t="shared" si="10"/>
        <v>#VALUE!</v>
      </c>
      <c r="AH23" s="52" t="str">
        <f>HLOOKUP(I23,ElecAvoidedCostsWOCC!$A$5:$Q$50,T23+1,FALSE)</f>
        <v>Comm Flat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 x14ac:dyDescent="0.35">
      <c r="A24" s="60">
        <f>(SUM(AN5:AN1000)/SUM(AC5:AC1000))</f>
        <v>1.9283210435466214</v>
      </c>
      <c r="B24" s="37"/>
      <c r="C24" s="61"/>
      <c r="D24" s="61"/>
      <c r="E24" s="38" t="s">
        <v>1202</v>
      </c>
      <c r="F24" s="39" t="s">
        <v>1203</v>
      </c>
      <c r="G24" s="39">
        <v>0</v>
      </c>
      <c r="H24" s="39"/>
      <c r="I24" s="40" t="s">
        <v>261</v>
      </c>
      <c r="J24" s="41">
        <v>1</v>
      </c>
      <c r="K24" s="41">
        <v>0</v>
      </c>
      <c r="L24" s="41"/>
      <c r="M24" s="42">
        <v>1000</v>
      </c>
      <c r="N24" s="42">
        <v>1000</v>
      </c>
      <c r="O24" s="43">
        <v>0</v>
      </c>
      <c r="P24" s="44">
        <v>1000</v>
      </c>
      <c r="Q24" s="44">
        <v>1000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1000</v>
      </c>
      <c r="AB24" s="51">
        <f t="shared" si="18"/>
        <v>0</v>
      </c>
      <c r="AC24" s="44">
        <f t="shared" si="18"/>
        <v>936.32958801498125</v>
      </c>
      <c r="AD24" s="44">
        <f t="shared" si="9"/>
        <v>0</v>
      </c>
      <c r="AE24" s="44">
        <f t="shared" si="17"/>
        <v>0</v>
      </c>
      <c r="AF24" s="52" t="str">
        <f>HLOOKUP(I24,ElecAvoidedCostsWOCC!$A$5:$Q$50,G24+1,FALSE)</f>
        <v>Comm Flat</v>
      </c>
      <c r="AG24" s="44" t="e">
        <f t="shared" si="10"/>
        <v>#VALUE!</v>
      </c>
      <c r="AH24" s="52" t="str">
        <f>HLOOKUP(I24,ElecAvoidedCostsWOCC!$A$5:$Q$50,T24+1,FALSE)</f>
        <v>Comm Flat</v>
      </c>
      <c r="AI24" s="44" t="e">
        <f t="shared" si="11"/>
        <v>#VALUE!</v>
      </c>
      <c r="AJ24" s="44" t="e">
        <f t="shared" si="12"/>
        <v>#VALUE!</v>
      </c>
      <c r="AK24" s="44" t="e">
        <f>HLOOKUP(I24,ElecAvoidedCostsWOCC!$A$5:$Q$50,G24+1,FALSE)*J24*L24</f>
        <v>#VALUE!</v>
      </c>
      <c r="AL24" s="44" t="e">
        <f t="shared" si="13"/>
        <v>#VALUE!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" customWidth="1"/>
    <col min="13" max="14" width="12.7265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18231133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100">
        <v>18231133</v>
      </c>
      <c r="D5" s="100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-36611.67</v>
      </c>
      <c r="B6" s="97"/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-5960.0400000000009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97"/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/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97"/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-42571.71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-5960.0400000000009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24 R5:S24">
    <cfRule type="expression" dxfId="242" priority="2">
      <formula>ISTEXT(M5)</formula>
    </cfRule>
  </conditionalFormatting>
  <conditionalFormatting sqref="M5:N24 R5:S24">
    <cfRule type="notContainsBlanks" dxfId="241" priority="3">
      <formula>LEN(TRIM(M5))&gt;0</formula>
    </cfRule>
  </conditionalFormatting>
  <conditionalFormatting sqref="R5:S24">
    <cfRule type="expression" dxfId="24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N13" sqref="N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" customWidth="1"/>
    <col min="13" max="14" width="12.7265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511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18230013</v>
      </c>
      <c r="D2" s="20" t="s">
        <v>508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100">
        <v>18230013</v>
      </c>
      <c r="D5" s="100" t="s">
        <v>508</v>
      </c>
      <c r="E5" s="38" t="s">
        <v>1204</v>
      </c>
      <c r="F5" s="39" t="s">
        <v>1205</v>
      </c>
      <c r="G5" s="39">
        <v>5</v>
      </c>
      <c r="H5" s="39"/>
      <c r="I5" s="40" t="s">
        <v>261</v>
      </c>
      <c r="J5" s="41">
        <v>1</v>
      </c>
      <c r="K5" s="41">
        <v>267444</v>
      </c>
      <c r="L5" s="41"/>
      <c r="M5" s="42"/>
      <c r="N5" s="42"/>
      <c r="O5" s="43">
        <v>267444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2.1531565040552225</v>
      </c>
      <c r="V5" s="48">
        <f t="shared" ref="V5:V24" si="2">N5-M5</f>
        <v>0</v>
      </c>
      <c r="W5" s="49">
        <f t="shared" ref="W5:W24" si="3">(O5/A$10)</f>
        <v>0.4306313008110445</v>
      </c>
      <c r="X5" s="44">
        <f t="shared" ref="X5:X24" si="4">W5*A$8</f>
        <v>53293.134055850489</v>
      </c>
      <c r="Y5" s="44">
        <f t="shared" ref="Y5:Y24" si="5">Q5-P5</f>
        <v>0</v>
      </c>
      <c r="Z5" s="44">
        <f t="shared" ref="Z5:Z24" si="6">X5+(A$6*W5)</f>
        <v>53293.134055850489</v>
      </c>
      <c r="AA5" s="50">
        <f t="shared" ref="AA5:AA24" si="7">Q5+X5</f>
        <v>53293.134055850489</v>
      </c>
      <c r="AB5" s="51">
        <f t="shared" ref="AB5:AC20" si="8">Z5/(1+ElecDiscountRate)^1</f>
        <v>49899.938254541652</v>
      </c>
      <c r="AC5" s="44">
        <f t="shared" si="8"/>
        <v>49899.938254541652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0.39886803421791017</v>
      </c>
      <c r="AG5" s="44">
        <f t="shared" ref="AG5:AG24" si="10">AF5*J5*K5</f>
        <v>106674.86254337477</v>
      </c>
      <c r="AH5" s="52">
        <f>HLOOKUP(I5,ElecAvoidedCostsWOCC!$A$5:$Q$50,T5+1,FALSE)</f>
        <v>0.39886803421791017</v>
      </c>
      <c r="AI5" s="44">
        <f t="shared" ref="AI5:AI24" si="11">AH5*J5*L5</f>
        <v>0</v>
      </c>
      <c r="AJ5" s="44">
        <f>AG5+AI5</f>
        <v>106674.86254337477</v>
      </c>
      <c r="AK5" s="44">
        <f>HLOOKUP(I5,ElecAvoidedCostsWOCC!$A$5:$Q$50,G5+1,FALSE)*J5*L5</f>
        <v>0</v>
      </c>
      <c r="AL5" s="44">
        <f>AG5+AI5-AK5</f>
        <v>106674.86254337477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106674.86254337477</v>
      </c>
      <c r="AN5" s="48">
        <f>AM5*1.1+AD5+AE5</f>
        <v>117342.34879771226</v>
      </c>
      <c r="AO5" s="47">
        <f>IFERROR(AM5/AB5,0)</f>
        <v>2.1377754417094041</v>
      </c>
      <c r="AP5" s="47">
        <f>AN5/AC5</f>
        <v>2.3515529858803448</v>
      </c>
    </row>
    <row r="6" spans="1:42" ht="13.5" customHeight="1" x14ac:dyDescent="0.35">
      <c r="A6" s="53">
        <f>SUMIF('Program Costs'!D:D,C2,'Program Costs'!L:L)</f>
        <v>0</v>
      </c>
      <c r="B6" s="97" t="s">
        <v>62</v>
      </c>
      <c r="C6" s="100"/>
      <c r="D6" s="100"/>
      <c r="E6" s="38" t="s">
        <v>1206</v>
      </c>
      <c r="F6" s="39" t="s">
        <v>1207</v>
      </c>
      <c r="G6" s="39">
        <v>5</v>
      </c>
      <c r="H6" s="39"/>
      <c r="I6" s="40" t="s">
        <v>261</v>
      </c>
      <c r="J6" s="41">
        <v>1</v>
      </c>
      <c r="K6" s="41">
        <v>353607</v>
      </c>
      <c r="L6" s="41"/>
      <c r="M6" s="42"/>
      <c r="N6" s="42"/>
      <c r="O6" s="43">
        <v>353607</v>
      </c>
      <c r="P6" s="44">
        <v>0</v>
      </c>
      <c r="Q6" s="44">
        <v>0</v>
      </c>
      <c r="R6" s="45"/>
      <c r="S6" s="46"/>
      <c r="T6" s="39">
        <f t="shared" si="0"/>
        <v>5</v>
      </c>
      <c r="U6" s="47">
        <f t="shared" si="1"/>
        <v>2.8468434959447775</v>
      </c>
      <c r="V6" s="48">
        <f t="shared" si="2"/>
        <v>0</v>
      </c>
      <c r="W6" s="49">
        <f t="shared" si="3"/>
        <v>0.5693686991889555</v>
      </c>
      <c r="X6" s="44">
        <f t="shared" si="4"/>
        <v>70462.695944149513</v>
      </c>
      <c r="Y6" s="44">
        <f t="shared" si="5"/>
        <v>0</v>
      </c>
      <c r="Z6" s="44">
        <f t="shared" si="6"/>
        <v>70462.695944149513</v>
      </c>
      <c r="AA6" s="50">
        <f t="shared" si="7"/>
        <v>70462.695944149513</v>
      </c>
      <c r="AB6" s="51">
        <f t="shared" si="8"/>
        <v>65976.307063810396</v>
      </c>
      <c r="AC6" s="44">
        <f t="shared" si="8"/>
        <v>65976.307063810396</v>
      </c>
      <c r="AD6" s="44">
        <f t="shared" si="9"/>
        <v>0</v>
      </c>
      <c r="AE6" s="44">
        <v>0</v>
      </c>
      <c r="AF6" s="52">
        <f>HLOOKUP(I6,ElecAvoidedCostsWOCC!$A$5:$Q$50,G6+1,FALSE)</f>
        <v>0.39886803421791017</v>
      </c>
      <c r="AG6" s="44">
        <f t="shared" si="10"/>
        <v>141042.52897569255</v>
      </c>
      <c r="AH6" s="52">
        <f>HLOOKUP(I6,ElecAvoidedCostsWOCC!$A$5:$Q$50,T6+1,FALSE)</f>
        <v>0.39886803421791017</v>
      </c>
      <c r="AI6" s="44">
        <f t="shared" si="11"/>
        <v>0</v>
      </c>
      <c r="AJ6" s="44">
        <f t="shared" ref="AJ6:AJ24" si="12">AG6+AI6</f>
        <v>141042.52897569255</v>
      </c>
      <c r="AK6" s="44">
        <f>HLOOKUP(I6,ElecAvoidedCostsWOCC!$A$5:$Q$50,G6+1,FALSE)*J6*L6</f>
        <v>0</v>
      </c>
      <c r="AL6" s="44">
        <f t="shared" ref="AL6:AL24" si="13">AG6+AI6-AK6</f>
        <v>141042.52897569255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141042.52897569255</v>
      </c>
      <c r="AN6" s="48">
        <f t="shared" ref="AN6:AN24" si="14">AM6*1.1+AD6+AE6</f>
        <v>155146.78187326182</v>
      </c>
      <c r="AO6" s="47">
        <f t="shared" ref="AO6:AO24" si="15">IFERROR(AM6/AB6,0)</f>
        <v>2.1377754417094041</v>
      </c>
      <c r="AP6" s="47">
        <f t="shared" ref="AP6:AP24" si="16">AN6/AC6</f>
        <v>2.3515529858803448</v>
      </c>
    </row>
    <row r="7" spans="1:42" ht="13.5" customHeight="1" x14ac:dyDescent="0.35">
      <c r="A7" s="36" t="s">
        <v>240</v>
      </c>
      <c r="B7" s="97" t="s">
        <v>62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123755.83</v>
      </c>
      <c r="B8" s="97" t="s">
        <v>62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62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621051</v>
      </c>
      <c r="B10" s="97" t="s">
        <v>62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62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97" t="s">
        <v>62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62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 t="s">
        <v>62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123755.83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123755.83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2.1377754417094041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2.3515529858803448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24 R5:S24">
    <cfRule type="expression" dxfId="237" priority="2">
      <formula>ISTEXT(M5)</formula>
    </cfRule>
  </conditionalFormatting>
  <conditionalFormatting sqref="M5:N24 R5:S24">
    <cfRule type="notContainsBlanks" dxfId="236" priority="3">
      <formula>LEN(TRIM(M5))&gt;0</formula>
    </cfRule>
  </conditionalFormatting>
  <conditionalFormatting sqref="R5:S24">
    <cfRule type="expression" dxfId="23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8" sqref="D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18230015</v>
      </c>
      <c r="D2" s="20" t="s">
        <v>153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18230015</v>
      </c>
      <c r="D5" s="61" t="s">
        <v>153</v>
      </c>
      <c r="E5" s="38" t="s">
        <v>1727</v>
      </c>
      <c r="F5" s="39" t="s">
        <v>1728</v>
      </c>
      <c r="G5" s="39">
        <v>7</v>
      </c>
      <c r="H5" s="39"/>
      <c r="I5" s="40" t="s">
        <v>261</v>
      </c>
      <c r="J5" s="41">
        <v>1</v>
      </c>
      <c r="K5" s="41">
        <v>2353817</v>
      </c>
      <c r="L5" s="41"/>
      <c r="M5" s="42">
        <v>494301.57</v>
      </c>
      <c r="N5" s="42">
        <v>494301.57</v>
      </c>
      <c r="O5" s="43">
        <v>2353817</v>
      </c>
      <c r="P5" s="44">
        <v>494301.57</v>
      </c>
      <c r="Q5" s="44">
        <v>494301.57</v>
      </c>
      <c r="R5" s="45"/>
      <c r="S5" s="46"/>
      <c r="T5" s="39">
        <f t="shared" ref="T5:T68" si="0">G5+H5</f>
        <v>7</v>
      </c>
      <c r="U5" s="47">
        <f t="shared" ref="U5:U68" si="1">(O5/$A$10)*T5</f>
        <v>7</v>
      </c>
      <c r="V5" s="48">
        <f t="shared" ref="V5:V68" si="2">N5-M5</f>
        <v>0</v>
      </c>
      <c r="W5" s="49">
        <f t="shared" ref="W5:W68" si="3">(O5/A$10)</f>
        <v>1</v>
      </c>
      <c r="X5" s="44">
        <f t="shared" ref="X5:X68" si="4">W5*A$8</f>
        <v>601111.25</v>
      </c>
      <c r="Y5" s="44">
        <f t="shared" ref="Y5:Y68" si="5">Q5-P5</f>
        <v>0</v>
      </c>
      <c r="Z5" s="44">
        <f t="shared" ref="Z5:Z68" si="6">X5+(A$6*W5)</f>
        <v>601111.25</v>
      </c>
      <c r="AA5" s="50">
        <f t="shared" ref="AA5:AA68" si="7">Q5+X5</f>
        <v>1095412.82</v>
      </c>
      <c r="AB5" s="51">
        <f t="shared" ref="AB5:AC20" si="8">Z5/(1+ElecDiscountRate)^1</f>
        <v>562838.2490636704</v>
      </c>
      <c r="AC5" s="44">
        <f t="shared" si="8"/>
        <v>1025667.4344569289</v>
      </c>
      <c r="AD5" s="44">
        <f t="shared" ref="AD5:AD68" si="9">-PV(ElecDiscountRate,T5,R5)*J5</f>
        <v>0</v>
      </c>
      <c r="AE5" s="44">
        <v>0</v>
      </c>
      <c r="AF5" s="52">
        <f>HLOOKUP(I5,ElecAvoidedCostsWOCC!$A$5:$Q$50,G5+1,FALSE)</f>
        <v>0.54324318329582366</v>
      </c>
      <c r="AG5" s="44">
        <f t="shared" ref="AG5:AG68" si="10">AF5*J5*K5</f>
        <v>1278695.0399758257</v>
      </c>
      <c r="AH5" s="52">
        <f>HLOOKUP(I5,ElecAvoidedCostsWOCC!$A$5:$Q$50,T5+1,FALSE)</f>
        <v>0.54324318329582366</v>
      </c>
      <c r="AI5" s="44">
        <f t="shared" ref="AI5:AI68" si="11">AH5*J5*L5</f>
        <v>0</v>
      </c>
      <c r="AJ5" s="44">
        <f>AG5+AI5</f>
        <v>1278695.0399758257</v>
      </c>
      <c r="AK5" s="44">
        <f>HLOOKUP(I5,ElecAvoidedCostsWOCC!$A$5:$Q$50,G5+1,FALSE)*J5*L5</f>
        <v>0</v>
      </c>
      <c r="AL5" s="44">
        <f>AG5+AI5-AK5</f>
        <v>1278695.0399758257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1278695.0399758257</v>
      </c>
      <c r="AN5" s="48">
        <f>AM5*1.1+AD5+AE5</f>
        <v>1406564.5439734084</v>
      </c>
      <c r="AO5" s="47">
        <f>IFERROR(AM5/AB5,0)</f>
        <v>2.2718694795583709</v>
      </c>
      <c r="AP5" s="47">
        <f>AN5/AC5</f>
        <v>1.3713651196483168</v>
      </c>
    </row>
    <row r="6" spans="1:42" ht="13.5" customHeight="1" x14ac:dyDescent="0.35">
      <c r="A6" s="53">
        <f>SUMIF('Program Costs'!D:D,C2,'Program Costs'!L:L)</f>
        <v>0</v>
      </c>
      <c r="B6" s="97"/>
      <c r="C6" s="98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69" si="12">AG6+AI6</f>
        <v>#N/A</v>
      </c>
      <c r="AK6" s="44" t="e">
        <f>HLOOKUP(I6,ElecAvoidedCostsWOCC!$A$5:$Q$50,G6+1,FALSE)*J6*L6</f>
        <v>#N/A</v>
      </c>
      <c r="AL6" s="44" t="e">
        <f t="shared" ref="AL6:AL6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69" si="14">AM6*1.1+AD6+AE6</f>
        <v>0</v>
      </c>
      <c r="AO6" s="47">
        <f t="shared" ref="AO6:AO69" si="15">IFERROR(AM6/AB6,0)</f>
        <v>0</v>
      </c>
      <c r="AP6" s="47" t="e">
        <f t="shared" ref="AP6:AP69" si="16">AN6/AC6</f>
        <v>#DIV/0!</v>
      </c>
    </row>
    <row r="7" spans="1:42" ht="13.5" customHeight="1" x14ac:dyDescent="0.35">
      <c r="A7" s="36" t="s">
        <v>240</v>
      </c>
      <c r="B7" s="97"/>
      <c r="C7" s="98"/>
      <c r="D7" s="61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601111.25</v>
      </c>
      <c r="B8" s="97"/>
      <c r="C8" s="98"/>
      <c r="D8" s="61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/>
      <c r="C9" s="98"/>
      <c r="D9" s="61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72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2353817</v>
      </c>
      <c r="B10" s="97"/>
      <c r="C10" s="98"/>
      <c r="D10" s="61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/>
      <c r="C11" s="98"/>
      <c r="D11" s="61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494301.57</v>
      </c>
      <c r="B12" s="97"/>
      <c r="C12" s="98"/>
      <c r="D12" s="61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/>
      <c r="C13" s="98"/>
      <c r="D13" s="61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/>
      <c r="C14" s="98"/>
      <c r="D14" s="61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/>
      <c r="C15" s="98"/>
      <c r="D15" s="61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7</v>
      </c>
      <c r="B16" s="97"/>
      <c r="C16" s="98"/>
      <c r="D16" s="61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/>
      <c r="C17" s="98"/>
      <c r="D17" s="61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601111.25</v>
      </c>
      <c r="B18" s="97"/>
      <c r="C18" s="98"/>
      <c r="D18" s="61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/>
      <c r="C19" s="98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1095412.82</v>
      </c>
      <c r="B20" s="97"/>
      <c r="C20" s="98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97"/>
      <c r="C21" s="98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36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2.2718694795583709</v>
      </c>
      <c r="B22" s="97"/>
      <c r="C22" s="98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/>
      <c r="C23" s="98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1.3713651196483168</v>
      </c>
      <c r="B24" s="97"/>
      <c r="C24" s="98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/>
      <c r="C25" s="98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4">
        <f t="shared" si="4"/>
        <v>0</v>
      </c>
      <c r="Y25" s="44">
        <f t="shared" si="5"/>
        <v>0</v>
      </c>
      <c r="Z25" s="44">
        <f t="shared" si="6"/>
        <v>0</v>
      </c>
      <c r="AA25" s="50">
        <f t="shared" si="7"/>
        <v>0</v>
      </c>
      <c r="AB25" s="51">
        <f t="shared" si="18"/>
        <v>0</v>
      </c>
      <c r="AC25" s="44">
        <f t="shared" si="18"/>
        <v>0</v>
      </c>
      <c r="AD25" s="44">
        <f t="shared" si="9"/>
        <v>0</v>
      </c>
      <c r="AE25" s="44">
        <f t="shared" si="17"/>
        <v>0</v>
      </c>
      <c r="AF25" s="52" t="e">
        <f>HLOOKUP(I25,ElecAvoidedCostsWOCC!$A$5:$Q$50,G25+1,FALSE)</f>
        <v>#N/A</v>
      </c>
      <c r="AG25" s="44" t="e">
        <f t="shared" si="10"/>
        <v>#N/A</v>
      </c>
      <c r="AH25" s="52" t="e">
        <f>HLOOKUP(I25,ElecAvoidedCostsWOCC!$A$5:$Q$50,T25+1,FALSE)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HLOOKUP(I25,ElecAvoidedCostsWOCC!$A$5:$Q$50,G25+1,FALSE)*J25*L25</f>
        <v>#N/A</v>
      </c>
      <c r="AL25" s="44" t="e">
        <f t="shared" si="1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 x14ac:dyDescent="0.35">
      <c r="B26" s="97"/>
      <c r="C26" s="98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4">
        <f t="shared" si="4"/>
        <v>0</v>
      </c>
      <c r="Y26" s="44">
        <f t="shared" si="5"/>
        <v>0</v>
      </c>
      <c r="Z26" s="44">
        <f t="shared" si="6"/>
        <v>0</v>
      </c>
      <c r="AA26" s="50">
        <f t="shared" si="7"/>
        <v>0</v>
      </c>
      <c r="AB26" s="51">
        <f t="shared" si="18"/>
        <v>0</v>
      </c>
      <c r="AC26" s="44">
        <f t="shared" si="18"/>
        <v>0</v>
      </c>
      <c r="AD26" s="44">
        <f t="shared" si="9"/>
        <v>0</v>
      </c>
      <c r="AE26" s="44">
        <f t="shared" si="17"/>
        <v>0</v>
      </c>
      <c r="AF26" s="52" t="e">
        <f>HLOOKUP(I26,ElecAvoidedCostsWOCC!$A$5:$Q$50,G26+1,FALSE)</f>
        <v>#N/A</v>
      </c>
      <c r="AG26" s="44" t="e">
        <f t="shared" si="10"/>
        <v>#N/A</v>
      </c>
      <c r="AH26" s="52" t="e">
        <f>HLOOKUP(I26,ElecAvoidedCostsWOCC!$A$5:$Q$50,T26+1,FALSE)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HLOOKUP(I26,ElecAvoidedCostsWOCC!$A$5:$Q$50,G26+1,FALSE)*J26*L26</f>
        <v>#N/A</v>
      </c>
      <c r="AL26" s="44" t="e">
        <f t="shared" si="1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 x14ac:dyDescent="0.35">
      <c r="B27" s="97"/>
      <c r="C27" s="98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4">
        <f t="shared" si="4"/>
        <v>0</v>
      </c>
      <c r="Y27" s="44">
        <f t="shared" si="5"/>
        <v>0</v>
      </c>
      <c r="Z27" s="44">
        <f t="shared" si="6"/>
        <v>0</v>
      </c>
      <c r="AA27" s="50">
        <f t="shared" si="7"/>
        <v>0</v>
      </c>
      <c r="AB27" s="51">
        <f t="shared" si="18"/>
        <v>0</v>
      </c>
      <c r="AC27" s="44">
        <f t="shared" si="18"/>
        <v>0</v>
      </c>
      <c r="AD27" s="44">
        <f t="shared" si="9"/>
        <v>0</v>
      </c>
      <c r="AE27" s="44">
        <f t="shared" si="17"/>
        <v>0</v>
      </c>
      <c r="AF27" s="52" t="e">
        <f>HLOOKUP(I27,ElecAvoidedCostsWOCC!$A$5:$Q$50,G27+1,FALSE)</f>
        <v>#N/A</v>
      </c>
      <c r="AG27" s="44" t="e">
        <f t="shared" si="10"/>
        <v>#N/A</v>
      </c>
      <c r="AH27" s="52" t="e">
        <f>HLOOKUP(I27,ElecAvoidedCostsWOCC!$A$5:$Q$50,T27+1,FALSE)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HLOOKUP(I27,ElecAvoidedCostsWOCC!$A$5:$Q$50,G27+1,FALSE)*J27*L27</f>
        <v>#N/A</v>
      </c>
      <c r="AL27" s="44" t="e">
        <f t="shared" si="1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 x14ac:dyDescent="0.35">
      <c r="B28" s="97"/>
      <c r="C28" s="98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4">
        <f t="shared" si="4"/>
        <v>0</v>
      </c>
      <c r="Y28" s="44">
        <f t="shared" si="5"/>
        <v>0</v>
      </c>
      <c r="Z28" s="44">
        <f t="shared" si="6"/>
        <v>0</v>
      </c>
      <c r="AA28" s="50">
        <f t="shared" si="7"/>
        <v>0</v>
      </c>
      <c r="AB28" s="51">
        <f t="shared" si="18"/>
        <v>0</v>
      </c>
      <c r="AC28" s="44">
        <f t="shared" si="18"/>
        <v>0</v>
      </c>
      <c r="AD28" s="44">
        <f t="shared" si="9"/>
        <v>0</v>
      </c>
      <c r="AE28" s="44">
        <f t="shared" si="17"/>
        <v>0</v>
      </c>
      <c r="AF28" s="52" t="e">
        <f>HLOOKUP(I28,ElecAvoidedCostsWOCC!$A$5:$Q$50,G28+1,FALSE)</f>
        <v>#N/A</v>
      </c>
      <c r="AG28" s="44" t="e">
        <f t="shared" si="10"/>
        <v>#N/A</v>
      </c>
      <c r="AH28" s="52" t="e">
        <f>HLOOKUP(I28,ElecAvoidedCostsWOCC!$A$5:$Q$50,T28+1,FALSE)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HLOOKUP(I28,ElecAvoidedCostsWOCC!$A$5:$Q$50,G28+1,FALSE)*J28*L28</f>
        <v>#N/A</v>
      </c>
      <c r="AL28" s="44" t="e">
        <f t="shared" si="1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 x14ac:dyDescent="0.35">
      <c r="B29" s="97"/>
      <c r="C29" s="98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4">
        <f t="shared" si="4"/>
        <v>0</v>
      </c>
      <c r="Y29" s="44">
        <f t="shared" si="5"/>
        <v>0</v>
      </c>
      <c r="Z29" s="44">
        <f t="shared" si="6"/>
        <v>0</v>
      </c>
      <c r="AA29" s="50">
        <f t="shared" si="7"/>
        <v>0</v>
      </c>
      <c r="AB29" s="51">
        <f t="shared" si="18"/>
        <v>0</v>
      </c>
      <c r="AC29" s="44">
        <f t="shared" si="18"/>
        <v>0</v>
      </c>
      <c r="AD29" s="44">
        <f t="shared" si="9"/>
        <v>0</v>
      </c>
      <c r="AE29" s="44">
        <f t="shared" si="17"/>
        <v>0</v>
      </c>
      <c r="AF29" s="52" t="e">
        <f>HLOOKUP(I29,ElecAvoidedCostsWOCC!$A$5:$Q$50,G29+1,FALSE)</f>
        <v>#N/A</v>
      </c>
      <c r="AG29" s="44" t="e">
        <f t="shared" si="10"/>
        <v>#N/A</v>
      </c>
      <c r="AH29" s="52" t="e">
        <f>HLOOKUP(I29,ElecAvoidedCostsWOCC!$A$5:$Q$50,T29+1,FALSE)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HLOOKUP(I29,ElecAvoidedCostsWOCC!$A$5:$Q$50,G29+1,FALSE)*J29*L29</f>
        <v>#N/A</v>
      </c>
      <c r="AL29" s="44" t="e">
        <f t="shared" si="1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 x14ac:dyDescent="0.35">
      <c r="B30" s="97"/>
      <c r="C30" s="98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4">
        <f t="shared" si="4"/>
        <v>0</v>
      </c>
      <c r="Y30" s="44">
        <f t="shared" si="5"/>
        <v>0</v>
      </c>
      <c r="Z30" s="44">
        <f t="shared" si="6"/>
        <v>0</v>
      </c>
      <c r="AA30" s="50">
        <f t="shared" si="7"/>
        <v>0</v>
      </c>
      <c r="AB30" s="51">
        <f t="shared" si="18"/>
        <v>0</v>
      </c>
      <c r="AC30" s="44">
        <f t="shared" si="18"/>
        <v>0</v>
      </c>
      <c r="AD30" s="44">
        <f t="shared" si="9"/>
        <v>0</v>
      </c>
      <c r="AE30" s="44">
        <f t="shared" si="17"/>
        <v>0</v>
      </c>
      <c r="AF30" s="52" t="e">
        <f>HLOOKUP(I30,ElecAvoidedCostsWOCC!$A$5:$Q$50,G30+1,FALSE)</f>
        <v>#N/A</v>
      </c>
      <c r="AG30" s="44" t="e">
        <f t="shared" si="10"/>
        <v>#N/A</v>
      </c>
      <c r="AH30" s="52" t="e">
        <f>HLOOKUP(I30,ElecAvoidedCostsWOCC!$A$5:$Q$50,T30+1,FALSE)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HLOOKUP(I30,ElecAvoidedCostsWOCC!$A$5:$Q$50,G30+1,FALSE)*J30*L30</f>
        <v>#N/A</v>
      </c>
      <c r="AL30" s="44" t="e">
        <f t="shared" si="1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 x14ac:dyDescent="0.35">
      <c r="B31" s="97"/>
      <c r="C31" s="98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4">
        <f t="shared" si="4"/>
        <v>0</v>
      </c>
      <c r="Y31" s="44">
        <f t="shared" si="5"/>
        <v>0</v>
      </c>
      <c r="Z31" s="44">
        <f t="shared" si="6"/>
        <v>0</v>
      </c>
      <c r="AA31" s="50">
        <f t="shared" si="7"/>
        <v>0</v>
      </c>
      <c r="AB31" s="51">
        <f t="shared" si="18"/>
        <v>0</v>
      </c>
      <c r="AC31" s="44">
        <f t="shared" si="18"/>
        <v>0</v>
      </c>
      <c r="AD31" s="44">
        <f t="shared" si="9"/>
        <v>0</v>
      </c>
      <c r="AE31" s="44">
        <f t="shared" si="17"/>
        <v>0</v>
      </c>
      <c r="AF31" s="52" t="e">
        <f>HLOOKUP(I31,ElecAvoidedCostsWOCC!$A$5:$Q$50,G31+1,FALSE)</f>
        <v>#N/A</v>
      </c>
      <c r="AG31" s="44" t="e">
        <f t="shared" si="10"/>
        <v>#N/A</v>
      </c>
      <c r="AH31" s="52" t="e">
        <f>HLOOKUP(I31,ElecAvoidedCostsWOCC!$A$5:$Q$50,T31+1,FALSE)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HLOOKUP(I31,ElecAvoidedCostsWOCC!$A$5:$Q$50,G31+1,FALSE)*J31*L31</f>
        <v>#N/A</v>
      </c>
      <c r="AL31" s="44" t="e">
        <f t="shared" si="1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 x14ac:dyDescent="0.35">
      <c r="B32" s="97"/>
      <c r="C32" s="98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4">
        <f t="shared" si="4"/>
        <v>0</v>
      </c>
      <c r="Y32" s="44">
        <f t="shared" si="5"/>
        <v>0</v>
      </c>
      <c r="Z32" s="44">
        <f t="shared" si="6"/>
        <v>0</v>
      </c>
      <c r="AA32" s="50">
        <f t="shared" si="7"/>
        <v>0</v>
      </c>
      <c r="AB32" s="51">
        <f t="shared" si="18"/>
        <v>0</v>
      </c>
      <c r="AC32" s="44">
        <f t="shared" si="18"/>
        <v>0</v>
      </c>
      <c r="AD32" s="44">
        <f t="shared" si="9"/>
        <v>0</v>
      </c>
      <c r="AE32" s="44">
        <f t="shared" si="17"/>
        <v>0</v>
      </c>
      <c r="AF32" s="52" t="e">
        <f>HLOOKUP(I32,ElecAvoidedCostsWOCC!$A$5:$Q$50,G32+1,FALSE)</f>
        <v>#N/A</v>
      </c>
      <c r="AG32" s="44" t="e">
        <f t="shared" si="10"/>
        <v>#N/A</v>
      </c>
      <c r="AH32" s="52" t="e">
        <f>HLOOKUP(I32,ElecAvoidedCostsWOCC!$A$5:$Q$50,T32+1,FALSE)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HLOOKUP(I32,ElecAvoidedCostsWOCC!$A$5:$Q$50,G32+1,FALSE)*J32*L32</f>
        <v>#N/A</v>
      </c>
      <c r="AL32" s="44" t="e">
        <f t="shared" si="1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 x14ac:dyDescent="0.35">
      <c r="B33" s="97"/>
      <c r="C33" s="98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4">
        <f t="shared" si="4"/>
        <v>0</v>
      </c>
      <c r="Y33" s="44">
        <f t="shared" si="5"/>
        <v>0</v>
      </c>
      <c r="Z33" s="44">
        <f t="shared" si="6"/>
        <v>0</v>
      </c>
      <c r="AA33" s="50">
        <f t="shared" si="7"/>
        <v>0</v>
      </c>
      <c r="AB33" s="51">
        <f t="shared" si="18"/>
        <v>0</v>
      </c>
      <c r="AC33" s="44">
        <f t="shared" si="18"/>
        <v>0</v>
      </c>
      <c r="AD33" s="44">
        <f t="shared" si="9"/>
        <v>0</v>
      </c>
      <c r="AE33" s="44">
        <f t="shared" si="17"/>
        <v>0</v>
      </c>
      <c r="AF33" s="52" t="e">
        <f>HLOOKUP(I33,ElecAvoidedCostsWOCC!$A$5:$Q$50,G33+1,FALSE)</f>
        <v>#N/A</v>
      </c>
      <c r="AG33" s="44" t="e">
        <f t="shared" si="10"/>
        <v>#N/A</v>
      </c>
      <c r="AH33" s="52" t="e">
        <f>HLOOKUP(I33,ElecAvoidedCostsWOCC!$A$5:$Q$50,T33+1,FALSE)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HLOOKUP(I33,ElecAvoidedCostsWOCC!$A$5:$Q$50,G33+1,FALSE)*J33*L33</f>
        <v>#N/A</v>
      </c>
      <c r="AL33" s="44" t="e">
        <f t="shared" si="1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 x14ac:dyDescent="0.35">
      <c r="B34" s="97"/>
      <c r="C34" s="98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4">
        <f t="shared" si="4"/>
        <v>0</v>
      </c>
      <c r="Y34" s="44">
        <f t="shared" si="5"/>
        <v>0</v>
      </c>
      <c r="Z34" s="44">
        <f t="shared" si="6"/>
        <v>0</v>
      </c>
      <c r="AA34" s="50">
        <f t="shared" si="7"/>
        <v>0</v>
      </c>
      <c r="AB34" s="51">
        <f t="shared" si="18"/>
        <v>0</v>
      </c>
      <c r="AC34" s="44">
        <f t="shared" si="18"/>
        <v>0</v>
      </c>
      <c r="AD34" s="44">
        <f t="shared" si="9"/>
        <v>0</v>
      </c>
      <c r="AE34" s="44">
        <f t="shared" si="17"/>
        <v>0</v>
      </c>
      <c r="AF34" s="52" t="e">
        <f>HLOOKUP(I34,ElecAvoidedCostsWOCC!$A$5:$Q$50,G34+1,FALSE)</f>
        <v>#N/A</v>
      </c>
      <c r="AG34" s="44" t="e">
        <f t="shared" si="10"/>
        <v>#N/A</v>
      </c>
      <c r="AH34" s="52" t="e">
        <f>HLOOKUP(I34,ElecAvoidedCostsWOCC!$A$5:$Q$50,T34+1,FALSE)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HLOOKUP(I34,ElecAvoidedCostsWOCC!$A$5:$Q$50,G34+1,FALSE)*J34*L34</f>
        <v>#N/A</v>
      </c>
      <c r="AL34" s="44" t="e">
        <f t="shared" si="1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 x14ac:dyDescent="0.35">
      <c r="B35" s="97"/>
      <c r="C35" s="98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4">
        <f t="shared" si="4"/>
        <v>0</v>
      </c>
      <c r="Y35" s="44">
        <f t="shared" si="5"/>
        <v>0</v>
      </c>
      <c r="Z35" s="44">
        <f t="shared" si="6"/>
        <v>0</v>
      </c>
      <c r="AA35" s="50">
        <f t="shared" si="7"/>
        <v>0</v>
      </c>
      <c r="AB35" s="51">
        <f t="shared" si="18"/>
        <v>0</v>
      </c>
      <c r="AC35" s="44">
        <f t="shared" si="18"/>
        <v>0</v>
      </c>
      <c r="AD35" s="44">
        <f t="shared" si="9"/>
        <v>0</v>
      </c>
      <c r="AE35" s="44">
        <f t="shared" si="17"/>
        <v>0</v>
      </c>
      <c r="AF35" s="52" t="e">
        <f>HLOOKUP(I35,ElecAvoidedCostsWOCC!$A$5:$Q$50,G35+1,FALSE)</f>
        <v>#N/A</v>
      </c>
      <c r="AG35" s="44" t="e">
        <f t="shared" si="10"/>
        <v>#N/A</v>
      </c>
      <c r="AH35" s="52" t="e">
        <f>HLOOKUP(I35,ElecAvoidedCostsWOCC!$A$5:$Q$50,T35+1,FALSE)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HLOOKUP(I35,ElecAvoidedCostsWOCC!$A$5:$Q$50,G35+1,FALSE)*J35*L35</f>
        <v>#N/A</v>
      </c>
      <c r="AL35" s="44" t="e">
        <f t="shared" si="1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 x14ac:dyDescent="0.35">
      <c r="B36" s="97"/>
      <c r="C36" s="98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4">
        <f t="shared" si="4"/>
        <v>0</v>
      </c>
      <c r="Y36" s="44">
        <f t="shared" si="5"/>
        <v>0</v>
      </c>
      <c r="Z36" s="44">
        <f t="shared" si="6"/>
        <v>0</v>
      </c>
      <c r="AA36" s="50">
        <f t="shared" si="7"/>
        <v>0</v>
      </c>
      <c r="AB36" s="51">
        <f t="shared" si="18"/>
        <v>0</v>
      </c>
      <c r="AC36" s="44">
        <f t="shared" si="18"/>
        <v>0</v>
      </c>
      <c r="AD36" s="44">
        <f t="shared" si="9"/>
        <v>0</v>
      </c>
      <c r="AE36" s="44">
        <f t="shared" si="17"/>
        <v>0</v>
      </c>
      <c r="AF36" s="52" t="e">
        <f>HLOOKUP(I36,ElecAvoidedCostsWOCC!$A$5:$Q$50,G36+1,FALSE)</f>
        <v>#N/A</v>
      </c>
      <c r="AG36" s="44" t="e">
        <f t="shared" si="10"/>
        <v>#N/A</v>
      </c>
      <c r="AH36" s="52" t="e">
        <f>HLOOKUP(I36,ElecAvoidedCostsWOCC!$A$5:$Q$50,T36+1,FALSE)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HLOOKUP(I36,ElecAvoidedCostsWOCC!$A$5:$Q$50,G36+1,FALSE)*J36*L36</f>
        <v>#N/A</v>
      </c>
      <c r="AL36" s="44" t="e">
        <f t="shared" si="1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 x14ac:dyDescent="0.35">
      <c r="B37" s="97"/>
      <c r="C37" s="98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>
        <f t="shared" si="1"/>
        <v>0</v>
      </c>
      <c r="V37" s="48">
        <f t="shared" si="2"/>
        <v>0</v>
      </c>
      <c r="W37" s="49">
        <f t="shared" si="3"/>
        <v>0</v>
      </c>
      <c r="X37" s="44">
        <f t="shared" si="4"/>
        <v>0</v>
      </c>
      <c r="Y37" s="44">
        <f t="shared" si="5"/>
        <v>0</v>
      </c>
      <c r="Z37" s="44">
        <f t="shared" si="6"/>
        <v>0</v>
      </c>
      <c r="AA37" s="50">
        <f t="shared" si="7"/>
        <v>0</v>
      </c>
      <c r="AB37" s="51">
        <f t="shared" ref="AB37:AC91" si="19">Z37/(1+ElecDiscountRate)^1</f>
        <v>0</v>
      </c>
      <c r="AC37" s="44">
        <f t="shared" si="19"/>
        <v>0</v>
      </c>
      <c r="AD37" s="44">
        <f t="shared" si="9"/>
        <v>0</v>
      </c>
      <c r="AE37" s="44">
        <f t="shared" si="17"/>
        <v>0</v>
      </c>
      <c r="AF37" s="52" t="e">
        <f>HLOOKUP(I37,ElecAvoidedCostsWOCC!$A$5:$Q$50,G37+1,FALSE)</f>
        <v>#N/A</v>
      </c>
      <c r="AG37" s="44" t="e">
        <f t="shared" si="10"/>
        <v>#N/A</v>
      </c>
      <c r="AH37" s="52" t="e">
        <f>HLOOKUP(I37,ElecAvoidedCostsWOCC!$A$5:$Q$50,T37+1,FALSE)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HLOOKUP(I37,ElecAvoidedCostsWOCC!$A$5:$Q$50,G37+1,FALSE)*J37*L37</f>
        <v>#N/A</v>
      </c>
      <c r="AL37" s="44" t="e">
        <f t="shared" si="1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 x14ac:dyDescent="0.35">
      <c r="B38" s="97"/>
      <c r="C38" s="98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4">
        <f t="shared" si="4"/>
        <v>0</v>
      </c>
      <c r="Y38" s="44">
        <f t="shared" si="5"/>
        <v>0</v>
      </c>
      <c r="Z38" s="44">
        <f t="shared" si="6"/>
        <v>0</v>
      </c>
      <c r="AA38" s="50">
        <f t="shared" si="7"/>
        <v>0</v>
      </c>
      <c r="AB38" s="51">
        <f t="shared" si="19"/>
        <v>0</v>
      </c>
      <c r="AC38" s="44">
        <f t="shared" si="19"/>
        <v>0</v>
      </c>
      <c r="AD38" s="44">
        <f t="shared" si="9"/>
        <v>0</v>
      </c>
      <c r="AE38" s="44">
        <f t="shared" si="17"/>
        <v>0</v>
      </c>
      <c r="AF38" s="52" t="e">
        <f>HLOOKUP(I38,ElecAvoidedCostsWOCC!$A$5:$Q$50,G38+1,FALSE)</f>
        <v>#N/A</v>
      </c>
      <c r="AG38" s="44" t="e">
        <f t="shared" si="10"/>
        <v>#N/A</v>
      </c>
      <c r="AH38" s="52" t="e">
        <f>HLOOKUP(I38,ElecAvoidedCostsWOCC!$A$5:$Q$50,T38+1,FALSE)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HLOOKUP(I38,ElecAvoidedCostsWOCC!$A$5:$Q$50,G38+1,FALSE)*J38*L38</f>
        <v>#N/A</v>
      </c>
      <c r="AL38" s="44" t="e">
        <f t="shared" si="1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 x14ac:dyDescent="0.35">
      <c r="B39" s="97"/>
      <c r="C39" s="98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4">
        <f t="shared" si="4"/>
        <v>0</v>
      </c>
      <c r="Y39" s="44">
        <f t="shared" si="5"/>
        <v>0</v>
      </c>
      <c r="Z39" s="44">
        <f t="shared" si="6"/>
        <v>0</v>
      </c>
      <c r="AA39" s="50">
        <f t="shared" si="7"/>
        <v>0</v>
      </c>
      <c r="AB39" s="51">
        <f t="shared" si="19"/>
        <v>0</v>
      </c>
      <c r="AC39" s="44">
        <f t="shared" si="19"/>
        <v>0</v>
      </c>
      <c r="AD39" s="44">
        <f t="shared" si="9"/>
        <v>0</v>
      </c>
      <c r="AE39" s="44">
        <f t="shared" si="17"/>
        <v>0</v>
      </c>
      <c r="AF39" s="52" t="e">
        <f>HLOOKUP(I39,ElecAvoidedCostsWOCC!$A$5:$Q$50,G39+1,FALSE)</f>
        <v>#N/A</v>
      </c>
      <c r="AG39" s="44" t="e">
        <f t="shared" si="10"/>
        <v>#N/A</v>
      </c>
      <c r="AH39" s="52" t="e">
        <f>HLOOKUP(I39,ElecAvoidedCostsWOCC!$A$5:$Q$50,T39+1,FALSE)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HLOOKUP(I39,ElecAvoidedCostsWOCC!$A$5:$Q$50,G39+1,FALSE)*J39*L39</f>
        <v>#N/A</v>
      </c>
      <c r="AL39" s="44" t="e">
        <f t="shared" si="1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 x14ac:dyDescent="0.35">
      <c r="B40" s="97"/>
      <c r="C40" s="98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4">
        <f t="shared" si="4"/>
        <v>0</v>
      </c>
      <c r="Y40" s="44">
        <f t="shared" si="5"/>
        <v>0</v>
      </c>
      <c r="Z40" s="44">
        <f t="shared" si="6"/>
        <v>0</v>
      </c>
      <c r="AA40" s="50">
        <f t="shared" si="7"/>
        <v>0</v>
      </c>
      <c r="AB40" s="51">
        <f t="shared" si="19"/>
        <v>0</v>
      </c>
      <c r="AC40" s="44">
        <f t="shared" si="19"/>
        <v>0</v>
      </c>
      <c r="AD40" s="44">
        <f t="shared" si="9"/>
        <v>0</v>
      </c>
      <c r="AE40" s="44">
        <f t="shared" si="17"/>
        <v>0</v>
      </c>
      <c r="AF40" s="52" t="e">
        <f>HLOOKUP(I40,ElecAvoidedCostsWOCC!$A$5:$Q$50,G40+1,FALSE)</f>
        <v>#N/A</v>
      </c>
      <c r="AG40" s="44" t="e">
        <f t="shared" si="10"/>
        <v>#N/A</v>
      </c>
      <c r="AH40" s="52" t="e">
        <f>HLOOKUP(I40,ElecAvoidedCostsWOCC!$A$5:$Q$50,T40+1,FALSE)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HLOOKUP(I40,ElecAvoidedCostsWOCC!$A$5:$Q$50,G40+1,FALSE)*J40*L40</f>
        <v>#N/A</v>
      </c>
      <c r="AL40" s="44" t="e">
        <f t="shared" si="1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 x14ac:dyDescent="0.35">
      <c r="B41" s="97"/>
      <c r="C41" s="98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4">
        <f t="shared" si="4"/>
        <v>0</v>
      </c>
      <c r="Y41" s="44">
        <f t="shared" si="5"/>
        <v>0</v>
      </c>
      <c r="Z41" s="44">
        <f t="shared" si="6"/>
        <v>0</v>
      </c>
      <c r="AA41" s="50">
        <f t="shared" si="7"/>
        <v>0</v>
      </c>
      <c r="AB41" s="51">
        <f t="shared" si="19"/>
        <v>0</v>
      </c>
      <c r="AC41" s="44">
        <f t="shared" si="19"/>
        <v>0</v>
      </c>
      <c r="AD41" s="44">
        <f t="shared" si="9"/>
        <v>0</v>
      </c>
      <c r="AE41" s="44">
        <f t="shared" si="17"/>
        <v>0</v>
      </c>
      <c r="AF41" s="52" t="e">
        <f>HLOOKUP(I41,ElecAvoidedCostsWOCC!$A$5:$Q$50,G41+1,FALSE)</f>
        <v>#N/A</v>
      </c>
      <c r="AG41" s="44" t="e">
        <f t="shared" si="10"/>
        <v>#N/A</v>
      </c>
      <c r="AH41" s="52" t="e">
        <f>HLOOKUP(I41,ElecAvoidedCostsWOCC!$A$5:$Q$50,T41+1,FALSE)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HLOOKUP(I41,ElecAvoidedCostsWOCC!$A$5:$Q$50,G41+1,FALSE)*J41*L41</f>
        <v>#N/A</v>
      </c>
      <c r="AL41" s="44" t="e">
        <f t="shared" si="1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 x14ac:dyDescent="0.35">
      <c r="B42" s="97"/>
      <c r="C42" s="98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4">
        <f t="shared" si="4"/>
        <v>0</v>
      </c>
      <c r="Y42" s="44">
        <f t="shared" si="5"/>
        <v>0</v>
      </c>
      <c r="Z42" s="44">
        <f t="shared" si="6"/>
        <v>0</v>
      </c>
      <c r="AA42" s="50">
        <f t="shared" si="7"/>
        <v>0</v>
      </c>
      <c r="AB42" s="51">
        <f t="shared" si="19"/>
        <v>0</v>
      </c>
      <c r="AC42" s="44">
        <f t="shared" si="19"/>
        <v>0</v>
      </c>
      <c r="AD42" s="44">
        <f t="shared" si="9"/>
        <v>0</v>
      </c>
      <c r="AE42" s="44">
        <f t="shared" si="17"/>
        <v>0</v>
      </c>
      <c r="AF42" s="52" t="e">
        <f>HLOOKUP(I42,ElecAvoidedCostsWOCC!$A$5:$Q$50,G42+1,FALSE)</f>
        <v>#N/A</v>
      </c>
      <c r="AG42" s="44" t="e">
        <f t="shared" si="10"/>
        <v>#N/A</v>
      </c>
      <c r="AH42" s="52" t="e">
        <f>HLOOKUP(I42,ElecAvoidedCostsWOCC!$A$5:$Q$50,T42+1,FALSE)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HLOOKUP(I42,ElecAvoidedCostsWOCC!$A$5:$Q$50,G42+1,FALSE)*J42*L42</f>
        <v>#N/A</v>
      </c>
      <c r="AL42" s="44" t="e">
        <f t="shared" si="1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 x14ac:dyDescent="0.35">
      <c r="B43" s="97"/>
      <c r="C43" s="98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>
        <f t="shared" si="1"/>
        <v>0</v>
      </c>
      <c r="V43" s="48">
        <f t="shared" si="2"/>
        <v>0</v>
      </c>
      <c r="W43" s="49">
        <f t="shared" si="3"/>
        <v>0</v>
      </c>
      <c r="X43" s="44">
        <f t="shared" si="4"/>
        <v>0</v>
      </c>
      <c r="Y43" s="44">
        <f t="shared" si="5"/>
        <v>0</v>
      </c>
      <c r="Z43" s="44">
        <f t="shared" si="6"/>
        <v>0</v>
      </c>
      <c r="AA43" s="50">
        <f t="shared" si="7"/>
        <v>0</v>
      </c>
      <c r="AB43" s="51">
        <f t="shared" si="19"/>
        <v>0</v>
      </c>
      <c r="AC43" s="44">
        <f t="shared" si="19"/>
        <v>0</v>
      </c>
      <c r="AD43" s="44">
        <f t="shared" si="9"/>
        <v>0</v>
      </c>
      <c r="AE43" s="44">
        <f t="shared" si="17"/>
        <v>0</v>
      </c>
      <c r="AF43" s="52" t="e">
        <f>HLOOKUP(I43,ElecAvoidedCostsWOCC!$A$5:$Q$50,G43+1,FALSE)</f>
        <v>#N/A</v>
      </c>
      <c r="AG43" s="44" t="e">
        <f t="shared" si="10"/>
        <v>#N/A</v>
      </c>
      <c r="AH43" s="52" t="e">
        <f>HLOOKUP(I43,ElecAvoidedCostsWOCC!$A$5:$Q$50,T43+1,FALSE)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HLOOKUP(I43,ElecAvoidedCostsWOCC!$A$5:$Q$50,G43+1,FALSE)*J43*L43</f>
        <v>#N/A</v>
      </c>
      <c r="AL43" s="44" t="e">
        <f t="shared" si="1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 x14ac:dyDescent="0.35">
      <c r="B44" s="97"/>
      <c r="C44" s="98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4">
        <f t="shared" si="4"/>
        <v>0</v>
      </c>
      <c r="Y44" s="44">
        <f t="shared" si="5"/>
        <v>0</v>
      </c>
      <c r="Z44" s="44">
        <f t="shared" si="6"/>
        <v>0</v>
      </c>
      <c r="AA44" s="50">
        <f t="shared" si="7"/>
        <v>0</v>
      </c>
      <c r="AB44" s="51">
        <f t="shared" si="19"/>
        <v>0</v>
      </c>
      <c r="AC44" s="44">
        <f t="shared" si="19"/>
        <v>0</v>
      </c>
      <c r="AD44" s="44">
        <f t="shared" si="9"/>
        <v>0</v>
      </c>
      <c r="AE44" s="44">
        <f t="shared" si="17"/>
        <v>0</v>
      </c>
      <c r="AF44" s="52" t="e">
        <f>HLOOKUP(I44,ElecAvoidedCostsWOCC!$A$5:$Q$50,G44+1,FALSE)</f>
        <v>#N/A</v>
      </c>
      <c r="AG44" s="44" t="e">
        <f t="shared" si="10"/>
        <v>#N/A</v>
      </c>
      <c r="AH44" s="52" t="e">
        <f>HLOOKUP(I44,ElecAvoidedCostsWOCC!$A$5:$Q$50,T44+1,FALSE)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HLOOKUP(I44,ElecAvoidedCostsWOCC!$A$5:$Q$50,G44+1,FALSE)*J44*L44</f>
        <v>#N/A</v>
      </c>
      <c r="AL44" s="44" t="e">
        <f t="shared" si="1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 x14ac:dyDescent="0.35">
      <c r="B45" s="97"/>
      <c r="C45" s="98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4">
        <f t="shared" si="4"/>
        <v>0</v>
      </c>
      <c r="Y45" s="44">
        <f t="shared" si="5"/>
        <v>0</v>
      </c>
      <c r="Z45" s="44">
        <f t="shared" si="6"/>
        <v>0</v>
      </c>
      <c r="AA45" s="50">
        <f t="shared" si="7"/>
        <v>0</v>
      </c>
      <c r="AB45" s="51">
        <f t="shared" si="19"/>
        <v>0</v>
      </c>
      <c r="AC45" s="44">
        <f t="shared" si="19"/>
        <v>0</v>
      </c>
      <c r="AD45" s="44">
        <f t="shared" si="9"/>
        <v>0</v>
      </c>
      <c r="AE45" s="44">
        <f t="shared" si="17"/>
        <v>0</v>
      </c>
      <c r="AF45" s="52" t="e">
        <f>HLOOKUP(I45,ElecAvoidedCostsWOCC!$A$5:$Q$50,G45+1,FALSE)</f>
        <v>#N/A</v>
      </c>
      <c r="AG45" s="44" t="e">
        <f t="shared" si="10"/>
        <v>#N/A</v>
      </c>
      <c r="AH45" s="52" t="e">
        <f>HLOOKUP(I45,ElecAvoidedCostsWOCC!$A$5:$Q$50,T45+1,FALSE)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HLOOKUP(I45,ElecAvoidedCostsWOCC!$A$5:$Q$50,G45+1,FALSE)*J45*L45</f>
        <v>#N/A</v>
      </c>
      <c r="AL45" s="44" t="e">
        <f t="shared" si="1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 x14ac:dyDescent="0.35">
      <c r="B46" s="97"/>
      <c r="C46" s="98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4">
        <f t="shared" si="4"/>
        <v>0</v>
      </c>
      <c r="Y46" s="44">
        <f t="shared" si="5"/>
        <v>0</v>
      </c>
      <c r="Z46" s="44">
        <f t="shared" si="6"/>
        <v>0</v>
      </c>
      <c r="AA46" s="50">
        <f t="shared" si="7"/>
        <v>0</v>
      </c>
      <c r="AB46" s="51">
        <f t="shared" si="19"/>
        <v>0</v>
      </c>
      <c r="AC46" s="44">
        <f t="shared" si="19"/>
        <v>0</v>
      </c>
      <c r="AD46" s="44">
        <f t="shared" si="9"/>
        <v>0</v>
      </c>
      <c r="AE46" s="44">
        <f t="shared" si="17"/>
        <v>0</v>
      </c>
      <c r="AF46" s="52" t="e">
        <f>HLOOKUP(I46,ElecAvoidedCostsWOCC!$A$5:$Q$50,G46+1,FALSE)</f>
        <v>#N/A</v>
      </c>
      <c r="AG46" s="44" t="e">
        <f t="shared" si="10"/>
        <v>#N/A</v>
      </c>
      <c r="AH46" s="52" t="e">
        <f>HLOOKUP(I46,ElecAvoidedCostsWOCC!$A$5:$Q$50,T46+1,FALSE)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HLOOKUP(I46,ElecAvoidedCostsWOCC!$A$5:$Q$50,G46+1,FALSE)*J46*L46</f>
        <v>#N/A</v>
      </c>
      <c r="AL46" s="44" t="e">
        <f t="shared" si="1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 x14ac:dyDescent="0.35">
      <c r="B47" s="97"/>
      <c r="C47" s="98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>
        <f t="shared" si="1"/>
        <v>0</v>
      </c>
      <c r="V47" s="48">
        <f t="shared" si="2"/>
        <v>0</v>
      </c>
      <c r="W47" s="49">
        <f t="shared" si="3"/>
        <v>0</v>
      </c>
      <c r="X47" s="44">
        <f t="shared" si="4"/>
        <v>0</v>
      </c>
      <c r="Y47" s="44">
        <f t="shared" si="5"/>
        <v>0</v>
      </c>
      <c r="Z47" s="44">
        <f t="shared" si="6"/>
        <v>0</v>
      </c>
      <c r="AA47" s="50">
        <f t="shared" si="7"/>
        <v>0</v>
      </c>
      <c r="AB47" s="51">
        <f t="shared" si="19"/>
        <v>0</v>
      </c>
      <c r="AC47" s="44">
        <f t="shared" si="19"/>
        <v>0</v>
      </c>
      <c r="AD47" s="44">
        <f t="shared" si="9"/>
        <v>0</v>
      </c>
      <c r="AE47" s="44">
        <f t="shared" si="17"/>
        <v>0</v>
      </c>
      <c r="AF47" s="52" t="e">
        <f>HLOOKUP(I47,ElecAvoidedCostsWOCC!$A$5:$Q$50,G47+1,FALSE)</f>
        <v>#N/A</v>
      </c>
      <c r="AG47" s="44" t="e">
        <f t="shared" si="10"/>
        <v>#N/A</v>
      </c>
      <c r="AH47" s="52" t="e">
        <f>HLOOKUP(I47,ElecAvoidedCostsWOCC!$A$5:$Q$50,T47+1,FALSE)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HLOOKUP(I47,ElecAvoidedCostsWOCC!$A$5:$Q$50,G47+1,FALSE)*J47*L47</f>
        <v>#N/A</v>
      </c>
      <c r="AL47" s="44" t="e">
        <f t="shared" si="1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 x14ac:dyDescent="0.35">
      <c r="B48" s="97"/>
      <c r="C48" s="98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4">
        <f t="shared" si="4"/>
        <v>0</v>
      </c>
      <c r="Y48" s="44">
        <f t="shared" si="5"/>
        <v>0</v>
      </c>
      <c r="Z48" s="44">
        <f t="shared" si="6"/>
        <v>0</v>
      </c>
      <c r="AA48" s="50">
        <f t="shared" si="7"/>
        <v>0</v>
      </c>
      <c r="AB48" s="51">
        <f t="shared" si="19"/>
        <v>0</v>
      </c>
      <c r="AC48" s="44">
        <f t="shared" si="19"/>
        <v>0</v>
      </c>
      <c r="AD48" s="44">
        <f t="shared" si="9"/>
        <v>0</v>
      </c>
      <c r="AE48" s="44">
        <f t="shared" si="17"/>
        <v>0</v>
      </c>
      <c r="AF48" s="52" t="e">
        <f>HLOOKUP(I48,ElecAvoidedCostsWOCC!$A$5:$Q$50,G48+1,FALSE)</f>
        <v>#N/A</v>
      </c>
      <c r="AG48" s="44" t="e">
        <f t="shared" si="10"/>
        <v>#N/A</v>
      </c>
      <c r="AH48" s="52" t="e">
        <f>HLOOKUP(I48,ElecAvoidedCostsWOCC!$A$5:$Q$50,T48+1,FALSE)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HLOOKUP(I48,ElecAvoidedCostsWOCC!$A$5:$Q$50,G48+1,FALSE)*J48*L48</f>
        <v>#N/A</v>
      </c>
      <c r="AL48" s="44" t="e">
        <f t="shared" si="1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 x14ac:dyDescent="0.35">
      <c r="B49" s="97"/>
      <c r="C49" s="98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4">
        <f t="shared" si="4"/>
        <v>0</v>
      </c>
      <c r="Y49" s="44">
        <f t="shared" si="5"/>
        <v>0</v>
      </c>
      <c r="Z49" s="44">
        <f t="shared" si="6"/>
        <v>0</v>
      </c>
      <c r="AA49" s="50">
        <f t="shared" si="7"/>
        <v>0</v>
      </c>
      <c r="AB49" s="51">
        <f t="shared" si="19"/>
        <v>0</v>
      </c>
      <c r="AC49" s="44">
        <f t="shared" si="19"/>
        <v>0</v>
      </c>
      <c r="AD49" s="44">
        <f t="shared" si="9"/>
        <v>0</v>
      </c>
      <c r="AE49" s="44">
        <f t="shared" si="17"/>
        <v>0</v>
      </c>
      <c r="AF49" s="52" t="e">
        <f>HLOOKUP(I49,ElecAvoidedCostsWOCC!$A$5:$Q$50,G49+1,FALSE)</f>
        <v>#N/A</v>
      </c>
      <c r="AG49" s="44" t="e">
        <f t="shared" si="10"/>
        <v>#N/A</v>
      </c>
      <c r="AH49" s="52" t="e">
        <f>HLOOKUP(I49,ElecAvoidedCostsWOCC!$A$5:$Q$50,T49+1,FALSE)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HLOOKUP(I49,ElecAvoidedCostsWOCC!$A$5:$Q$50,G49+1,FALSE)*J49*L49</f>
        <v>#N/A</v>
      </c>
      <c r="AL49" s="44" t="e">
        <f t="shared" si="1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 x14ac:dyDescent="0.35">
      <c r="B50" s="97"/>
      <c r="C50" s="98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4">
        <f t="shared" si="4"/>
        <v>0</v>
      </c>
      <c r="Y50" s="44">
        <f t="shared" si="5"/>
        <v>0</v>
      </c>
      <c r="Z50" s="44">
        <f t="shared" si="6"/>
        <v>0</v>
      </c>
      <c r="AA50" s="50">
        <f t="shared" si="7"/>
        <v>0</v>
      </c>
      <c r="AB50" s="51">
        <f t="shared" si="19"/>
        <v>0</v>
      </c>
      <c r="AC50" s="44">
        <f t="shared" si="19"/>
        <v>0</v>
      </c>
      <c r="AD50" s="44">
        <f t="shared" si="9"/>
        <v>0</v>
      </c>
      <c r="AE50" s="44">
        <f t="shared" si="17"/>
        <v>0</v>
      </c>
      <c r="AF50" s="52" t="e">
        <f>HLOOKUP(I50,ElecAvoidedCostsWOCC!$A$5:$Q$50,G50+1,FALSE)</f>
        <v>#N/A</v>
      </c>
      <c r="AG50" s="44" t="e">
        <f t="shared" si="10"/>
        <v>#N/A</v>
      </c>
      <c r="AH50" s="52" t="e">
        <f>HLOOKUP(I50,ElecAvoidedCostsWOCC!$A$5:$Q$50,T50+1,FALSE)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HLOOKUP(I50,ElecAvoidedCostsWOCC!$A$5:$Q$50,G50+1,FALSE)*J50*L50</f>
        <v>#N/A</v>
      </c>
      <c r="AL50" s="44" t="e">
        <f t="shared" si="1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 x14ac:dyDescent="0.35">
      <c r="B51" s="97"/>
      <c r="C51" s="98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4">
        <f t="shared" si="4"/>
        <v>0</v>
      </c>
      <c r="Y51" s="44">
        <f t="shared" si="5"/>
        <v>0</v>
      </c>
      <c r="Z51" s="44">
        <f t="shared" si="6"/>
        <v>0</v>
      </c>
      <c r="AA51" s="50">
        <f t="shared" si="7"/>
        <v>0</v>
      </c>
      <c r="AB51" s="51">
        <f t="shared" si="19"/>
        <v>0</v>
      </c>
      <c r="AC51" s="44">
        <f t="shared" si="19"/>
        <v>0</v>
      </c>
      <c r="AD51" s="44">
        <f t="shared" si="9"/>
        <v>0</v>
      </c>
      <c r="AE51" s="44">
        <f t="shared" si="17"/>
        <v>0</v>
      </c>
      <c r="AF51" s="52" t="e">
        <f>HLOOKUP(I51,ElecAvoidedCostsWOCC!$A$5:$Q$50,G51+1,FALSE)</f>
        <v>#N/A</v>
      </c>
      <c r="AG51" s="44" t="e">
        <f t="shared" si="10"/>
        <v>#N/A</v>
      </c>
      <c r="AH51" s="52" t="e">
        <f>HLOOKUP(I51,ElecAvoidedCostsWOCC!$A$5:$Q$50,T51+1,FALSE)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HLOOKUP(I51,ElecAvoidedCostsWOCC!$A$5:$Q$50,G51+1,FALSE)*J51*L51</f>
        <v>#N/A</v>
      </c>
      <c r="AL51" s="44" t="e">
        <f t="shared" si="1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 x14ac:dyDescent="0.35">
      <c r="B52" s="97"/>
      <c r="C52" s="98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4">
        <f t="shared" si="4"/>
        <v>0</v>
      </c>
      <c r="Y52" s="44">
        <f t="shared" si="5"/>
        <v>0</v>
      </c>
      <c r="Z52" s="44">
        <f t="shared" si="6"/>
        <v>0</v>
      </c>
      <c r="AA52" s="50">
        <f t="shared" si="7"/>
        <v>0</v>
      </c>
      <c r="AB52" s="51">
        <f t="shared" si="19"/>
        <v>0</v>
      </c>
      <c r="AC52" s="44">
        <f t="shared" si="19"/>
        <v>0</v>
      </c>
      <c r="AD52" s="44">
        <f t="shared" si="9"/>
        <v>0</v>
      </c>
      <c r="AE52" s="44">
        <f t="shared" si="17"/>
        <v>0</v>
      </c>
      <c r="AF52" s="52" t="e">
        <f>HLOOKUP(I52,ElecAvoidedCostsWOCC!$A$5:$Q$50,G52+1,FALSE)</f>
        <v>#N/A</v>
      </c>
      <c r="AG52" s="44" t="e">
        <f t="shared" si="10"/>
        <v>#N/A</v>
      </c>
      <c r="AH52" s="52" t="e">
        <f>HLOOKUP(I52,ElecAvoidedCostsWOCC!$A$5:$Q$50,T52+1,FALSE)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HLOOKUP(I52,ElecAvoidedCostsWOCC!$A$5:$Q$50,G52+1,FALSE)*J52*L52</f>
        <v>#N/A</v>
      </c>
      <c r="AL52" s="44" t="e">
        <f t="shared" si="1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 x14ac:dyDescent="0.35">
      <c r="B53" s="97"/>
      <c r="C53" s="98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4">
        <f t="shared" si="4"/>
        <v>0</v>
      </c>
      <c r="Y53" s="44">
        <f t="shared" si="5"/>
        <v>0</v>
      </c>
      <c r="Z53" s="44">
        <f t="shared" si="6"/>
        <v>0</v>
      </c>
      <c r="AA53" s="50">
        <f t="shared" si="7"/>
        <v>0</v>
      </c>
      <c r="AB53" s="51">
        <f t="shared" si="19"/>
        <v>0</v>
      </c>
      <c r="AC53" s="44">
        <f t="shared" si="19"/>
        <v>0</v>
      </c>
      <c r="AD53" s="44">
        <f t="shared" si="9"/>
        <v>0</v>
      </c>
      <c r="AE53" s="44">
        <f t="shared" si="17"/>
        <v>0</v>
      </c>
      <c r="AF53" s="52" t="e">
        <f>HLOOKUP(I53,ElecAvoidedCostsWOCC!$A$5:$Q$50,G53+1,FALSE)</f>
        <v>#N/A</v>
      </c>
      <c r="AG53" s="44" t="e">
        <f t="shared" si="10"/>
        <v>#N/A</v>
      </c>
      <c r="AH53" s="52" t="e">
        <f>HLOOKUP(I53,ElecAvoidedCostsWOCC!$A$5:$Q$50,T53+1,FALSE)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HLOOKUP(I53,ElecAvoidedCostsWOCC!$A$5:$Q$50,G53+1,FALSE)*J53*L53</f>
        <v>#N/A</v>
      </c>
      <c r="AL53" s="44" t="e">
        <f t="shared" si="1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4">
        <f t="shared" si="4"/>
        <v>0</v>
      </c>
      <c r="Y54" s="44">
        <f t="shared" si="5"/>
        <v>0</v>
      </c>
      <c r="Z54" s="44">
        <f t="shared" si="6"/>
        <v>0</v>
      </c>
      <c r="AA54" s="50">
        <f t="shared" si="7"/>
        <v>0</v>
      </c>
      <c r="AB54" s="51">
        <f t="shared" si="19"/>
        <v>0</v>
      </c>
      <c r="AC54" s="44">
        <f t="shared" si="19"/>
        <v>0</v>
      </c>
      <c r="AD54" s="44">
        <f t="shared" si="9"/>
        <v>0</v>
      </c>
      <c r="AE54" s="44">
        <f t="shared" si="17"/>
        <v>0</v>
      </c>
      <c r="AF54" s="52" t="e">
        <f>HLOOKUP(I54,ElecAvoidedCostsWOCC!$A$5:$Q$50,G54+1,FALSE)</f>
        <v>#N/A</v>
      </c>
      <c r="AG54" s="44" t="e">
        <f t="shared" si="10"/>
        <v>#N/A</v>
      </c>
      <c r="AH54" s="52" t="e">
        <f>HLOOKUP(I54,ElecAvoidedCostsWOCC!$A$5:$Q$50,T54+1,FALSE)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HLOOKUP(I54,ElecAvoidedCostsWOCC!$A$5:$Q$50,G54+1,FALSE)*J54*L54</f>
        <v>#N/A</v>
      </c>
      <c r="AL54" s="44" t="e">
        <f t="shared" si="1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>
        <f t="shared" si="1"/>
        <v>0</v>
      </c>
      <c r="V55" s="48">
        <f t="shared" si="2"/>
        <v>0</v>
      </c>
      <c r="W55" s="49">
        <f t="shared" si="3"/>
        <v>0</v>
      </c>
      <c r="X55" s="44">
        <f t="shared" si="4"/>
        <v>0</v>
      </c>
      <c r="Y55" s="44">
        <f t="shared" si="5"/>
        <v>0</v>
      </c>
      <c r="Z55" s="44">
        <f t="shared" si="6"/>
        <v>0</v>
      </c>
      <c r="AA55" s="50">
        <f t="shared" si="7"/>
        <v>0</v>
      </c>
      <c r="AB55" s="51">
        <f t="shared" si="19"/>
        <v>0</v>
      </c>
      <c r="AC55" s="44">
        <f t="shared" si="19"/>
        <v>0</v>
      </c>
      <c r="AD55" s="44">
        <f t="shared" si="9"/>
        <v>0</v>
      </c>
      <c r="AE55" s="44">
        <f t="shared" si="17"/>
        <v>0</v>
      </c>
      <c r="AF55" s="52" t="e">
        <f>HLOOKUP(I55,ElecAvoidedCostsWOCC!$A$5:$Q$50,G55+1,FALSE)</f>
        <v>#N/A</v>
      </c>
      <c r="AG55" s="44" t="e">
        <f t="shared" si="10"/>
        <v>#N/A</v>
      </c>
      <c r="AH55" s="52" t="e">
        <f>HLOOKUP(I55,ElecAvoidedCostsWOCC!$A$5:$Q$50,T55+1,FALSE)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HLOOKUP(I55,ElecAvoidedCostsWOCC!$A$5:$Q$50,G55+1,FALSE)*J55*L55</f>
        <v>#N/A</v>
      </c>
      <c r="AL55" s="44" t="e">
        <f t="shared" si="1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4">
        <f t="shared" si="4"/>
        <v>0</v>
      </c>
      <c r="Y56" s="44">
        <f t="shared" si="5"/>
        <v>0</v>
      </c>
      <c r="Z56" s="44">
        <f t="shared" si="6"/>
        <v>0</v>
      </c>
      <c r="AA56" s="50">
        <f t="shared" si="7"/>
        <v>0</v>
      </c>
      <c r="AB56" s="51">
        <f t="shared" si="19"/>
        <v>0</v>
      </c>
      <c r="AC56" s="44">
        <f t="shared" si="19"/>
        <v>0</v>
      </c>
      <c r="AD56" s="44">
        <f t="shared" si="9"/>
        <v>0</v>
      </c>
      <c r="AE56" s="44">
        <f t="shared" si="17"/>
        <v>0</v>
      </c>
      <c r="AF56" s="52" t="e">
        <f>HLOOKUP(I56,ElecAvoidedCostsWOCC!$A$5:$Q$50,G56+1,FALSE)</f>
        <v>#N/A</v>
      </c>
      <c r="AG56" s="44" t="e">
        <f t="shared" si="10"/>
        <v>#N/A</v>
      </c>
      <c r="AH56" s="52" t="e">
        <f>HLOOKUP(I56,ElecAvoidedCostsWOCC!$A$5:$Q$50,T56+1,FALSE)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HLOOKUP(I56,ElecAvoidedCostsWOCC!$A$5:$Q$50,G56+1,FALSE)*J56*L56</f>
        <v>#N/A</v>
      </c>
      <c r="AL56" s="44" t="e">
        <f t="shared" si="1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4">
        <f t="shared" si="4"/>
        <v>0</v>
      </c>
      <c r="Y57" s="44">
        <f t="shared" si="5"/>
        <v>0</v>
      </c>
      <c r="Z57" s="44">
        <f t="shared" si="6"/>
        <v>0</v>
      </c>
      <c r="AA57" s="50">
        <f t="shared" si="7"/>
        <v>0</v>
      </c>
      <c r="AB57" s="51">
        <f t="shared" si="19"/>
        <v>0</v>
      </c>
      <c r="AC57" s="44">
        <f t="shared" si="19"/>
        <v>0</v>
      </c>
      <c r="AD57" s="44">
        <f t="shared" si="9"/>
        <v>0</v>
      </c>
      <c r="AE57" s="44">
        <f t="shared" si="17"/>
        <v>0</v>
      </c>
      <c r="AF57" s="52" t="e">
        <f>HLOOKUP(I57,ElecAvoidedCostsWOCC!$A$5:$Q$50,G57+1,FALSE)</f>
        <v>#N/A</v>
      </c>
      <c r="AG57" s="44" t="e">
        <f t="shared" si="10"/>
        <v>#N/A</v>
      </c>
      <c r="AH57" s="52" t="e">
        <f>HLOOKUP(I57,ElecAvoidedCostsWOCC!$A$5:$Q$50,T57+1,FALSE)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HLOOKUP(I57,ElecAvoidedCostsWOCC!$A$5:$Q$50,G57+1,FALSE)*J57*L57</f>
        <v>#N/A</v>
      </c>
      <c r="AL57" s="44" t="e">
        <f t="shared" si="1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4">
        <f t="shared" si="4"/>
        <v>0</v>
      </c>
      <c r="Y58" s="44">
        <f t="shared" si="5"/>
        <v>0</v>
      </c>
      <c r="Z58" s="44">
        <f t="shared" si="6"/>
        <v>0</v>
      </c>
      <c r="AA58" s="50">
        <f t="shared" si="7"/>
        <v>0</v>
      </c>
      <c r="AB58" s="51">
        <f t="shared" si="19"/>
        <v>0</v>
      </c>
      <c r="AC58" s="44">
        <f t="shared" si="19"/>
        <v>0</v>
      </c>
      <c r="AD58" s="44">
        <f t="shared" si="9"/>
        <v>0</v>
      </c>
      <c r="AE58" s="44">
        <f t="shared" si="17"/>
        <v>0</v>
      </c>
      <c r="AF58" s="52" t="e">
        <f>HLOOKUP(I58,ElecAvoidedCostsWOCC!$A$5:$Q$50,G58+1,FALSE)</f>
        <v>#N/A</v>
      </c>
      <c r="AG58" s="44" t="e">
        <f t="shared" si="10"/>
        <v>#N/A</v>
      </c>
      <c r="AH58" s="52" t="e">
        <f>HLOOKUP(I58,ElecAvoidedCostsWOCC!$A$5:$Q$50,T58+1,FALSE)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HLOOKUP(I58,ElecAvoidedCostsWOCC!$A$5:$Q$50,G58+1,FALSE)*J58*L58</f>
        <v>#N/A</v>
      </c>
      <c r="AL58" s="44" t="e">
        <f t="shared" si="1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4">
        <f t="shared" si="4"/>
        <v>0</v>
      </c>
      <c r="Y59" s="44">
        <f t="shared" si="5"/>
        <v>0</v>
      </c>
      <c r="Z59" s="44">
        <f t="shared" si="6"/>
        <v>0</v>
      </c>
      <c r="AA59" s="50">
        <f t="shared" si="7"/>
        <v>0</v>
      </c>
      <c r="AB59" s="51">
        <f t="shared" si="19"/>
        <v>0</v>
      </c>
      <c r="AC59" s="44">
        <f t="shared" si="19"/>
        <v>0</v>
      </c>
      <c r="AD59" s="44">
        <f t="shared" si="9"/>
        <v>0</v>
      </c>
      <c r="AE59" s="44">
        <f t="shared" si="17"/>
        <v>0</v>
      </c>
      <c r="AF59" s="52" t="e">
        <f>HLOOKUP(I59,ElecAvoidedCostsWOCC!$A$5:$Q$50,G59+1,FALSE)</f>
        <v>#N/A</v>
      </c>
      <c r="AG59" s="44" t="e">
        <f t="shared" si="10"/>
        <v>#N/A</v>
      </c>
      <c r="AH59" s="52" t="e">
        <f>HLOOKUP(I59,ElecAvoidedCostsWOCC!$A$5:$Q$50,T59+1,FALSE)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HLOOKUP(I59,ElecAvoidedCostsWOCC!$A$5:$Q$50,G59+1,FALSE)*J59*L59</f>
        <v>#N/A</v>
      </c>
      <c r="AL59" s="44" t="e">
        <f t="shared" si="1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4">
        <f t="shared" si="4"/>
        <v>0</v>
      </c>
      <c r="Y60" s="44">
        <f t="shared" si="5"/>
        <v>0</v>
      </c>
      <c r="Z60" s="44">
        <f t="shared" si="6"/>
        <v>0</v>
      </c>
      <c r="AA60" s="50">
        <f t="shared" si="7"/>
        <v>0</v>
      </c>
      <c r="AB60" s="51">
        <f t="shared" si="19"/>
        <v>0</v>
      </c>
      <c r="AC60" s="44">
        <f t="shared" si="19"/>
        <v>0</v>
      </c>
      <c r="AD60" s="44">
        <f t="shared" si="9"/>
        <v>0</v>
      </c>
      <c r="AE60" s="44">
        <f t="shared" si="17"/>
        <v>0</v>
      </c>
      <c r="AF60" s="52" t="e">
        <f>HLOOKUP(I60,ElecAvoidedCostsWOCC!$A$5:$Q$50,G60+1,FALSE)</f>
        <v>#N/A</v>
      </c>
      <c r="AG60" s="44" t="e">
        <f t="shared" si="10"/>
        <v>#N/A</v>
      </c>
      <c r="AH60" s="52" t="e">
        <f>HLOOKUP(I60,ElecAvoidedCostsWOCC!$A$5:$Q$50,T60+1,FALSE)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HLOOKUP(I60,ElecAvoidedCostsWOCC!$A$5:$Q$50,G60+1,FALSE)*J60*L60</f>
        <v>#N/A</v>
      </c>
      <c r="AL60" s="44" t="e">
        <f t="shared" si="1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4">
        <f t="shared" si="4"/>
        <v>0</v>
      </c>
      <c r="Y61" s="44">
        <f t="shared" si="5"/>
        <v>0</v>
      </c>
      <c r="Z61" s="44">
        <f t="shared" si="6"/>
        <v>0</v>
      </c>
      <c r="AA61" s="50">
        <f t="shared" si="7"/>
        <v>0</v>
      </c>
      <c r="AB61" s="51">
        <f t="shared" si="19"/>
        <v>0</v>
      </c>
      <c r="AC61" s="44">
        <f t="shared" si="19"/>
        <v>0</v>
      </c>
      <c r="AD61" s="44">
        <f t="shared" si="9"/>
        <v>0</v>
      </c>
      <c r="AE61" s="44">
        <f t="shared" si="17"/>
        <v>0</v>
      </c>
      <c r="AF61" s="52" t="e">
        <f>HLOOKUP(I61,ElecAvoidedCostsWOCC!$A$5:$Q$50,G61+1,FALSE)</f>
        <v>#N/A</v>
      </c>
      <c r="AG61" s="44" t="e">
        <f t="shared" si="10"/>
        <v>#N/A</v>
      </c>
      <c r="AH61" s="52" t="e">
        <f>HLOOKUP(I61,ElecAvoidedCostsWOCC!$A$5:$Q$50,T61+1,FALSE)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HLOOKUP(I61,ElecAvoidedCostsWOCC!$A$5:$Q$50,G61+1,FALSE)*J61*L61</f>
        <v>#N/A</v>
      </c>
      <c r="AL61" s="44" t="e">
        <f t="shared" si="1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>
        <f t="shared" si="1"/>
        <v>0</v>
      </c>
      <c r="V62" s="48">
        <f t="shared" si="2"/>
        <v>0</v>
      </c>
      <c r="W62" s="49">
        <f t="shared" si="3"/>
        <v>0</v>
      </c>
      <c r="X62" s="44">
        <f t="shared" si="4"/>
        <v>0</v>
      </c>
      <c r="Y62" s="44">
        <f t="shared" si="5"/>
        <v>0</v>
      </c>
      <c r="Z62" s="44">
        <f t="shared" si="6"/>
        <v>0</v>
      </c>
      <c r="AA62" s="50">
        <f t="shared" si="7"/>
        <v>0</v>
      </c>
      <c r="AB62" s="51">
        <f t="shared" si="19"/>
        <v>0</v>
      </c>
      <c r="AC62" s="44">
        <f t="shared" si="19"/>
        <v>0</v>
      </c>
      <c r="AD62" s="44">
        <f t="shared" si="9"/>
        <v>0</v>
      </c>
      <c r="AE62" s="44">
        <f t="shared" si="17"/>
        <v>0</v>
      </c>
      <c r="AF62" s="52" t="e">
        <f>HLOOKUP(I62,ElecAvoidedCostsWOCC!$A$5:$Q$50,G62+1,FALSE)</f>
        <v>#N/A</v>
      </c>
      <c r="AG62" s="44" t="e">
        <f t="shared" si="10"/>
        <v>#N/A</v>
      </c>
      <c r="AH62" s="52" t="e">
        <f>HLOOKUP(I62,ElecAvoidedCostsWOCC!$A$5:$Q$50,T62+1,FALSE)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HLOOKUP(I62,ElecAvoidedCostsWOCC!$A$5:$Q$50,G62+1,FALSE)*J62*L62</f>
        <v>#N/A</v>
      </c>
      <c r="AL62" s="44" t="e">
        <f t="shared" si="1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>
        <f t="shared" si="1"/>
        <v>0</v>
      </c>
      <c r="V63" s="48">
        <f t="shared" si="2"/>
        <v>0</v>
      </c>
      <c r="W63" s="49">
        <f t="shared" si="3"/>
        <v>0</v>
      </c>
      <c r="X63" s="44">
        <f t="shared" si="4"/>
        <v>0</v>
      </c>
      <c r="Y63" s="44">
        <f t="shared" si="5"/>
        <v>0</v>
      </c>
      <c r="Z63" s="44">
        <f t="shared" si="6"/>
        <v>0</v>
      </c>
      <c r="AA63" s="50">
        <f t="shared" si="7"/>
        <v>0</v>
      </c>
      <c r="AB63" s="51">
        <f t="shared" si="19"/>
        <v>0</v>
      </c>
      <c r="AC63" s="44">
        <f t="shared" si="19"/>
        <v>0</v>
      </c>
      <c r="AD63" s="44">
        <f t="shared" si="9"/>
        <v>0</v>
      </c>
      <c r="AE63" s="44">
        <f t="shared" si="17"/>
        <v>0</v>
      </c>
      <c r="AF63" s="52" t="e">
        <f>HLOOKUP(I63,ElecAvoidedCostsWOCC!$A$5:$Q$50,G63+1,FALSE)</f>
        <v>#N/A</v>
      </c>
      <c r="AG63" s="44" t="e">
        <f t="shared" si="10"/>
        <v>#N/A</v>
      </c>
      <c r="AH63" s="52" t="e">
        <f>HLOOKUP(I63,ElecAvoidedCostsWOCC!$A$5:$Q$50,T63+1,FALSE)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HLOOKUP(I63,ElecAvoidedCostsWOCC!$A$5:$Q$50,G63+1,FALSE)*J63*L63</f>
        <v>#N/A</v>
      </c>
      <c r="AL63" s="44" t="e">
        <f t="shared" si="1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>
        <f t="shared" si="1"/>
        <v>0</v>
      </c>
      <c r="V64" s="48">
        <f t="shared" si="2"/>
        <v>0</v>
      </c>
      <c r="W64" s="49">
        <f t="shared" si="3"/>
        <v>0</v>
      </c>
      <c r="X64" s="44">
        <f t="shared" si="4"/>
        <v>0</v>
      </c>
      <c r="Y64" s="44">
        <f t="shared" si="5"/>
        <v>0</v>
      </c>
      <c r="Z64" s="44">
        <f t="shared" si="6"/>
        <v>0</v>
      </c>
      <c r="AA64" s="50">
        <f t="shared" si="7"/>
        <v>0</v>
      </c>
      <c r="AB64" s="51">
        <f t="shared" si="19"/>
        <v>0</v>
      </c>
      <c r="AC64" s="44">
        <f t="shared" si="19"/>
        <v>0</v>
      </c>
      <c r="AD64" s="44">
        <f t="shared" si="9"/>
        <v>0</v>
      </c>
      <c r="AE64" s="44">
        <f t="shared" si="17"/>
        <v>0</v>
      </c>
      <c r="AF64" s="52" t="e">
        <f>HLOOKUP(I64,ElecAvoidedCostsWOCC!$A$5:$Q$50,G64+1,FALSE)</f>
        <v>#N/A</v>
      </c>
      <c r="AG64" s="44" t="e">
        <f t="shared" si="10"/>
        <v>#N/A</v>
      </c>
      <c r="AH64" s="52" t="e">
        <f>HLOOKUP(I64,ElecAvoidedCostsWOCC!$A$5:$Q$50,T64+1,FALSE)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HLOOKUP(I64,ElecAvoidedCostsWOCC!$A$5:$Q$50,G64+1,FALSE)*J64*L64</f>
        <v>#N/A</v>
      </c>
      <c r="AL64" s="44" t="e">
        <f t="shared" si="1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>
        <f t="shared" si="1"/>
        <v>0</v>
      </c>
      <c r="V65" s="48">
        <f t="shared" si="2"/>
        <v>0</v>
      </c>
      <c r="W65" s="49">
        <f t="shared" si="3"/>
        <v>0</v>
      </c>
      <c r="X65" s="44">
        <f t="shared" si="4"/>
        <v>0</v>
      </c>
      <c r="Y65" s="44">
        <f t="shared" si="5"/>
        <v>0</v>
      </c>
      <c r="Z65" s="44">
        <f t="shared" si="6"/>
        <v>0</v>
      </c>
      <c r="AA65" s="50">
        <f t="shared" si="7"/>
        <v>0</v>
      </c>
      <c r="AB65" s="51">
        <f t="shared" si="19"/>
        <v>0</v>
      </c>
      <c r="AC65" s="44">
        <f t="shared" si="19"/>
        <v>0</v>
      </c>
      <c r="AD65" s="44">
        <f t="shared" si="9"/>
        <v>0</v>
      </c>
      <c r="AE65" s="44">
        <f t="shared" si="17"/>
        <v>0</v>
      </c>
      <c r="AF65" s="52" t="e">
        <f>HLOOKUP(I65,ElecAvoidedCostsWOCC!$A$5:$Q$50,G65+1,FALSE)</f>
        <v>#N/A</v>
      </c>
      <c r="AG65" s="44" t="e">
        <f t="shared" si="10"/>
        <v>#N/A</v>
      </c>
      <c r="AH65" s="52" t="e">
        <f>HLOOKUP(I65,ElecAvoidedCostsWOCC!$A$5:$Q$50,T65+1,FALSE)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HLOOKUP(I65,ElecAvoidedCostsWOCC!$A$5:$Q$50,G65+1,FALSE)*J65*L65</f>
        <v>#N/A</v>
      </c>
      <c r="AL65" s="44" t="e">
        <f t="shared" si="1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>
        <f t="shared" si="1"/>
        <v>0</v>
      </c>
      <c r="V66" s="48">
        <f t="shared" si="2"/>
        <v>0</v>
      </c>
      <c r="W66" s="49">
        <f t="shared" si="3"/>
        <v>0</v>
      </c>
      <c r="X66" s="44">
        <f t="shared" si="4"/>
        <v>0</v>
      </c>
      <c r="Y66" s="44">
        <f t="shared" si="5"/>
        <v>0</v>
      </c>
      <c r="Z66" s="44">
        <f t="shared" si="6"/>
        <v>0</v>
      </c>
      <c r="AA66" s="50">
        <f t="shared" si="7"/>
        <v>0</v>
      </c>
      <c r="AB66" s="51">
        <f t="shared" si="19"/>
        <v>0</v>
      </c>
      <c r="AC66" s="44">
        <f t="shared" si="19"/>
        <v>0</v>
      </c>
      <c r="AD66" s="44">
        <f t="shared" si="9"/>
        <v>0</v>
      </c>
      <c r="AE66" s="44">
        <f t="shared" si="17"/>
        <v>0</v>
      </c>
      <c r="AF66" s="52" t="e">
        <f>HLOOKUP(I66,ElecAvoidedCostsWOCC!$A$5:$Q$50,G66+1,FALSE)</f>
        <v>#N/A</v>
      </c>
      <c r="AG66" s="44" t="e">
        <f t="shared" si="10"/>
        <v>#N/A</v>
      </c>
      <c r="AH66" s="52" t="e">
        <f>HLOOKUP(I66,ElecAvoidedCostsWOCC!$A$5:$Q$50,T66+1,FALSE)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HLOOKUP(I66,ElecAvoidedCostsWOCC!$A$5:$Q$50,G66+1,FALSE)*J66*L66</f>
        <v>#N/A</v>
      </c>
      <c r="AL66" s="44" t="e">
        <f t="shared" si="1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>
        <f t="shared" si="1"/>
        <v>0</v>
      </c>
      <c r="V67" s="48">
        <f t="shared" si="2"/>
        <v>0</v>
      </c>
      <c r="W67" s="49">
        <f t="shared" si="3"/>
        <v>0</v>
      </c>
      <c r="X67" s="44">
        <f t="shared" si="4"/>
        <v>0</v>
      </c>
      <c r="Y67" s="44">
        <f t="shared" si="5"/>
        <v>0</v>
      </c>
      <c r="Z67" s="44">
        <f t="shared" si="6"/>
        <v>0</v>
      </c>
      <c r="AA67" s="50">
        <f t="shared" si="7"/>
        <v>0</v>
      </c>
      <c r="AB67" s="51">
        <f t="shared" si="19"/>
        <v>0</v>
      </c>
      <c r="AC67" s="44">
        <f t="shared" si="19"/>
        <v>0</v>
      </c>
      <c r="AD67" s="44">
        <f t="shared" si="9"/>
        <v>0</v>
      </c>
      <c r="AE67" s="44">
        <f t="shared" si="17"/>
        <v>0</v>
      </c>
      <c r="AF67" s="52" t="e">
        <f>HLOOKUP(I67,ElecAvoidedCostsWOCC!$A$5:$Q$50,G67+1,FALSE)</f>
        <v>#N/A</v>
      </c>
      <c r="AG67" s="44" t="e">
        <f t="shared" si="10"/>
        <v>#N/A</v>
      </c>
      <c r="AH67" s="52" t="e">
        <f>HLOOKUP(I67,ElecAvoidedCostsWOCC!$A$5:$Q$50,T67+1,FALSE)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HLOOKUP(I67,ElecAvoidedCostsWOCC!$A$5:$Q$50,G67+1,FALSE)*J67*L67</f>
        <v>#N/A</v>
      </c>
      <c r="AL67" s="44" t="e">
        <f t="shared" si="1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0"/>
        <v>0</v>
      </c>
      <c r="U68" s="47">
        <f t="shared" si="1"/>
        <v>0</v>
      </c>
      <c r="V68" s="48">
        <f t="shared" si="2"/>
        <v>0</v>
      </c>
      <c r="W68" s="49">
        <f t="shared" si="3"/>
        <v>0</v>
      </c>
      <c r="X68" s="44">
        <f t="shared" si="4"/>
        <v>0</v>
      </c>
      <c r="Y68" s="44">
        <f t="shared" si="5"/>
        <v>0</v>
      </c>
      <c r="Z68" s="44">
        <f t="shared" si="6"/>
        <v>0</v>
      </c>
      <c r="AA68" s="50">
        <f t="shared" si="7"/>
        <v>0</v>
      </c>
      <c r="AB68" s="51">
        <f t="shared" si="19"/>
        <v>0</v>
      </c>
      <c r="AC68" s="44">
        <f t="shared" si="19"/>
        <v>0</v>
      </c>
      <c r="AD68" s="44">
        <f t="shared" si="9"/>
        <v>0</v>
      </c>
      <c r="AE68" s="44">
        <f t="shared" si="17"/>
        <v>0</v>
      </c>
      <c r="AF68" s="52" t="e">
        <f>HLOOKUP(I68,ElecAvoidedCostsWOCC!$A$5:$Q$50,G68+1,FALSE)</f>
        <v>#N/A</v>
      </c>
      <c r="AG68" s="44" t="e">
        <f t="shared" si="10"/>
        <v>#N/A</v>
      </c>
      <c r="AH68" s="52" t="e">
        <f>HLOOKUP(I68,ElecAvoidedCostsWOCC!$A$5:$Q$50,T68+1,FALSE)</f>
        <v>#N/A</v>
      </c>
      <c r="AI68" s="44" t="e">
        <f t="shared" si="11"/>
        <v>#N/A</v>
      </c>
      <c r="AJ68" s="44" t="e">
        <f t="shared" si="12"/>
        <v>#N/A</v>
      </c>
      <c r="AK68" s="44" t="e">
        <f>HLOOKUP(I68,ElecAvoidedCostsWOCC!$A$5:$Q$50,G68+1,FALSE)*J68*L68</f>
        <v>#N/A</v>
      </c>
      <c r="AL68" s="44" t="e">
        <f t="shared" si="1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14"/>
        <v>0</v>
      </c>
      <c r="AO68" s="47">
        <f t="shared" si="15"/>
        <v>0</v>
      </c>
      <c r="AP68" s="47" t="e">
        <f t="shared" si="16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ref="T69:T88" si="20">G69+H69</f>
        <v>0</v>
      </c>
      <c r="U69" s="47">
        <f t="shared" ref="U69:U88" si="21">(O69/$A$10)*T69</f>
        <v>0</v>
      </c>
      <c r="V69" s="48">
        <f t="shared" ref="V69:V88" si="22">N69-M69</f>
        <v>0</v>
      </c>
      <c r="W69" s="49">
        <f t="shared" ref="W69:W88" si="23">(O69/A$10)</f>
        <v>0</v>
      </c>
      <c r="X69" s="44">
        <f t="shared" ref="X69:X88" si="24">W69*A$8</f>
        <v>0</v>
      </c>
      <c r="Y69" s="44">
        <f t="shared" ref="Y69:Y88" si="25">Q69-P69</f>
        <v>0</v>
      </c>
      <c r="Z69" s="44">
        <f t="shared" ref="Z69:Z88" si="26">X69+(A$6*W69)</f>
        <v>0</v>
      </c>
      <c r="AA69" s="50">
        <f t="shared" ref="AA69:AA88" si="27">Q69+X69</f>
        <v>0</v>
      </c>
      <c r="AB69" s="51">
        <f t="shared" si="19"/>
        <v>0</v>
      </c>
      <c r="AC69" s="44">
        <f t="shared" si="19"/>
        <v>0</v>
      </c>
      <c r="AD69" s="44">
        <f t="shared" ref="AD69:AD88" si="28">-PV(ElecDiscountRate,T69,R69)*J69</f>
        <v>0</v>
      </c>
      <c r="AE69" s="44">
        <f t="shared" si="17"/>
        <v>0</v>
      </c>
      <c r="AF69" s="52" t="e">
        <f>HLOOKUP(I69,ElecAvoidedCostsWOCC!$A$5:$Q$50,G69+1,FALSE)</f>
        <v>#N/A</v>
      </c>
      <c r="AG69" s="44" t="e">
        <f t="shared" ref="AG69:AG88" si="29">AF69*J69*K69</f>
        <v>#N/A</v>
      </c>
      <c r="AH69" s="52" t="e">
        <f>HLOOKUP(I69,ElecAvoidedCostsWOCC!$A$5:$Q$50,T69+1,FALSE)</f>
        <v>#N/A</v>
      </c>
      <c r="AI69" s="44" t="e">
        <f t="shared" ref="AI69:AI88" si="30">AH69*J69*L69</f>
        <v>#N/A</v>
      </c>
      <c r="AJ69" s="44" t="e">
        <f t="shared" si="12"/>
        <v>#N/A</v>
      </c>
      <c r="AK69" s="44" t="e">
        <f>HLOOKUP(I69,ElecAvoidedCostsWOCC!$A$5:$Q$50,G69+1,FALSE)*J69*L69</f>
        <v>#N/A</v>
      </c>
      <c r="AL69" s="44" t="e">
        <f t="shared" si="1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14"/>
        <v>0</v>
      </c>
      <c r="AO69" s="47">
        <f t="shared" si="15"/>
        <v>0</v>
      </c>
      <c r="AP69" s="47" t="e">
        <f t="shared" si="16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19"/>
        <v>0</v>
      </c>
      <c r="AC70" s="44">
        <f t="shared" si="19"/>
        <v>0</v>
      </c>
      <c r="AD70" s="44">
        <f t="shared" si="28"/>
        <v>0</v>
      </c>
      <c r="AE70" s="44">
        <f t="shared" si="17"/>
        <v>0</v>
      </c>
      <c r="AF70" s="52" t="e">
        <f>HLOOKUP(I70,ElecAvoidedCostsWOCC!$A$5:$Q$50,G70+1,FALSE)</f>
        <v>#N/A</v>
      </c>
      <c r="AG70" s="44" t="e">
        <f t="shared" si="29"/>
        <v>#N/A</v>
      </c>
      <c r="AH70" s="52" t="e">
        <f>HLOOKUP(I70,ElecAvoidedCostsWOCC!$A$5:$Q$50,T70+1,FALSE)</f>
        <v>#N/A</v>
      </c>
      <c r="AI70" s="44" t="e">
        <f t="shared" si="30"/>
        <v>#N/A</v>
      </c>
      <c r="AJ70" s="44" t="e">
        <f t="shared" ref="AJ70:AJ88" si="31">AG70+AI70</f>
        <v>#N/A</v>
      </c>
      <c r="AK70" s="44" t="e">
        <f>HLOOKUP(I70,ElecAvoidedCostsWOCC!$A$5:$Q$50,G70+1,FALSE)*J70*L70</f>
        <v>#N/A</v>
      </c>
      <c r="AL70" s="44" t="e">
        <f t="shared" ref="AL70:AL88" si="32">AG70+AI70-AK70</f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ref="AN70:AN88" si="33">AM70*1.1+AD70+AE70</f>
        <v>0</v>
      </c>
      <c r="AO70" s="47">
        <f t="shared" ref="AO70:AO88" si="34">IFERROR(AM70/AB70,0)</f>
        <v>0</v>
      </c>
      <c r="AP70" s="47" t="e">
        <f t="shared" ref="AP70:AP88" si="35">AN70/AC70</f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19"/>
        <v>0</v>
      </c>
      <c r="AC71" s="44">
        <f t="shared" si="19"/>
        <v>0</v>
      </c>
      <c r="AD71" s="44">
        <f t="shared" si="28"/>
        <v>0</v>
      </c>
      <c r="AE71" s="44">
        <f t="shared" si="17"/>
        <v>0</v>
      </c>
      <c r="AF71" s="52" t="e">
        <f>HLOOKUP(I71,ElecAvoidedCostsWOCC!$A$5:$Q$50,G71+1,FALSE)</f>
        <v>#N/A</v>
      </c>
      <c r="AG71" s="44" t="e">
        <f t="shared" si="29"/>
        <v>#N/A</v>
      </c>
      <c r="AH71" s="52" t="e">
        <f>HLOOKUP(I71,ElecAvoidedCostsWOCC!$A$5:$Q$50,T71+1,FALSE)</f>
        <v>#N/A</v>
      </c>
      <c r="AI71" s="44" t="e">
        <f t="shared" si="30"/>
        <v>#N/A</v>
      </c>
      <c r="AJ71" s="44" t="e">
        <f t="shared" si="31"/>
        <v>#N/A</v>
      </c>
      <c r="AK71" s="44" t="e">
        <f>HLOOKUP(I71,ElecAvoidedCostsWOCC!$A$5:$Q$50,G71+1,FALSE)*J71*L71</f>
        <v>#N/A</v>
      </c>
      <c r="AL71" s="44" t="e">
        <f t="shared" si="3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3"/>
        <v>0</v>
      </c>
      <c r="AO71" s="47">
        <f t="shared" si="34"/>
        <v>0</v>
      </c>
      <c r="AP71" s="47" t="e">
        <f t="shared" si="35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19"/>
        <v>0</v>
      </c>
      <c r="AC72" s="44">
        <f t="shared" si="19"/>
        <v>0</v>
      </c>
      <c r="AD72" s="44">
        <f t="shared" si="28"/>
        <v>0</v>
      </c>
      <c r="AE72" s="44">
        <f t="shared" si="17"/>
        <v>0</v>
      </c>
      <c r="AF72" s="52" t="e">
        <f>HLOOKUP(I72,ElecAvoidedCostsWOCC!$A$5:$Q$50,G72+1,FALSE)</f>
        <v>#N/A</v>
      </c>
      <c r="AG72" s="44" t="e">
        <f t="shared" si="29"/>
        <v>#N/A</v>
      </c>
      <c r="AH72" s="52" t="e">
        <f>HLOOKUP(I72,ElecAvoidedCostsWOCC!$A$5:$Q$50,T72+1,FALSE)</f>
        <v>#N/A</v>
      </c>
      <c r="AI72" s="44" t="e">
        <f t="shared" si="30"/>
        <v>#N/A</v>
      </c>
      <c r="AJ72" s="44" t="e">
        <f t="shared" si="31"/>
        <v>#N/A</v>
      </c>
      <c r="AK72" s="44" t="e">
        <f>HLOOKUP(I72,ElecAvoidedCostsWOCC!$A$5:$Q$50,G72+1,FALSE)*J72*L72</f>
        <v>#N/A</v>
      </c>
      <c r="AL72" s="44" t="e">
        <f t="shared" si="3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3"/>
        <v>0</v>
      </c>
      <c r="AO72" s="47">
        <f t="shared" si="34"/>
        <v>0</v>
      </c>
      <c r="AP72" s="47" t="e">
        <f t="shared" si="35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19"/>
        <v>0</v>
      </c>
      <c r="AC73" s="44">
        <f t="shared" si="19"/>
        <v>0</v>
      </c>
      <c r="AD73" s="44">
        <f t="shared" si="28"/>
        <v>0</v>
      </c>
      <c r="AE73" s="44">
        <f t="shared" ref="AE73:AE88" si="36">-PV(ElecDiscountRate,T73,S73)*J73</f>
        <v>0</v>
      </c>
      <c r="AF73" s="52" t="e">
        <f>HLOOKUP(I73,ElecAvoidedCostsWOCC!$A$5:$Q$50,G73+1,FALSE)</f>
        <v>#N/A</v>
      </c>
      <c r="AG73" s="44" t="e">
        <f t="shared" si="29"/>
        <v>#N/A</v>
      </c>
      <c r="AH73" s="52" t="e">
        <f>HLOOKUP(I73,ElecAvoidedCostsWOCC!$A$5:$Q$50,T73+1,FALSE)</f>
        <v>#N/A</v>
      </c>
      <c r="AI73" s="44" t="e">
        <f t="shared" si="30"/>
        <v>#N/A</v>
      </c>
      <c r="AJ73" s="44" t="e">
        <f t="shared" si="31"/>
        <v>#N/A</v>
      </c>
      <c r="AK73" s="44" t="e">
        <f>HLOOKUP(I73,ElecAvoidedCostsWOCC!$A$5:$Q$50,G73+1,FALSE)*J73*L73</f>
        <v>#N/A</v>
      </c>
      <c r="AL73" s="44" t="e">
        <f t="shared" si="3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3"/>
        <v>0</v>
      </c>
      <c r="AO73" s="47">
        <f t="shared" si="34"/>
        <v>0</v>
      </c>
      <c r="AP73" s="47" t="e">
        <f t="shared" si="35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19"/>
        <v>0</v>
      </c>
      <c r="AC74" s="44">
        <f t="shared" si="19"/>
        <v>0</v>
      </c>
      <c r="AD74" s="44">
        <f t="shared" si="28"/>
        <v>0</v>
      </c>
      <c r="AE74" s="44">
        <f t="shared" si="36"/>
        <v>0</v>
      </c>
      <c r="AF74" s="52" t="e">
        <f>HLOOKUP(I74,ElecAvoidedCostsWOCC!$A$5:$Q$50,G74+1,FALSE)</f>
        <v>#N/A</v>
      </c>
      <c r="AG74" s="44" t="e">
        <f t="shared" si="29"/>
        <v>#N/A</v>
      </c>
      <c r="AH74" s="52" t="e">
        <f>HLOOKUP(I74,ElecAvoidedCostsWOCC!$A$5:$Q$50,T74+1,FALSE)</f>
        <v>#N/A</v>
      </c>
      <c r="AI74" s="44" t="e">
        <f t="shared" si="30"/>
        <v>#N/A</v>
      </c>
      <c r="AJ74" s="44" t="e">
        <f t="shared" si="31"/>
        <v>#N/A</v>
      </c>
      <c r="AK74" s="44" t="e">
        <f>HLOOKUP(I74,ElecAvoidedCostsWOCC!$A$5:$Q$50,G74+1,FALSE)*J74*L74</f>
        <v>#N/A</v>
      </c>
      <c r="AL74" s="44" t="e">
        <f t="shared" si="3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3"/>
        <v>0</v>
      </c>
      <c r="AO74" s="47">
        <f t="shared" si="34"/>
        <v>0</v>
      </c>
      <c r="AP74" s="47" t="e">
        <f t="shared" si="35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19"/>
        <v>0</v>
      </c>
      <c r="AC75" s="44">
        <f t="shared" si="19"/>
        <v>0</v>
      </c>
      <c r="AD75" s="44">
        <f t="shared" si="28"/>
        <v>0</v>
      </c>
      <c r="AE75" s="44">
        <f t="shared" si="36"/>
        <v>0</v>
      </c>
      <c r="AF75" s="52" t="e">
        <f>HLOOKUP(I75,ElecAvoidedCostsWOCC!$A$5:$Q$50,G75+1,FALSE)</f>
        <v>#N/A</v>
      </c>
      <c r="AG75" s="44" t="e">
        <f t="shared" si="29"/>
        <v>#N/A</v>
      </c>
      <c r="AH75" s="52" t="e">
        <f>HLOOKUP(I75,ElecAvoidedCostsWOCC!$A$5:$Q$50,T75+1,FALSE)</f>
        <v>#N/A</v>
      </c>
      <c r="AI75" s="44" t="e">
        <f t="shared" si="30"/>
        <v>#N/A</v>
      </c>
      <c r="AJ75" s="44" t="e">
        <f t="shared" si="31"/>
        <v>#N/A</v>
      </c>
      <c r="AK75" s="44" t="e">
        <f>HLOOKUP(I75,ElecAvoidedCostsWOCC!$A$5:$Q$50,G75+1,FALSE)*J75*L75</f>
        <v>#N/A</v>
      </c>
      <c r="AL75" s="44" t="e">
        <f t="shared" si="3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3"/>
        <v>0</v>
      </c>
      <c r="AO75" s="47">
        <f t="shared" si="34"/>
        <v>0</v>
      </c>
      <c r="AP75" s="47" t="e">
        <f t="shared" si="35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19"/>
        <v>0</v>
      </c>
      <c r="AC76" s="44">
        <f t="shared" si="19"/>
        <v>0</v>
      </c>
      <c r="AD76" s="44">
        <f t="shared" si="28"/>
        <v>0</v>
      </c>
      <c r="AE76" s="44">
        <f t="shared" si="36"/>
        <v>0</v>
      </c>
      <c r="AF76" s="52" t="e">
        <f>HLOOKUP(I76,ElecAvoidedCostsWOCC!$A$5:$Q$50,G76+1,FALSE)</f>
        <v>#N/A</v>
      </c>
      <c r="AG76" s="44" t="e">
        <f t="shared" si="29"/>
        <v>#N/A</v>
      </c>
      <c r="AH76" s="52" t="e">
        <f>HLOOKUP(I76,ElecAvoidedCostsWOCC!$A$5:$Q$50,T76+1,FALSE)</f>
        <v>#N/A</v>
      </c>
      <c r="AI76" s="44" t="e">
        <f t="shared" si="30"/>
        <v>#N/A</v>
      </c>
      <c r="AJ76" s="44" t="e">
        <f t="shared" si="31"/>
        <v>#N/A</v>
      </c>
      <c r="AK76" s="44" t="e">
        <f>HLOOKUP(I76,ElecAvoidedCostsWOCC!$A$5:$Q$50,G76+1,FALSE)*J76*L76</f>
        <v>#N/A</v>
      </c>
      <c r="AL76" s="44" t="e">
        <f t="shared" si="3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3"/>
        <v>0</v>
      </c>
      <c r="AO76" s="47">
        <f t="shared" si="34"/>
        <v>0</v>
      </c>
      <c r="AP76" s="47" t="e">
        <f t="shared" si="35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19"/>
        <v>0</v>
      </c>
      <c r="AC77" s="44">
        <f t="shared" si="19"/>
        <v>0</v>
      </c>
      <c r="AD77" s="44">
        <f t="shared" si="28"/>
        <v>0</v>
      </c>
      <c r="AE77" s="44">
        <f t="shared" si="36"/>
        <v>0</v>
      </c>
      <c r="AF77" s="52" t="e">
        <f>HLOOKUP(I77,ElecAvoidedCostsWOCC!$A$5:$Q$50,G77+1,FALSE)</f>
        <v>#N/A</v>
      </c>
      <c r="AG77" s="44" t="e">
        <f t="shared" si="29"/>
        <v>#N/A</v>
      </c>
      <c r="AH77" s="52" t="e">
        <f>HLOOKUP(I77,ElecAvoidedCostsWOCC!$A$5:$Q$50,T77+1,FALSE)</f>
        <v>#N/A</v>
      </c>
      <c r="AI77" s="44" t="e">
        <f t="shared" si="30"/>
        <v>#N/A</v>
      </c>
      <c r="AJ77" s="44" t="e">
        <f t="shared" si="31"/>
        <v>#N/A</v>
      </c>
      <c r="AK77" s="44" t="e">
        <f>HLOOKUP(I77,ElecAvoidedCostsWOCC!$A$5:$Q$50,G77+1,FALSE)*J77*L77</f>
        <v>#N/A</v>
      </c>
      <c r="AL77" s="44" t="e">
        <f t="shared" si="3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3"/>
        <v>0</v>
      </c>
      <c r="AO77" s="47">
        <f t="shared" si="34"/>
        <v>0</v>
      </c>
      <c r="AP77" s="47" t="e">
        <f t="shared" si="35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19"/>
        <v>0</v>
      </c>
      <c r="AC78" s="44">
        <f t="shared" si="19"/>
        <v>0</v>
      </c>
      <c r="AD78" s="44">
        <f t="shared" si="28"/>
        <v>0</v>
      </c>
      <c r="AE78" s="44">
        <f t="shared" si="36"/>
        <v>0</v>
      </c>
      <c r="AF78" s="52" t="e">
        <f>HLOOKUP(I78,ElecAvoidedCostsWOCC!$A$5:$Q$50,G78+1,FALSE)</f>
        <v>#N/A</v>
      </c>
      <c r="AG78" s="44" t="e">
        <f t="shared" si="29"/>
        <v>#N/A</v>
      </c>
      <c r="AH78" s="52" t="e">
        <f>HLOOKUP(I78,ElecAvoidedCostsWOCC!$A$5:$Q$50,T78+1,FALSE)</f>
        <v>#N/A</v>
      </c>
      <c r="AI78" s="44" t="e">
        <f t="shared" si="30"/>
        <v>#N/A</v>
      </c>
      <c r="AJ78" s="44" t="e">
        <f t="shared" si="31"/>
        <v>#N/A</v>
      </c>
      <c r="AK78" s="44" t="e">
        <f>HLOOKUP(I78,ElecAvoidedCostsWOCC!$A$5:$Q$50,G78+1,FALSE)*J78*L78</f>
        <v>#N/A</v>
      </c>
      <c r="AL78" s="44" t="e">
        <f t="shared" si="3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3"/>
        <v>0</v>
      </c>
      <c r="AO78" s="47">
        <f t="shared" si="34"/>
        <v>0</v>
      </c>
      <c r="AP78" s="47" t="e">
        <f t="shared" si="35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19"/>
        <v>0</v>
      </c>
      <c r="AC79" s="44">
        <f t="shared" si="19"/>
        <v>0</v>
      </c>
      <c r="AD79" s="44">
        <f t="shared" si="28"/>
        <v>0</v>
      </c>
      <c r="AE79" s="44">
        <f t="shared" si="36"/>
        <v>0</v>
      </c>
      <c r="AF79" s="52" t="e">
        <f>HLOOKUP(I79,ElecAvoidedCostsWOCC!$A$5:$Q$50,G79+1,FALSE)</f>
        <v>#N/A</v>
      </c>
      <c r="AG79" s="44" t="e">
        <f t="shared" si="29"/>
        <v>#N/A</v>
      </c>
      <c r="AH79" s="52" t="e">
        <f>HLOOKUP(I79,ElecAvoidedCostsWOCC!$A$5:$Q$50,T79+1,FALSE)</f>
        <v>#N/A</v>
      </c>
      <c r="AI79" s="44" t="e">
        <f t="shared" si="30"/>
        <v>#N/A</v>
      </c>
      <c r="AJ79" s="44" t="e">
        <f t="shared" si="31"/>
        <v>#N/A</v>
      </c>
      <c r="AK79" s="44" t="e">
        <f>HLOOKUP(I79,ElecAvoidedCostsWOCC!$A$5:$Q$50,G79+1,FALSE)*J79*L79</f>
        <v>#N/A</v>
      </c>
      <c r="AL79" s="44" t="e">
        <f t="shared" si="3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3"/>
        <v>0</v>
      </c>
      <c r="AO79" s="47">
        <f t="shared" si="34"/>
        <v>0</v>
      </c>
      <c r="AP79" s="47" t="e">
        <f t="shared" si="35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19"/>
        <v>0</v>
      </c>
      <c r="AC80" s="44">
        <f t="shared" si="19"/>
        <v>0</v>
      </c>
      <c r="AD80" s="44">
        <f t="shared" si="28"/>
        <v>0</v>
      </c>
      <c r="AE80" s="44">
        <f t="shared" si="36"/>
        <v>0</v>
      </c>
      <c r="AF80" s="52" t="e">
        <f>HLOOKUP(I80,ElecAvoidedCostsWOCC!$A$5:$Q$50,G80+1,FALSE)</f>
        <v>#N/A</v>
      </c>
      <c r="AG80" s="44" t="e">
        <f t="shared" si="29"/>
        <v>#N/A</v>
      </c>
      <c r="AH80" s="52" t="e">
        <f>HLOOKUP(I80,ElecAvoidedCostsWOCC!$A$5:$Q$50,T80+1,FALSE)</f>
        <v>#N/A</v>
      </c>
      <c r="AI80" s="44" t="e">
        <f t="shared" si="30"/>
        <v>#N/A</v>
      </c>
      <c r="AJ80" s="44" t="e">
        <f t="shared" si="31"/>
        <v>#N/A</v>
      </c>
      <c r="AK80" s="44" t="e">
        <f>HLOOKUP(I80,ElecAvoidedCostsWOCC!$A$5:$Q$50,G80+1,FALSE)*J80*L80</f>
        <v>#N/A</v>
      </c>
      <c r="AL80" s="44" t="e">
        <f t="shared" si="3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3"/>
        <v>0</v>
      </c>
      <c r="AO80" s="47">
        <f t="shared" si="34"/>
        <v>0</v>
      </c>
      <c r="AP80" s="47" t="e">
        <f t="shared" si="35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19"/>
        <v>0</v>
      </c>
      <c r="AC81" s="44">
        <f t="shared" si="19"/>
        <v>0</v>
      </c>
      <c r="AD81" s="44">
        <f t="shared" si="28"/>
        <v>0</v>
      </c>
      <c r="AE81" s="44">
        <f t="shared" si="36"/>
        <v>0</v>
      </c>
      <c r="AF81" s="52" t="e">
        <f>HLOOKUP(I81,ElecAvoidedCostsWOCC!$A$5:$Q$50,G81+1,FALSE)</f>
        <v>#N/A</v>
      </c>
      <c r="AG81" s="44" t="e">
        <f t="shared" si="29"/>
        <v>#N/A</v>
      </c>
      <c r="AH81" s="52" t="e">
        <f>HLOOKUP(I81,ElecAvoidedCostsWOCC!$A$5:$Q$50,T81+1,FALSE)</f>
        <v>#N/A</v>
      </c>
      <c r="AI81" s="44" t="e">
        <f t="shared" si="30"/>
        <v>#N/A</v>
      </c>
      <c r="AJ81" s="44" t="e">
        <f t="shared" si="31"/>
        <v>#N/A</v>
      </c>
      <c r="AK81" s="44" t="e">
        <f>HLOOKUP(I81,ElecAvoidedCostsWOCC!$A$5:$Q$50,G81+1,FALSE)*J81*L81</f>
        <v>#N/A</v>
      </c>
      <c r="AL81" s="44" t="e">
        <f t="shared" si="3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3"/>
        <v>0</v>
      </c>
      <c r="AO81" s="47">
        <f t="shared" si="34"/>
        <v>0</v>
      </c>
      <c r="AP81" s="47" t="e">
        <f t="shared" si="35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19"/>
        <v>0</v>
      </c>
      <c r="AC82" s="44">
        <f t="shared" si="19"/>
        <v>0</v>
      </c>
      <c r="AD82" s="44">
        <f t="shared" si="28"/>
        <v>0</v>
      </c>
      <c r="AE82" s="44">
        <f t="shared" si="36"/>
        <v>0</v>
      </c>
      <c r="AF82" s="52" t="e">
        <f>HLOOKUP(I82,ElecAvoidedCostsWOCC!$A$5:$Q$50,G82+1,FALSE)</f>
        <v>#N/A</v>
      </c>
      <c r="AG82" s="44" t="e">
        <f t="shared" si="29"/>
        <v>#N/A</v>
      </c>
      <c r="AH82" s="52" t="e">
        <f>HLOOKUP(I82,ElecAvoidedCostsWOCC!$A$5:$Q$50,T82+1,FALSE)</f>
        <v>#N/A</v>
      </c>
      <c r="AI82" s="44" t="e">
        <f t="shared" si="30"/>
        <v>#N/A</v>
      </c>
      <c r="AJ82" s="44" t="e">
        <f t="shared" si="31"/>
        <v>#N/A</v>
      </c>
      <c r="AK82" s="44" t="e">
        <f>HLOOKUP(I82,ElecAvoidedCostsWOCC!$A$5:$Q$50,G82+1,FALSE)*J82*L82</f>
        <v>#N/A</v>
      </c>
      <c r="AL82" s="44" t="e">
        <f t="shared" si="3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3"/>
        <v>0</v>
      </c>
      <c r="AO82" s="47">
        <f t="shared" si="34"/>
        <v>0</v>
      </c>
      <c r="AP82" s="47" t="e">
        <f t="shared" si="35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4">
        <f t="shared" si="24"/>
        <v>0</v>
      </c>
      <c r="Y83" s="44">
        <f t="shared" si="25"/>
        <v>0</v>
      </c>
      <c r="Z83" s="44">
        <f t="shared" si="26"/>
        <v>0</v>
      </c>
      <c r="AA83" s="50">
        <f t="shared" si="27"/>
        <v>0</v>
      </c>
      <c r="AB83" s="51">
        <f t="shared" si="19"/>
        <v>0</v>
      </c>
      <c r="AC83" s="44">
        <f t="shared" si="19"/>
        <v>0</v>
      </c>
      <c r="AD83" s="44">
        <f t="shared" si="28"/>
        <v>0</v>
      </c>
      <c r="AE83" s="44">
        <f t="shared" si="36"/>
        <v>0</v>
      </c>
      <c r="AF83" s="52" t="e">
        <f>HLOOKUP(I83,ElecAvoidedCostsWOCC!$A$5:$Q$50,G83+1,FALSE)</f>
        <v>#N/A</v>
      </c>
      <c r="AG83" s="44" t="e">
        <f t="shared" si="29"/>
        <v>#N/A</v>
      </c>
      <c r="AH83" s="52" t="e">
        <f>HLOOKUP(I83,ElecAvoidedCostsWOCC!$A$5:$Q$50,T83+1,FALSE)</f>
        <v>#N/A</v>
      </c>
      <c r="AI83" s="44" t="e">
        <f t="shared" si="30"/>
        <v>#N/A</v>
      </c>
      <c r="AJ83" s="44" t="e">
        <f t="shared" si="31"/>
        <v>#N/A</v>
      </c>
      <c r="AK83" s="44" t="e">
        <f>HLOOKUP(I83,ElecAvoidedCostsWOCC!$A$5:$Q$50,G83+1,FALSE)*J83*L83</f>
        <v>#N/A</v>
      </c>
      <c r="AL83" s="44" t="e">
        <f t="shared" si="3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3"/>
        <v>0</v>
      </c>
      <c r="AO83" s="47">
        <f t="shared" si="34"/>
        <v>0</v>
      </c>
      <c r="AP83" s="47" t="e">
        <f t="shared" si="35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4">
        <f t="shared" si="24"/>
        <v>0</v>
      </c>
      <c r="Y84" s="44">
        <f t="shared" si="25"/>
        <v>0</v>
      </c>
      <c r="Z84" s="44">
        <f t="shared" si="26"/>
        <v>0</v>
      </c>
      <c r="AA84" s="50">
        <f t="shared" si="27"/>
        <v>0</v>
      </c>
      <c r="AB84" s="51">
        <f t="shared" si="19"/>
        <v>0</v>
      </c>
      <c r="AC84" s="44">
        <f t="shared" si="19"/>
        <v>0</v>
      </c>
      <c r="AD84" s="44">
        <f t="shared" si="28"/>
        <v>0</v>
      </c>
      <c r="AE84" s="44">
        <f t="shared" si="36"/>
        <v>0</v>
      </c>
      <c r="AF84" s="52" t="e">
        <f>HLOOKUP(I84,ElecAvoidedCostsWOCC!$A$5:$Q$50,G84+1,FALSE)</f>
        <v>#N/A</v>
      </c>
      <c r="AG84" s="44" t="e">
        <f t="shared" si="29"/>
        <v>#N/A</v>
      </c>
      <c r="AH84" s="52" t="e">
        <f>HLOOKUP(I84,ElecAvoidedCostsWOCC!$A$5:$Q$50,T84+1,FALSE)</f>
        <v>#N/A</v>
      </c>
      <c r="AI84" s="44" t="e">
        <f t="shared" si="30"/>
        <v>#N/A</v>
      </c>
      <c r="AJ84" s="44" t="e">
        <f t="shared" si="31"/>
        <v>#N/A</v>
      </c>
      <c r="AK84" s="44" t="e">
        <f>HLOOKUP(I84,ElecAvoidedCostsWOCC!$A$5:$Q$50,G84+1,FALSE)*J84*L84</f>
        <v>#N/A</v>
      </c>
      <c r="AL84" s="44" t="e">
        <f t="shared" si="3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3"/>
        <v>0</v>
      </c>
      <c r="AO84" s="47">
        <f t="shared" si="34"/>
        <v>0</v>
      </c>
      <c r="AP84" s="47" t="e">
        <f t="shared" si="35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4">
        <f t="shared" si="24"/>
        <v>0</v>
      </c>
      <c r="Y85" s="44">
        <f t="shared" si="25"/>
        <v>0</v>
      </c>
      <c r="Z85" s="44">
        <f t="shared" si="26"/>
        <v>0</v>
      </c>
      <c r="AA85" s="50">
        <f t="shared" si="27"/>
        <v>0</v>
      </c>
      <c r="AB85" s="51">
        <f t="shared" si="19"/>
        <v>0</v>
      </c>
      <c r="AC85" s="44">
        <f t="shared" si="19"/>
        <v>0</v>
      </c>
      <c r="AD85" s="44">
        <f t="shared" si="28"/>
        <v>0</v>
      </c>
      <c r="AE85" s="44">
        <f t="shared" si="36"/>
        <v>0</v>
      </c>
      <c r="AF85" s="52" t="e">
        <f>HLOOKUP(I85,ElecAvoidedCostsWOCC!$A$5:$Q$50,G85+1,FALSE)</f>
        <v>#N/A</v>
      </c>
      <c r="AG85" s="44" t="e">
        <f t="shared" si="29"/>
        <v>#N/A</v>
      </c>
      <c r="AH85" s="52" t="e">
        <f>HLOOKUP(I85,ElecAvoidedCostsWOCC!$A$5:$Q$50,T85+1,FALSE)</f>
        <v>#N/A</v>
      </c>
      <c r="AI85" s="44" t="e">
        <f t="shared" si="30"/>
        <v>#N/A</v>
      </c>
      <c r="AJ85" s="44" t="e">
        <f t="shared" si="31"/>
        <v>#N/A</v>
      </c>
      <c r="AK85" s="44" t="e">
        <f>HLOOKUP(I85,ElecAvoidedCostsWOCC!$A$5:$Q$50,G85+1,FALSE)*J85*L85</f>
        <v>#N/A</v>
      </c>
      <c r="AL85" s="44" t="e">
        <f t="shared" si="3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3"/>
        <v>0</v>
      </c>
      <c r="AO85" s="47">
        <f t="shared" si="34"/>
        <v>0</v>
      </c>
      <c r="AP85" s="47" t="e">
        <f t="shared" si="35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4">
        <f t="shared" si="24"/>
        <v>0</v>
      </c>
      <c r="Y86" s="44">
        <f t="shared" si="25"/>
        <v>0</v>
      </c>
      <c r="Z86" s="44">
        <f t="shared" si="26"/>
        <v>0</v>
      </c>
      <c r="AA86" s="50">
        <f t="shared" si="27"/>
        <v>0</v>
      </c>
      <c r="AB86" s="51">
        <f t="shared" si="19"/>
        <v>0</v>
      </c>
      <c r="AC86" s="44">
        <f t="shared" si="19"/>
        <v>0</v>
      </c>
      <c r="AD86" s="44">
        <f t="shared" si="28"/>
        <v>0</v>
      </c>
      <c r="AE86" s="44">
        <f t="shared" si="36"/>
        <v>0</v>
      </c>
      <c r="AF86" s="52" t="e">
        <f>HLOOKUP(I86,ElecAvoidedCostsWOCC!$A$5:$Q$50,G86+1,FALSE)</f>
        <v>#N/A</v>
      </c>
      <c r="AG86" s="44" t="e">
        <f t="shared" si="29"/>
        <v>#N/A</v>
      </c>
      <c r="AH86" s="52" t="e">
        <f>HLOOKUP(I86,ElecAvoidedCostsWOCC!$A$5:$Q$50,T86+1,FALSE)</f>
        <v>#N/A</v>
      </c>
      <c r="AI86" s="44" t="e">
        <f t="shared" si="30"/>
        <v>#N/A</v>
      </c>
      <c r="AJ86" s="44" t="e">
        <f t="shared" si="31"/>
        <v>#N/A</v>
      </c>
      <c r="AK86" s="44" t="e">
        <f>HLOOKUP(I86,ElecAvoidedCostsWOCC!$A$5:$Q$50,G86+1,FALSE)*J86*L86</f>
        <v>#N/A</v>
      </c>
      <c r="AL86" s="44" t="e">
        <f t="shared" si="3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3"/>
        <v>0</v>
      </c>
      <c r="AO86" s="47">
        <f t="shared" si="34"/>
        <v>0</v>
      </c>
      <c r="AP86" s="47" t="e">
        <f t="shared" si="35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4">
        <f t="shared" si="24"/>
        <v>0</v>
      </c>
      <c r="Y87" s="44">
        <f t="shared" si="25"/>
        <v>0</v>
      </c>
      <c r="Z87" s="44">
        <f t="shared" si="26"/>
        <v>0</v>
      </c>
      <c r="AA87" s="50">
        <f t="shared" si="27"/>
        <v>0</v>
      </c>
      <c r="AB87" s="51">
        <f t="shared" si="19"/>
        <v>0</v>
      </c>
      <c r="AC87" s="44">
        <f t="shared" si="19"/>
        <v>0</v>
      </c>
      <c r="AD87" s="44">
        <f t="shared" si="28"/>
        <v>0</v>
      </c>
      <c r="AE87" s="44">
        <f t="shared" si="36"/>
        <v>0</v>
      </c>
      <c r="AF87" s="52" t="e">
        <f>HLOOKUP(I87,ElecAvoidedCostsWOCC!$A$5:$Q$50,G87+1,FALSE)</f>
        <v>#N/A</v>
      </c>
      <c r="AG87" s="44" t="e">
        <f t="shared" si="29"/>
        <v>#N/A</v>
      </c>
      <c r="AH87" s="52" t="e">
        <f>HLOOKUP(I87,ElecAvoidedCostsWOCC!$A$5:$Q$50,T87+1,FALSE)</f>
        <v>#N/A</v>
      </c>
      <c r="AI87" s="44" t="e">
        <f t="shared" si="30"/>
        <v>#N/A</v>
      </c>
      <c r="AJ87" s="44" t="e">
        <f t="shared" si="31"/>
        <v>#N/A</v>
      </c>
      <c r="AK87" s="44" t="e">
        <f>HLOOKUP(I87,ElecAvoidedCostsWOCC!$A$5:$Q$50,G87+1,FALSE)*J87*L87</f>
        <v>#N/A</v>
      </c>
      <c r="AL87" s="44" t="e">
        <f t="shared" si="3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3"/>
        <v>0</v>
      </c>
      <c r="AO87" s="47">
        <f t="shared" si="34"/>
        <v>0</v>
      </c>
      <c r="AP87" s="47" t="e">
        <f t="shared" si="35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4">
        <f t="shared" si="24"/>
        <v>0</v>
      </c>
      <c r="Y88" s="44">
        <f t="shared" si="25"/>
        <v>0</v>
      </c>
      <c r="Z88" s="44">
        <f t="shared" si="26"/>
        <v>0</v>
      </c>
      <c r="AA88" s="50">
        <f t="shared" si="27"/>
        <v>0</v>
      </c>
      <c r="AB88" s="51">
        <f t="shared" si="19"/>
        <v>0</v>
      </c>
      <c r="AC88" s="44">
        <f t="shared" si="19"/>
        <v>0</v>
      </c>
      <c r="AD88" s="44">
        <f t="shared" si="28"/>
        <v>0</v>
      </c>
      <c r="AE88" s="44">
        <f t="shared" si="36"/>
        <v>0</v>
      </c>
      <c r="AF88" s="52" t="e">
        <f>HLOOKUP(I88,ElecAvoidedCostsWOCC!$A$5:$Q$50,G88+1,FALSE)</f>
        <v>#N/A</v>
      </c>
      <c r="AG88" s="44" t="e">
        <f t="shared" si="29"/>
        <v>#N/A</v>
      </c>
      <c r="AH88" s="52" t="e">
        <f>HLOOKUP(I88,ElecAvoidedCostsWOCC!$A$5:$Q$50,T88+1,FALSE)</f>
        <v>#N/A</v>
      </c>
      <c r="AI88" s="44" t="e">
        <f t="shared" si="30"/>
        <v>#N/A</v>
      </c>
      <c r="AJ88" s="44" t="e">
        <f t="shared" si="31"/>
        <v>#N/A</v>
      </c>
      <c r="AK88" s="44" t="e">
        <f>HLOOKUP(I88,ElecAvoidedCostsWOCC!$A$5:$Q$50,G88+1,FALSE)*J88*L88</f>
        <v>#N/A</v>
      </c>
      <c r="AL88" s="44" t="e">
        <f t="shared" si="3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3"/>
        <v>0</v>
      </c>
      <c r="AO88" s="47">
        <f t="shared" si="34"/>
        <v>0</v>
      </c>
      <c r="AP88" s="47" t="e">
        <f t="shared" si="35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si="19"/>
        <v>0</v>
      </c>
      <c r="AC89" s="44">
        <f t="shared" si="19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19"/>
        <v>0</v>
      </c>
      <c r="AC90" s="44">
        <f t="shared" si="19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19"/>
        <v>0</v>
      </c>
      <c r="AC91" s="44">
        <f t="shared" si="19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91 R5:S91">
    <cfRule type="expression" dxfId="232" priority="2">
      <formula>ISTEXT(M5)</formula>
    </cfRule>
  </conditionalFormatting>
  <conditionalFormatting sqref="M5:N91 R5:S91">
    <cfRule type="notContainsBlanks" dxfId="231" priority="3">
      <formula>LEN(TRIM(M5))&gt;0</formula>
    </cfRule>
  </conditionalFormatting>
  <conditionalFormatting sqref="R5:S91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7" sqref="D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18239043</v>
      </c>
      <c r="D2" s="20" t="s">
        <v>549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18239043</v>
      </c>
      <c r="D5" s="61" t="s">
        <v>549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8" si="0">G5+H5</f>
        <v>0</v>
      </c>
      <c r="U5" s="47" t="e">
        <f t="shared" ref="U5:U68" si="1">(O5/$A$10)*T5</f>
        <v>#DIV/0!</v>
      </c>
      <c r="V5" s="48">
        <f t="shared" ref="V5:V68" si="2">N5-M5</f>
        <v>0</v>
      </c>
      <c r="W5" s="49" t="e">
        <f t="shared" ref="W5:W68" si="3">(O5/A$10)</f>
        <v>#DIV/0!</v>
      </c>
      <c r="X5" s="44" t="e">
        <f t="shared" ref="X5:X68" si="4">W5*A$8</f>
        <v>#DIV/0!</v>
      </c>
      <c r="Y5" s="44">
        <f t="shared" ref="Y5:Y68" si="5">Q5-P5</f>
        <v>0</v>
      </c>
      <c r="Z5" s="44" t="e">
        <f t="shared" ref="Z5:Z68" si="6">X5+(A$6*W5)</f>
        <v>#DIV/0!</v>
      </c>
      <c r="AA5" s="50" t="e">
        <f t="shared" ref="AA5:AA68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68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68" si="10">AF5*J5*K5</f>
        <v>#N/A</v>
      </c>
      <c r="AH5" s="52" t="e">
        <f>HLOOKUP(I5,ElecAvoidedCostsWOCC!$A$5:$Q$50,T5+1,FALSE)</f>
        <v>#N/A</v>
      </c>
      <c r="AI5" s="44" t="e">
        <f t="shared" ref="AI5:AI68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8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69" si="12">AG6+AI6</f>
        <v>#N/A</v>
      </c>
      <c r="AK6" s="44" t="e">
        <f>HLOOKUP(I6,ElecAvoidedCostsWOCC!$A$5:$Q$50,G6+1,FALSE)*J6*L6</f>
        <v>#N/A</v>
      </c>
      <c r="AL6" s="44" t="e">
        <f t="shared" ref="AL6:AL6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69" si="14">AM6*1.1+AD6+AE6</f>
        <v>0</v>
      </c>
      <c r="AO6" s="47">
        <f t="shared" ref="AO6:AO69" si="15">IFERROR(AM6/AB6,0)</f>
        <v>0</v>
      </c>
      <c r="AP6" s="47" t="e">
        <f t="shared" ref="AP6:AP69" si="16">AN6/AC6</f>
        <v>#DIV/0!</v>
      </c>
    </row>
    <row r="7" spans="1:42" ht="13.5" customHeight="1" x14ac:dyDescent="0.35">
      <c r="A7" s="36" t="s">
        <v>240</v>
      </c>
      <c r="B7" s="97"/>
      <c r="C7" s="98"/>
      <c r="D7" s="61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307772.7</v>
      </c>
      <c r="B8" s="97"/>
      <c r="C8" s="98"/>
      <c r="D8" s="61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/>
      <c r="C9" s="98"/>
      <c r="D9" s="61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72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97"/>
      <c r="C10" s="98"/>
      <c r="D10" s="61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/>
      <c r="C11" s="98"/>
      <c r="D11" s="61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97"/>
      <c r="C12" s="98"/>
      <c r="D12" s="61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/>
      <c r="C13" s="98"/>
      <c r="D13" s="61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/>
      <c r="C14" s="98"/>
      <c r="D14" s="61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/>
      <c r="C15" s="98"/>
      <c r="D15" s="61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97"/>
      <c r="C16" s="98"/>
      <c r="D16" s="61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/>
      <c r="C17" s="98"/>
      <c r="D17" s="61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307772.7</v>
      </c>
      <c r="B18" s="97"/>
      <c r="C18" s="98"/>
      <c r="D18" s="61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/>
      <c r="C19" s="98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307772.7</v>
      </c>
      <c r="B20" s="97"/>
      <c r="C20" s="98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97"/>
      <c r="C21" s="98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36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97"/>
      <c r="C22" s="98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/>
      <c r="C23" s="98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97"/>
      <c r="C24" s="98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/>
      <c r="C25" s="98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si="18"/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HLOOKUP(I25,ElecAvoidedCostsWOCC!$A$5:$Q$50,G25+1,FALSE)</f>
        <v>#N/A</v>
      </c>
      <c r="AG25" s="44" t="e">
        <f t="shared" si="10"/>
        <v>#N/A</v>
      </c>
      <c r="AH25" s="52" t="e">
        <f>HLOOKUP(I25,ElecAvoidedCostsWOCC!$A$5:$Q$50,T25+1,FALSE)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HLOOKUP(I25,ElecAvoidedCostsWOCC!$A$5:$Q$50,G25+1,FALSE)*J25*L25</f>
        <v>#N/A</v>
      </c>
      <c r="AL25" s="44" t="e">
        <f t="shared" si="1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 x14ac:dyDescent="0.35">
      <c r="B26" s="97"/>
      <c r="C26" s="98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HLOOKUP(I26,ElecAvoidedCostsWOCC!$A$5:$Q$50,G26+1,FALSE)</f>
        <v>#N/A</v>
      </c>
      <c r="AG26" s="44" t="e">
        <f t="shared" si="10"/>
        <v>#N/A</v>
      </c>
      <c r="AH26" s="52" t="e">
        <f>HLOOKUP(I26,ElecAvoidedCostsWOCC!$A$5:$Q$50,T26+1,FALSE)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HLOOKUP(I26,ElecAvoidedCostsWOCC!$A$5:$Q$50,G26+1,FALSE)*J26*L26</f>
        <v>#N/A</v>
      </c>
      <c r="AL26" s="44" t="e">
        <f t="shared" si="1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 x14ac:dyDescent="0.35">
      <c r="B27" s="97"/>
      <c r="C27" s="98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HLOOKUP(I27,ElecAvoidedCostsWOCC!$A$5:$Q$50,G27+1,FALSE)</f>
        <v>#N/A</v>
      </c>
      <c r="AG27" s="44" t="e">
        <f t="shared" si="10"/>
        <v>#N/A</v>
      </c>
      <c r="AH27" s="52" t="e">
        <f>HLOOKUP(I27,ElecAvoidedCostsWOCC!$A$5:$Q$50,T27+1,FALSE)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HLOOKUP(I27,ElecAvoidedCostsWOCC!$A$5:$Q$50,G27+1,FALSE)*J27*L27</f>
        <v>#N/A</v>
      </c>
      <c r="AL27" s="44" t="e">
        <f t="shared" si="1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 x14ac:dyDescent="0.35">
      <c r="B28" s="97"/>
      <c r="C28" s="98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HLOOKUP(I28,ElecAvoidedCostsWOCC!$A$5:$Q$50,G28+1,FALSE)</f>
        <v>#N/A</v>
      </c>
      <c r="AG28" s="44" t="e">
        <f t="shared" si="10"/>
        <v>#N/A</v>
      </c>
      <c r="AH28" s="52" t="e">
        <f>HLOOKUP(I28,ElecAvoidedCostsWOCC!$A$5:$Q$50,T28+1,FALSE)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HLOOKUP(I28,ElecAvoidedCostsWOCC!$A$5:$Q$50,G28+1,FALSE)*J28*L28</f>
        <v>#N/A</v>
      </c>
      <c r="AL28" s="44" t="e">
        <f t="shared" si="1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 x14ac:dyDescent="0.35">
      <c r="B29" s="97"/>
      <c r="C29" s="98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HLOOKUP(I29,ElecAvoidedCostsWOCC!$A$5:$Q$50,G29+1,FALSE)</f>
        <v>#N/A</v>
      </c>
      <c r="AG29" s="44" t="e">
        <f t="shared" si="10"/>
        <v>#N/A</v>
      </c>
      <c r="AH29" s="52" t="e">
        <f>HLOOKUP(I29,ElecAvoidedCostsWOCC!$A$5:$Q$50,T29+1,FALSE)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HLOOKUP(I29,ElecAvoidedCostsWOCC!$A$5:$Q$50,G29+1,FALSE)*J29*L29</f>
        <v>#N/A</v>
      </c>
      <c r="AL29" s="44" t="e">
        <f t="shared" si="1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 x14ac:dyDescent="0.35">
      <c r="B30" s="97"/>
      <c r="C30" s="98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HLOOKUP(I30,ElecAvoidedCostsWOCC!$A$5:$Q$50,G30+1,FALSE)</f>
        <v>#N/A</v>
      </c>
      <c r="AG30" s="44" t="e">
        <f t="shared" si="10"/>
        <v>#N/A</v>
      </c>
      <c r="AH30" s="52" t="e">
        <f>HLOOKUP(I30,ElecAvoidedCostsWOCC!$A$5:$Q$50,T30+1,FALSE)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HLOOKUP(I30,ElecAvoidedCostsWOCC!$A$5:$Q$50,G30+1,FALSE)*J30*L30</f>
        <v>#N/A</v>
      </c>
      <c r="AL30" s="44" t="e">
        <f t="shared" si="1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 x14ac:dyDescent="0.35">
      <c r="B31" s="97"/>
      <c r="C31" s="98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HLOOKUP(I31,ElecAvoidedCostsWOCC!$A$5:$Q$50,G31+1,FALSE)</f>
        <v>#N/A</v>
      </c>
      <c r="AG31" s="44" t="e">
        <f t="shared" si="10"/>
        <v>#N/A</v>
      </c>
      <c r="AH31" s="52" t="e">
        <f>HLOOKUP(I31,ElecAvoidedCostsWOCC!$A$5:$Q$50,T31+1,FALSE)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HLOOKUP(I31,ElecAvoidedCostsWOCC!$A$5:$Q$50,G31+1,FALSE)*J31*L31</f>
        <v>#N/A</v>
      </c>
      <c r="AL31" s="44" t="e">
        <f t="shared" si="1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 x14ac:dyDescent="0.35">
      <c r="B32" s="97"/>
      <c r="C32" s="98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HLOOKUP(I32,ElecAvoidedCostsWOCC!$A$5:$Q$50,G32+1,FALSE)</f>
        <v>#N/A</v>
      </c>
      <c r="AG32" s="44" t="e">
        <f t="shared" si="10"/>
        <v>#N/A</v>
      </c>
      <c r="AH32" s="52" t="e">
        <f>HLOOKUP(I32,ElecAvoidedCostsWOCC!$A$5:$Q$50,T32+1,FALSE)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HLOOKUP(I32,ElecAvoidedCostsWOCC!$A$5:$Q$50,G32+1,FALSE)*J32*L32</f>
        <v>#N/A</v>
      </c>
      <c r="AL32" s="44" t="e">
        <f t="shared" si="1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 x14ac:dyDescent="0.35">
      <c r="B33" s="97"/>
      <c r="C33" s="98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HLOOKUP(I33,ElecAvoidedCostsWOCC!$A$5:$Q$50,G33+1,FALSE)</f>
        <v>#N/A</v>
      </c>
      <c r="AG33" s="44" t="e">
        <f t="shared" si="10"/>
        <v>#N/A</v>
      </c>
      <c r="AH33" s="52" t="e">
        <f>HLOOKUP(I33,ElecAvoidedCostsWOCC!$A$5:$Q$50,T33+1,FALSE)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HLOOKUP(I33,ElecAvoidedCostsWOCC!$A$5:$Q$50,G33+1,FALSE)*J33*L33</f>
        <v>#N/A</v>
      </c>
      <c r="AL33" s="44" t="e">
        <f t="shared" si="1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 x14ac:dyDescent="0.35">
      <c r="B34" s="97"/>
      <c r="C34" s="98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HLOOKUP(I34,ElecAvoidedCostsWOCC!$A$5:$Q$50,G34+1,FALSE)</f>
        <v>#N/A</v>
      </c>
      <c r="AG34" s="44" t="e">
        <f t="shared" si="10"/>
        <v>#N/A</v>
      </c>
      <c r="AH34" s="52" t="e">
        <f>HLOOKUP(I34,ElecAvoidedCostsWOCC!$A$5:$Q$50,T34+1,FALSE)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HLOOKUP(I34,ElecAvoidedCostsWOCC!$A$5:$Q$50,G34+1,FALSE)*J34*L34</f>
        <v>#N/A</v>
      </c>
      <c r="AL34" s="44" t="e">
        <f t="shared" si="1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 x14ac:dyDescent="0.35">
      <c r="B35" s="97"/>
      <c r="C35" s="98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HLOOKUP(I35,ElecAvoidedCostsWOCC!$A$5:$Q$50,G35+1,FALSE)</f>
        <v>#N/A</v>
      </c>
      <c r="AG35" s="44" t="e">
        <f t="shared" si="10"/>
        <v>#N/A</v>
      </c>
      <c r="AH35" s="52" t="e">
        <f>HLOOKUP(I35,ElecAvoidedCostsWOCC!$A$5:$Q$50,T35+1,FALSE)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HLOOKUP(I35,ElecAvoidedCostsWOCC!$A$5:$Q$50,G35+1,FALSE)*J35*L35</f>
        <v>#N/A</v>
      </c>
      <c r="AL35" s="44" t="e">
        <f t="shared" si="1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 x14ac:dyDescent="0.35">
      <c r="B36" s="97"/>
      <c r="C36" s="98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HLOOKUP(I36,ElecAvoidedCostsWOCC!$A$5:$Q$50,G36+1,FALSE)</f>
        <v>#N/A</v>
      </c>
      <c r="AG36" s="44" t="e">
        <f t="shared" si="10"/>
        <v>#N/A</v>
      </c>
      <c r="AH36" s="52" t="e">
        <f>HLOOKUP(I36,ElecAvoidedCostsWOCC!$A$5:$Q$50,T36+1,FALSE)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HLOOKUP(I36,ElecAvoidedCostsWOCC!$A$5:$Q$50,G36+1,FALSE)*J36*L36</f>
        <v>#N/A</v>
      </c>
      <c r="AL36" s="44" t="e">
        <f t="shared" si="1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 x14ac:dyDescent="0.35">
      <c r="B37" s="97"/>
      <c r="C37" s="98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ref="AB37:AC91" si="19">Z37/(1+ElecDiscountRate)^1</f>
        <v>#DIV/0!</v>
      </c>
      <c r="AC37" s="44" t="e">
        <f t="shared" si="19"/>
        <v>#DIV/0!</v>
      </c>
      <c r="AD37" s="44">
        <f t="shared" si="9"/>
        <v>0</v>
      </c>
      <c r="AE37" s="44">
        <f t="shared" si="17"/>
        <v>0</v>
      </c>
      <c r="AF37" s="52" t="e">
        <f>HLOOKUP(I37,ElecAvoidedCostsWOCC!$A$5:$Q$50,G37+1,FALSE)</f>
        <v>#N/A</v>
      </c>
      <c r="AG37" s="44" t="e">
        <f t="shared" si="10"/>
        <v>#N/A</v>
      </c>
      <c r="AH37" s="52" t="e">
        <f>HLOOKUP(I37,ElecAvoidedCostsWOCC!$A$5:$Q$50,T37+1,FALSE)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HLOOKUP(I37,ElecAvoidedCostsWOCC!$A$5:$Q$50,G37+1,FALSE)*J37*L37</f>
        <v>#N/A</v>
      </c>
      <c r="AL37" s="44" t="e">
        <f t="shared" si="1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 x14ac:dyDescent="0.35">
      <c r="B38" s="97"/>
      <c r="C38" s="98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9"/>
        <v>#DIV/0!</v>
      </c>
      <c r="AC38" s="44" t="e">
        <f t="shared" si="19"/>
        <v>#DIV/0!</v>
      </c>
      <c r="AD38" s="44">
        <f t="shared" si="9"/>
        <v>0</v>
      </c>
      <c r="AE38" s="44">
        <f t="shared" si="17"/>
        <v>0</v>
      </c>
      <c r="AF38" s="52" t="e">
        <f>HLOOKUP(I38,ElecAvoidedCostsWOCC!$A$5:$Q$50,G38+1,FALSE)</f>
        <v>#N/A</v>
      </c>
      <c r="AG38" s="44" t="e">
        <f t="shared" si="10"/>
        <v>#N/A</v>
      </c>
      <c r="AH38" s="52" t="e">
        <f>HLOOKUP(I38,ElecAvoidedCostsWOCC!$A$5:$Q$50,T38+1,FALSE)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HLOOKUP(I38,ElecAvoidedCostsWOCC!$A$5:$Q$50,G38+1,FALSE)*J38*L38</f>
        <v>#N/A</v>
      </c>
      <c r="AL38" s="44" t="e">
        <f t="shared" si="1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 x14ac:dyDescent="0.35">
      <c r="B39" s="97"/>
      <c r="C39" s="98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9"/>
        <v>#DIV/0!</v>
      </c>
      <c r="AC39" s="44" t="e">
        <f t="shared" si="19"/>
        <v>#DIV/0!</v>
      </c>
      <c r="AD39" s="44">
        <f t="shared" si="9"/>
        <v>0</v>
      </c>
      <c r="AE39" s="44">
        <f t="shared" si="17"/>
        <v>0</v>
      </c>
      <c r="AF39" s="52" t="e">
        <f>HLOOKUP(I39,ElecAvoidedCostsWOCC!$A$5:$Q$50,G39+1,FALSE)</f>
        <v>#N/A</v>
      </c>
      <c r="AG39" s="44" t="e">
        <f t="shared" si="10"/>
        <v>#N/A</v>
      </c>
      <c r="AH39" s="52" t="e">
        <f>HLOOKUP(I39,ElecAvoidedCostsWOCC!$A$5:$Q$50,T39+1,FALSE)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HLOOKUP(I39,ElecAvoidedCostsWOCC!$A$5:$Q$50,G39+1,FALSE)*J39*L39</f>
        <v>#N/A</v>
      </c>
      <c r="AL39" s="44" t="e">
        <f t="shared" si="1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 x14ac:dyDescent="0.35">
      <c r="B40" s="97"/>
      <c r="C40" s="98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9"/>
        <v>#DIV/0!</v>
      </c>
      <c r="AC40" s="44" t="e">
        <f t="shared" si="19"/>
        <v>#DIV/0!</v>
      </c>
      <c r="AD40" s="44">
        <f t="shared" si="9"/>
        <v>0</v>
      </c>
      <c r="AE40" s="44">
        <f t="shared" si="17"/>
        <v>0</v>
      </c>
      <c r="AF40" s="52" t="e">
        <f>HLOOKUP(I40,ElecAvoidedCostsWOCC!$A$5:$Q$50,G40+1,FALSE)</f>
        <v>#N/A</v>
      </c>
      <c r="AG40" s="44" t="e">
        <f t="shared" si="10"/>
        <v>#N/A</v>
      </c>
      <c r="AH40" s="52" t="e">
        <f>HLOOKUP(I40,ElecAvoidedCostsWOCC!$A$5:$Q$50,T40+1,FALSE)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HLOOKUP(I40,ElecAvoidedCostsWOCC!$A$5:$Q$50,G40+1,FALSE)*J40*L40</f>
        <v>#N/A</v>
      </c>
      <c r="AL40" s="44" t="e">
        <f t="shared" si="1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 x14ac:dyDescent="0.35">
      <c r="B41" s="97"/>
      <c r="C41" s="98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9"/>
        <v>#DIV/0!</v>
      </c>
      <c r="AC41" s="44" t="e">
        <f t="shared" si="19"/>
        <v>#DIV/0!</v>
      </c>
      <c r="AD41" s="44">
        <f t="shared" si="9"/>
        <v>0</v>
      </c>
      <c r="AE41" s="44">
        <f t="shared" si="17"/>
        <v>0</v>
      </c>
      <c r="AF41" s="52" t="e">
        <f>HLOOKUP(I41,ElecAvoidedCostsWOCC!$A$5:$Q$50,G41+1,FALSE)</f>
        <v>#N/A</v>
      </c>
      <c r="AG41" s="44" t="e">
        <f t="shared" si="10"/>
        <v>#N/A</v>
      </c>
      <c r="AH41" s="52" t="e">
        <f>HLOOKUP(I41,ElecAvoidedCostsWOCC!$A$5:$Q$50,T41+1,FALSE)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HLOOKUP(I41,ElecAvoidedCostsWOCC!$A$5:$Q$50,G41+1,FALSE)*J41*L41</f>
        <v>#N/A</v>
      </c>
      <c r="AL41" s="44" t="e">
        <f t="shared" si="1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 x14ac:dyDescent="0.35">
      <c r="B42" s="97"/>
      <c r="C42" s="98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9"/>
        <v>#DIV/0!</v>
      </c>
      <c r="AC42" s="44" t="e">
        <f t="shared" si="19"/>
        <v>#DIV/0!</v>
      </c>
      <c r="AD42" s="44">
        <f t="shared" si="9"/>
        <v>0</v>
      </c>
      <c r="AE42" s="44">
        <f t="shared" si="17"/>
        <v>0</v>
      </c>
      <c r="AF42" s="52" t="e">
        <f>HLOOKUP(I42,ElecAvoidedCostsWOCC!$A$5:$Q$50,G42+1,FALSE)</f>
        <v>#N/A</v>
      </c>
      <c r="AG42" s="44" t="e">
        <f t="shared" si="10"/>
        <v>#N/A</v>
      </c>
      <c r="AH42" s="52" t="e">
        <f>HLOOKUP(I42,ElecAvoidedCostsWOCC!$A$5:$Q$50,T42+1,FALSE)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HLOOKUP(I42,ElecAvoidedCostsWOCC!$A$5:$Q$50,G42+1,FALSE)*J42*L42</f>
        <v>#N/A</v>
      </c>
      <c r="AL42" s="44" t="e">
        <f t="shared" si="1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 x14ac:dyDescent="0.35">
      <c r="B43" s="97"/>
      <c r="C43" s="98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9"/>
        <v>#DIV/0!</v>
      </c>
      <c r="AC43" s="44" t="e">
        <f t="shared" si="19"/>
        <v>#DIV/0!</v>
      </c>
      <c r="AD43" s="44">
        <f t="shared" si="9"/>
        <v>0</v>
      </c>
      <c r="AE43" s="44">
        <f t="shared" si="17"/>
        <v>0</v>
      </c>
      <c r="AF43" s="52" t="e">
        <f>HLOOKUP(I43,ElecAvoidedCostsWOCC!$A$5:$Q$50,G43+1,FALSE)</f>
        <v>#N/A</v>
      </c>
      <c r="AG43" s="44" t="e">
        <f t="shared" si="10"/>
        <v>#N/A</v>
      </c>
      <c r="AH43" s="52" t="e">
        <f>HLOOKUP(I43,ElecAvoidedCostsWOCC!$A$5:$Q$50,T43+1,FALSE)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HLOOKUP(I43,ElecAvoidedCostsWOCC!$A$5:$Q$50,G43+1,FALSE)*J43*L43</f>
        <v>#N/A</v>
      </c>
      <c r="AL43" s="44" t="e">
        <f t="shared" si="1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 x14ac:dyDescent="0.35">
      <c r="B44" s="97"/>
      <c r="C44" s="98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9"/>
        <v>#DIV/0!</v>
      </c>
      <c r="AC44" s="44" t="e">
        <f t="shared" si="19"/>
        <v>#DIV/0!</v>
      </c>
      <c r="AD44" s="44">
        <f t="shared" si="9"/>
        <v>0</v>
      </c>
      <c r="AE44" s="44">
        <f t="shared" si="17"/>
        <v>0</v>
      </c>
      <c r="AF44" s="52" t="e">
        <f>HLOOKUP(I44,ElecAvoidedCostsWOCC!$A$5:$Q$50,G44+1,FALSE)</f>
        <v>#N/A</v>
      </c>
      <c r="AG44" s="44" t="e">
        <f t="shared" si="10"/>
        <v>#N/A</v>
      </c>
      <c r="AH44" s="52" t="e">
        <f>HLOOKUP(I44,ElecAvoidedCostsWOCC!$A$5:$Q$50,T44+1,FALSE)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HLOOKUP(I44,ElecAvoidedCostsWOCC!$A$5:$Q$50,G44+1,FALSE)*J44*L44</f>
        <v>#N/A</v>
      </c>
      <c r="AL44" s="44" t="e">
        <f t="shared" si="1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 x14ac:dyDescent="0.35">
      <c r="B45" s="97"/>
      <c r="C45" s="98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9"/>
        <v>#DIV/0!</v>
      </c>
      <c r="AC45" s="44" t="e">
        <f t="shared" si="19"/>
        <v>#DIV/0!</v>
      </c>
      <c r="AD45" s="44">
        <f t="shared" si="9"/>
        <v>0</v>
      </c>
      <c r="AE45" s="44">
        <f t="shared" si="17"/>
        <v>0</v>
      </c>
      <c r="AF45" s="52" t="e">
        <f>HLOOKUP(I45,ElecAvoidedCostsWOCC!$A$5:$Q$50,G45+1,FALSE)</f>
        <v>#N/A</v>
      </c>
      <c r="AG45" s="44" t="e">
        <f t="shared" si="10"/>
        <v>#N/A</v>
      </c>
      <c r="AH45" s="52" t="e">
        <f>HLOOKUP(I45,ElecAvoidedCostsWOCC!$A$5:$Q$50,T45+1,FALSE)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HLOOKUP(I45,ElecAvoidedCostsWOCC!$A$5:$Q$50,G45+1,FALSE)*J45*L45</f>
        <v>#N/A</v>
      </c>
      <c r="AL45" s="44" t="e">
        <f t="shared" si="1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 x14ac:dyDescent="0.35">
      <c r="B46" s="97"/>
      <c r="C46" s="98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9"/>
        <v>#DIV/0!</v>
      </c>
      <c r="AC46" s="44" t="e">
        <f t="shared" si="19"/>
        <v>#DIV/0!</v>
      </c>
      <c r="AD46" s="44">
        <f t="shared" si="9"/>
        <v>0</v>
      </c>
      <c r="AE46" s="44">
        <f t="shared" si="17"/>
        <v>0</v>
      </c>
      <c r="AF46" s="52" t="e">
        <f>HLOOKUP(I46,ElecAvoidedCostsWOCC!$A$5:$Q$50,G46+1,FALSE)</f>
        <v>#N/A</v>
      </c>
      <c r="AG46" s="44" t="e">
        <f t="shared" si="10"/>
        <v>#N/A</v>
      </c>
      <c r="AH46" s="52" t="e">
        <f>HLOOKUP(I46,ElecAvoidedCostsWOCC!$A$5:$Q$50,T46+1,FALSE)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HLOOKUP(I46,ElecAvoidedCostsWOCC!$A$5:$Q$50,G46+1,FALSE)*J46*L46</f>
        <v>#N/A</v>
      </c>
      <c r="AL46" s="44" t="e">
        <f t="shared" si="1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 x14ac:dyDescent="0.35">
      <c r="B47" s="97"/>
      <c r="C47" s="98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9"/>
        <v>#DIV/0!</v>
      </c>
      <c r="AC47" s="44" t="e">
        <f t="shared" si="19"/>
        <v>#DIV/0!</v>
      </c>
      <c r="AD47" s="44">
        <f t="shared" si="9"/>
        <v>0</v>
      </c>
      <c r="AE47" s="44">
        <f t="shared" si="17"/>
        <v>0</v>
      </c>
      <c r="AF47" s="52" t="e">
        <f>HLOOKUP(I47,ElecAvoidedCostsWOCC!$A$5:$Q$50,G47+1,FALSE)</f>
        <v>#N/A</v>
      </c>
      <c r="AG47" s="44" t="e">
        <f t="shared" si="10"/>
        <v>#N/A</v>
      </c>
      <c r="AH47" s="52" t="e">
        <f>HLOOKUP(I47,ElecAvoidedCostsWOCC!$A$5:$Q$50,T47+1,FALSE)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HLOOKUP(I47,ElecAvoidedCostsWOCC!$A$5:$Q$50,G47+1,FALSE)*J47*L47</f>
        <v>#N/A</v>
      </c>
      <c r="AL47" s="44" t="e">
        <f t="shared" si="1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 x14ac:dyDescent="0.35">
      <c r="B48" s="97"/>
      <c r="C48" s="98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9"/>
        <v>#DIV/0!</v>
      </c>
      <c r="AC48" s="44" t="e">
        <f t="shared" si="19"/>
        <v>#DIV/0!</v>
      </c>
      <c r="AD48" s="44">
        <f t="shared" si="9"/>
        <v>0</v>
      </c>
      <c r="AE48" s="44">
        <f t="shared" si="17"/>
        <v>0</v>
      </c>
      <c r="AF48" s="52" t="e">
        <f>HLOOKUP(I48,ElecAvoidedCostsWOCC!$A$5:$Q$50,G48+1,FALSE)</f>
        <v>#N/A</v>
      </c>
      <c r="AG48" s="44" t="e">
        <f t="shared" si="10"/>
        <v>#N/A</v>
      </c>
      <c r="AH48" s="52" t="e">
        <f>HLOOKUP(I48,ElecAvoidedCostsWOCC!$A$5:$Q$50,T48+1,FALSE)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HLOOKUP(I48,ElecAvoidedCostsWOCC!$A$5:$Q$50,G48+1,FALSE)*J48*L48</f>
        <v>#N/A</v>
      </c>
      <c r="AL48" s="44" t="e">
        <f t="shared" si="1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 x14ac:dyDescent="0.35">
      <c r="B49" s="97"/>
      <c r="C49" s="98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9"/>
        <v>#DIV/0!</v>
      </c>
      <c r="AC49" s="44" t="e">
        <f t="shared" si="19"/>
        <v>#DIV/0!</v>
      </c>
      <c r="AD49" s="44">
        <f t="shared" si="9"/>
        <v>0</v>
      </c>
      <c r="AE49" s="44">
        <f t="shared" si="17"/>
        <v>0</v>
      </c>
      <c r="AF49" s="52" t="e">
        <f>HLOOKUP(I49,ElecAvoidedCostsWOCC!$A$5:$Q$50,G49+1,FALSE)</f>
        <v>#N/A</v>
      </c>
      <c r="AG49" s="44" t="e">
        <f t="shared" si="10"/>
        <v>#N/A</v>
      </c>
      <c r="AH49" s="52" t="e">
        <f>HLOOKUP(I49,ElecAvoidedCostsWOCC!$A$5:$Q$50,T49+1,FALSE)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HLOOKUP(I49,ElecAvoidedCostsWOCC!$A$5:$Q$50,G49+1,FALSE)*J49*L49</f>
        <v>#N/A</v>
      </c>
      <c r="AL49" s="44" t="e">
        <f t="shared" si="1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 x14ac:dyDescent="0.35">
      <c r="B50" s="97"/>
      <c r="C50" s="98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9"/>
        <v>#DIV/0!</v>
      </c>
      <c r="AC50" s="44" t="e">
        <f t="shared" si="19"/>
        <v>#DIV/0!</v>
      </c>
      <c r="AD50" s="44">
        <f t="shared" si="9"/>
        <v>0</v>
      </c>
      <c r="AE50" s="44">
        <f t="shared" si="17"/>
        <v>0</v>
      </c>
      <c r="AF50" s="52" t="e">
        <f>HLOOKUP(I50,ElecAvoidedCostsWOCC!$A$5:$Q$50,G50+1,FALSE)</f>
        <v>#N/A</v>
      </c>
      <c r="AG50" s="44" t="e">
        <f t="shared" si="10"/>
        <v>#N/A</v>
      </c>
      <c r="AH50" s="52" t="e">
        <f>HLOOKUP(I50,ElecAvoidedCostsWOCC!$A$5:$Q$50,T50+1,FALSE)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HLOOKUP(I50,ElecAvoidedCostsWOCC!$A$5:$Q$50,G50+1,FALSE)*J50*L50</f>
        <v>#N/A</v>
      </c>
      <c r="AL50" s="44" t="e">
        <f t="shared" si="1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 x14ac:dyDescent="0.35">
      <c r="B51" s="97"/>
      <c r="C51" s="98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9"/>
        <v>#DIV/0!</v>
      </c>
      <c r="AC51" s="44" t="e">
        <f t="shared" si="19"/>
        <v>#DIV/0!</v>
      </c>
      <c r="AD51" s="44">
        <f t="shared" si="9"/>
        <v>0</v>
      </c>
      <c r="AE51" s="44">
        <f t="shared" si="17"/>
        <v>0</v>
      </c>
      <c r="AF51" s="52" t="e">
        <f>HLOOKUP(I51,ElecAvoidedCostsWOCC!$A$5:$Q$50,G51+1,FALSE)</f>
        <v>#N/A</v>
      </c>
      <c r="AG51" s="44" t="e">
        <f t="shared" si="10"/>
        <v>#N/A</v>
      </c>
      <c r="AH51" s="52" t="e">
        <f>HLOOKUP(I51,ElecAvoidedCostsWOCC!$A$5:$Q$50,T51+1,FALSE)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HLOOKUP(I51,ElecAvoidedCostsWOCC!$A$5:$Q$50,G51+1,FALSE)*J51*L51</f>
        <v>#N/A</v>
      </c>
      <c r="AL51" s="44" t="e">
        <f t="shared" si="1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 x14ac:dyDescent="0.35">
      <c r="B52" s="97"/>
      <c r="C52" s="98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9"/>
        <v>#DIV/0!</v>
      </c>
      <c r="AC52" s="44" t="e">
        <f t="shared" si="19"/>
        <v>#DIV/0!</v>
      </c>
      <c r="AD52" s="44">
        <f t="shared" si="9"/>
        <v>0</v>
      </c>
      <c r="AE52" s="44">
        <f t="shared" si="17"/>
        <v>0</v>
      </c>
      <c r="AF52" s="52" t="e">
        <f>HLOOKUP(I52,ElecAvoidedCostsWOCC!$A$5:$Q$50,G52+1,FALSE)</f>
        <v>#N/A</v>
      </c>
      <c r="AG52" s="44" t="e">
        <f t="shared" si="10"/>
        <v>#N/A</v>
      </c>
      <c r="AH52" s="52" t="e">
        <f>HLOOKUP(I52,ElecAvoidedCostsWOCC!$A$5:$Q$50,T52+1,FALSE)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HLOOKUP(I52,ElecAvoidedCostsWOCC!$A$5:$Q$50,G52+1,FALSE)*J52*L52</f>
        <v>#N/A</v>
      </c>
      <c r="AL52" s="44" t="e">
        <f t="shared" si="1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 x14ac:dyDescent="0.35">
      <c r="B53" s="97"/>
      <c r="C53" s="98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9"/>
        <v>#DIV/0!</v>
      </c>
      <c r="AC53" s="44" t="e">
        <f t="shared" si="19"/>
        <v>#DIV/0!</v>
      </c>
      <c r="AD53" s="44">
        <f t="shared" si="9"/>
        <v>0</v>
      </c>
      <c r="AE53" s="44">
        <f t="shared" si="17"/>
        <v>0</v>
      </c>
      <c r="AF53" s="52" t="e">
        <f>HLOOKUP(I53,ElecAvoidedCostsWOCC!$A$5:$Q$50,G53+1,FALSE)</f>
        <v>#N/A</v>
      </c>
      <c r="AG53" s="44" t="e">
        <f t="shared" si="10"/>
        <v>#N/A</v>
      </c>
      <c r="AH53" s="52" t="e">
        <f>HLOOKUP(I53,ElecAvoidedCostsWOCC!$A$5:$Q$50,T53+1,FALSE)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HLOOKUP(I53,ElecAvoidedCostsWOCC!$A$5:$Q$50,G53+1,FALSE)*J53*L53</f>
        <v>#N/A</v>
      </c>
      <c r="AL53" s="44" t="e">
        <f t="shared" si="1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9"/>
        <v>#DIV/0!</v>
      </c>
      <c r="AC54" s="44" t="e">
        <f t="shared" si="19"/>
        <v>#DIV/0!</v>
      </c>
      <c r="AD54" s="44">
        <f t="shared" si="9"/>
        <v>0</v>
      </c>
      <c r="AE54" s="44">
        <f t="shared" si="17"/>
        <v>0</v>
      </c>
      <c r="AF54" s="52" t="e">
        <f>HLOOKUP(I54,ElecAvoidedCostsWOCC!$A$5:$Q$50,G54+1,FALSE)</f>
        <v>#N/A</v>
      </c>
      <c r="AG54" s="44" t="e">
        <f t="shared" si="10"/>
        <v>#N/A</v>
      </c>
      <c r="AH54" s="52" t="e">
        <f>HLOOKUP(I54,ElecAvoidedCostsWOCC!$A$5:$Q$50,T54+1,FALSE)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HLOOKUP(I54,ElecAvoidedCostsWOCC!$A$5:$Q$50,G54+1,FALSE)*J54*L54</f>
        <v>#N/A</v>
      </c>
      <c r="AL54" s="44" t="e">
        <f t="shared" si="1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9"/>
        <v>#DIV/0!</v>
      </c>
      <c r="AC55" s="44" t="e">
        <f t="shared" si="19"/>
        <v>#DIV/0!</v>
      </c>
      <c r="AD55" s="44">
        <f t="shared" si="9"/>
        <v>0</v>
      </c>
      <c r="AE55" s="44">
        <f t="shared" si="17"/>
        <v>0</v>
      </c>
      <c r="AF55" s="52" t="e">
        <f>HLOOKUP(I55,ElecAvoidedCostsWOCC!$A$5:$Q$50,G55+1,FALSE)</f>
        <v>#N/A</v>
      </c>
      <c r="AG55" s="44" t="e">
        <f t="shared" si="10"/>
        <v>#N/A</v>
      </c>
      <c r="AH55" s="52" t="e">
        <f>HLOOKUP(I55,ElecAvoidedCostsWOCC!$A$5:$Q$50,T55+1,FALSE)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HLOOKUP(I55,ElecAvoidedCostsWOCC!$A$5:$Q$50,G55+1,FALSE)*J55*L55</f>
        <v>#N/A</v>
      </c>
      <c r="AL55" s="44" t="e">
        <f t="shared" si="1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9"/>
        <v>#DIV/0!</v>
      </c>
      <c r="AC56" s="44" t="e">
        <f t="shared" si="19"/>
        <v>#DIV/0!</v>
      </c>
      <c r="AD56" s="44">
        <f t="shared" si="9"/>
        <v>0</v>
      </c>
      <c r="AE56" s="44">
        <f t="shared" si="17"/>
        <v>0</v>
      </c>
      <c r="AF56" s="52" t="e">
        <f>HLOOKUP(I56,ElecAvoidedCostsWOCC!$A$5:$Q$50,G56+1,FALSE)</f>
        <v>#N/A</v>
      </c>
      <c r="AG56" s="44" t="e">
        <f t="shared" si="10"/>
        <v>#N/A</v>
      </c>
      <c r="AH56" s="52" t="e">
        <f>HLOOKUP(I56,ElecAvoidedCostsWOCC!$A$5:$Q$50,T56+1,FALSE)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HLOOKUP(I56,ElecAvoidedCostsWOCC!$A$5:$Q$50,G56+1,FALSE)*J56*L56</f>
        <v>#N/A</v>
      </c>
      <c r="AL56" s="44" t="e">
        <f t="shared" si="1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9"/>
        <v>#DIV/0!</v>
      </c>
      <c r="AC57" s="44" t="e">
        <f t="shared" si="19"/>
        <v>#DIV/0!</v>
      </c>
      <c r="AD57" s="44">
        <f t="shared" si="9"/>
        <v>0</v>
      </c>
      <c r="AE57" s="44">
        <f t="shared" si="17"/>
        <v>0</v>
      </c>
      <c r="AF57" s="52" t="e">
        <f>HLOOKUP(I57,ElecAvoidedCostsWOCC!$A$5:$Q$50,G57+1,FALSE)</f>
        <v>#N/A</v>
      </c>
      <c r="AG57" s="44" t="e">
        <f t="shared" si="10"/>
        <v>#N/A</v>
      </c>
      <c r="AH57" s="52" t="e">
        <f>HLOOKUP(I57,ElecAvoidedCostsWOCC!$A$5:$Q$50,T57+1,FALSE)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HLOOKUP(I57,ElecAvoidedCostsWOCC!$A$5:$Q$50,G57+1,FALSE)*J57*L57</f>
        <v>#N/A</v>
      </c>
      <c r="AL57" s="44" t="e">
        <f t="shared" si="1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9"/>
        <v>#DIV/0!</v>
      </c>
      <c r="AC58" s="44" t="e">
        <f t="shared" si="19"/>
        <v>#DIV/0!</v>
      </c>
      <c r="AD58" s="44">
        <f t="shared" si="9"/>
        <v>0</v>
      </c>
      <c r="AE58" s="44">
        <f t="shared" si="17"/>
        <v>0</v>
      </c>
      <c r="AF58" s="52" t="e">
        <f>HLOOKUP(I58,ElecAvoidedCostsWOCC!$A$5:$Q$50,G58+1,FALSE)</f>
        <v>#N/A</v>
      </c>
      <c r="AG58" s="44" t="e">
        <f t="shared" si="10"/>
        <v>#N/A</v>
      </c>
      <c r="AH58" s="52" t="e">
        <f>HLOOKUP(I58,ElecAvoidedCostsWOCC!$A$5:$Q$50,T58+1,FALSE)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HLOOKUP(I58,ElecAvoidedCostsWOCC!$A$5:$Q$50,G58+1,FALSE)*J58*L58</f>
        <v>#N/A</v>
      </c>
      <c r="AL58" s="44" t="e">
        <f t="shared" si="1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9"/>
        <v>#DIV/0!</v>
      </c>
      <c r="AC59" s="44" t="e">
        <f t="shared" si="19"/>
        <v>#DIV/0!</v>
      </c>
      <c r="AD59" s="44">
        <f t="shared" si="9"/>
        <v>0</v>
      </c>
      <c r="AE59" s="44">
        <f t="shared" si="17"/>
        <v>0</v>
      </c>
      <c r="AF59" s="52" t="e">
        <f>HLOOKUP(I59,ElecAvoidedCostsWOCC!$A$5:$Q$50,G59+1,FALSE)</f>
        <v>#N/A</v>
      </c>
      <c r="AG59" s="44" t="e">
        <f t="shared" si="10"/>
        <v>#N/A</v>
      </c>
      <c r="AH59" s="52" t="e">
        <f>HLOOKUP(I59,ElecAvoidedCostsWOCC!$A$5:$Q$50,T59+1,FALSE)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HLOOKUP(I59,ElecAvoidedCostsWOCC!$A$5:$Q$50,G59+1,FALSE)*J59*L59</f>
        <v>#N/A</v>
      </c>
      <c r="AL59" s="44" t="e">
        <f t="shared" si="1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9"/>
        <v>#DIV/0!</v>
      </c>
      <c r="AC60" s="44" t="e">
        <f t="shared" si="19"/>
        <v>#DIV/0!</v>
      </c>
      <c r="AD60" s="44">
        <f t="shared" si="9"/>
        <v>0</v>
      </c>
      <c r="AE60" s="44">
        <f t="shared" si="17"/>
        <v>0</v>
      </c>
      <c r="AF60" s="52" t="e">
        <f>HLOOKUP(I60,ElecAvoidedCostsWOCC!$A$5:$Q$50,G60+1,FALSE)</f>
        <v>#N/A</v>
      </c>
      <c r="AG60" s="44" t="e">
        <f t="shared" si="10"/>
        <v>#N/A</v>
      </c>
      <c r="AH60" s="52" t="e">
        <f>HLOOKUP(I60,ElecAvoidedCostsWOCC!$A$5:$Q$50,T60+1,FALSE)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HLOOKUP(I60,ElecAvoidedCostsWOCC!$A$5:$Q$50,G60+1,FALSE)*J60*L60</f>
        <v>#N/A</v>
      </c>
      <c r="AL60" s="44" t="e">
        <f t="shared" si="1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9"/>
        <v>#DIV/0!</v>
      </c>
      <c r="AC61" s="44" t="e">
        <f t="shared" si="19"/>
        <v>#DIV/0!</v>
      </c>
      <c r="AD61" s="44">
        <f t="shared" si="9"/>
        <v>0</v>
      </c>
      <c r="AE61" s="44">
        <f t="shared" si="17"/>
        <v>0</v>
      </c>
      <c r="AF61" s="52" t="e">
        <f>HLOOKUP(I61,ElecAvoidedCostsWOCC!$A$5:$Q$50,G61+1,FALSE)</f>
        <v>#N/A</v>
      </c>
      <c r="AG61" s="44" t="e">
        <f t="shared" si="10"/>
        <v>#N/A</v>
      </c>
      <c r="AH61" s="52" t="e">
        <f>HLOOKUP(I61,ElecAvoidedCostsWOCC!$A$5:$Q$50,T61+1,FALSE)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HLOOKUP(I61,ElecAvoidedCostsWOCC!$A$5:$Q$50,G61+1,FALSE)*J61*L61</f>
        <v>#N/A</v>
      </c>
      <c r="AL61" s="44" t="e">
        <f t="shared" si="1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9"/>
        <v>#DIV/0!</v>
      </c>
      <c r="AC62" s="44" t="e">
        <f t="shared" si="19"/>
        <v>#DIV/0!</v>
      </c>
      <c r="AD62" s="44">
        <f t="shared" si="9"/>
        <v>0</v>
      </c>
      <c r="AE62" s="44">
        <f t="shared" si="17"/>
        <v>0</v>
      </c>
      <c r="AF62" s="52" t="e">
        <f>HLOOKUP(I62,ElecAvoidedCostsWOCC!$A$5:$Q$50,G62+1,FALSE)</f>
        <v>#N/A</v>
      </c>
      <c r="AG62" s="44" t="e">
        <f t="shared" si="10"/>
        <v>#N/A</v>
      </c>
      <c r="AH62" s="52" t="e">
        <f>HLOOKUP(I62,ElecAvoidedCostsWOCC!$A$5:$Q$50,T62+1,FALSE)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HLOOKUP(I62,ElecAvoidedCostsWOCC!$A$5:$Q$50,G62+1,FALSE)*J62*L62</f>
        <v>#N/A</v>
      </c>
      <c r="AL62" s="44" t="e">
        <f t="shared" si="1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9"/>
        <v>#DIV/0!</v>
      </c>
      <c r="AC63" s="44" t="e">
        <f t="shared" si="19"/>
        <v>#DIV/0!</v>
      </c>
      <c r="AD63" s="44">
        <f t="shared" si="9"/>
        <v>0</v>
      </c>
      <c r="AE63" s="44">
        <f t="shared" si="17"/>
        <v>0</v>
      </c>
      <c r="AF63" s="52" t="e">
        <f>HLOOKUP(I63,ElecAvoidedCostsWOCC!$A$5:$Q$50,G63+1,FALSE)</f>
        <v>#N/A</v>
      </c>
      <c r="AG63" s="44" t="e">
        <f t="shared" si="10"/>
        <v>#N/A</v>
      </c>
      <c r="AH63" s="52" t="e">
        <f>HLOOKUP(I63,ElecAvoidedCostsWOCC!$A$5:$Q$50,T63+1,FALSE)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HLOOKUP(I63,ElecAvoidedCostsWOCC!$A$5:$Q$50,G63+1,FALSE)*J63*L63</f>
        <v>#N/A</v>
      </c>
      <c r="AL63" s="44" t="e">
        <f t="shared" si="1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9"/>
        <v>#DIV/0!</v>
      </c>
      <c r="AC64" s="44" t="e">
        <f t="shared" si="19"/>
        <v>#DIV/0!</v>
      </c>
      <c r="AD64" s="44">
        <f t="shared" si="9"/>
        <v>0</v>
      </c>
      <c r="AE64" s="44">
        <f t="shared" si="17"/>
        <v>0</v>
      </c>
      <c r="AF64" s="52" t="e">
        <f>HLOOKUP(I64,ElecAvoidedCostsWOCC!$A$5:$Q$50,G64+1,FALSE)</f>
        <v>#N/A</v>
      </c>
      <c r="AG64" s="44" t="e">
        <f t="shared" si="10"/>
        <v>#N/A</v>
      </c>
      <c r="AH64" s="52" t="e">
        <f>HLOOKUP(I64,ElecAvoidedCostsWOCC!$A$5:$Q$50,T64+1,FALSE)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HLOOKUP(I64,ElecAvoidedCostsWOCC!$A$5:$Q$50,G64+1,FALSE)*J64*L64</f>
        <v>#N/A</v>
      </c>
      <c r="AL64" s="44" t="e">
        <f t="shared" si="1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9"/>
        <v>#DIV/0!</v>
      </c>
      <c r="AC65" s="44" t="e">
        <f t="shared" si="19"/>
        <v>#DIV/0!</v>
      </c>
      <c r="AD65" s="44">
        <f t="shared" si="9"/>
        <v>0</v>
      </c>
      <c r="AE65" s="44">
        <f t="shared" si="17"/>
        <v>0</v>
      </c>
      <c r="AF65" s="52" t="e">
        <f>HLOOKUP(I65,ElecAvoidedCostsWOCC!$A$5:$Q$50,G65+1,FALSE)</f>
        <v>#N/A</v>
      </c>
      <c r="AG65" s="44" t="e">
        <f t="shared" si="10"/>
        <v>#N/A</v>
      </c>
      <c r="AH65" s="52" t="e">
        <f>HLOOKUP(I65,ElecAvoidedCostsWOCC!$A$5:$Q$50,T65+1,FALSE)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HLOOKUP(I65,ElecAvoidedCostsWOCC!$A$5:$Q$50,G65+1,FALSE)*J65*L65</f>
        <v>#N/A</v>
      </c>
      <c r="AL65" s="44" t="e">
        <f t="shared" si="1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9"/>
        <v>#DIV/0!</v>
      </c>
      <c r="AC66" s="44" t="e">
        <f t="shared" si="19"/>
        <v>#DIV/0!</v>
      </c>
      <c r="AD66" s="44">
        <f t="shared" si="9"/>
        <v>0</v>
      </c>
      <c r="AE66" s="44">
        <f t="shared" si="17"/>
        <v>0</v>
      </c>
      <c r="AF66" s="52" t="e">
        <f>HLOOKUP(I66,ElecAvoidedCostsWOCC!$A$5:$Q$50,G66+1,FALSE)</f>
        <v>#N/A</v>
      </c>
      <c r="AG66" s="44" t="e">
        <f t="shared" si="10"/>
        <v>#N/A</v>
      </c>
      <c r="AH66" s="52" t="e">
        <f>HLOOKUP(I66,ElecAvoidedCostsWOCC!$A$5:$Q$50,T66+1,FALSE)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HLOOKUP(I66,ElecAvoidedCostsWOCC!$A$5:$Q$50,G66+1,FALSE)*J66*L66</f>
        <v>#N/A</v>
      </c>
      <c r="AL66" s="44" t="e">
        <f t="shared" si="1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9"/>
        <v>#DIV/0!</v>
      </c>
      <c r="AC67" s="44" t="e">
        <f t="shared" si="19"/>
        <v>#DIV/0!</v>
      </c>
      <c r="AD67" s="44">
        <f t="shared" si="9"/>
        <v>0</v>
      </c>
      <c r="AE67" s="44">
        <f t="shared" si="17"/>
        <v>0</v>
      </c>
      <c r="AF67" s="52" t="e">
        <f>HLOOKUP(I67,ElecAvoidedCostsWOCC!$A$5:$Q$50,G67+1,FALSE)</f>
        <v>#N/A</v>
      </c>
      <c r="AG67" s="44" t="e">
        <f t="shared" si="10"/>
        <v>#N/A</v>
      </c>
      <c r="AH67" s="52" t="e">
        <f>HLOOKUP(I67,ElecAvoidedCostsWOCC!$A$5:$Q$50,T67+1,FALSE)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HLOOKUP(I67,ElecAvoidedCostsWOCC!$A$5:$Q$50,G67+1,FALSE)*J67*L67</f>
        <v>#N/A</v>
      </c>
      <c r="AL67" s="44" t="e">
        <f t="shared" si="1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0"/>
        <v>0</v>
      </c>
      <c r="U68" s="47" t="e">
        <f t="shared" si="1"/>
        <v>#DIV/0!</v>
      </c>
      <c r="V68" s="48">
        <f t="shared" si="2"/>
        <v>0</v>
      </c>
      <c r="W68" s="49" t="e">
        <f t="shared" si="3"/>
        <v>#DIV/0!</v>
      </c>
      <c r="X68" s="44" t="e">
        <f t="shared" si="4"/>
        <v>#DIV/0!</v>
      </c>
      <c r="Y68" s="44">
        <f t="shared" si="5"/>
        <v>0</v>
      </c>
      <c r="Z68" s="44" t="e">
        <f t="shared" si="6"/>
        <v>#DIV/0!</v>
      </c>
      <c r="AA68" s="50" t="e">
        <f t="shared" si="7"/>
        <v>#DIV/0!</v>
      </c>
      <c r="AB68" s="51" t="e">
        <f t="shared" si="19"/>
        <v>#DIV/0!</v>
      </c>
      <c r="AC68" s="44" t="e">
        <f t="shared" si="19"/>
        <v>#DIV/0!</v>
      </c>
      <c r="AD68" s="44">
        <f t="shared" si="9"/>
        <v>0</v>
      </c>
      <c r="AE68" s="44">
        <f t="shared" si="17"/>
        <v>0</v>
      </c>
      <c r="AF68" s="52" t="e">
        <f>HLOOKUP(I68,ElecAvoidedCostsWOCC!$A$5:$Q$50,G68+1,FALSE)</f>
        <v>#N/A</v>
      </c>
      <c r="AG68" s="44" t="e">
        <f t="shared" si="10"/>
        <v>#N/A</v>
      </c>
      <c r="AH68" s="52" t="e">
        <f>HLOOKUP(I68,ElecAvoidedCostsWOCC!$A$5:$Q$50,T68+1,FALSE)</f>
        <v>#N/A</v>
      </c>
      <c r="AI68" s="44" t="e">
        <f t="shared" si="11"/>
        <v>#N/A</v>
      </c>
      <c r="AJ68" s="44" t="e">
        <f t="shared" si="12"/>
        <v>#N/A</v>
      </c>
      <c r="AK68" s="44" t="e">
        <f>HLOOKUP(I68,ElecAvoidedCostsWOCC!$A$5:$Q$50,G68+1,FALSE)*J68*L68</f>
        <v>#N/A</v>
      </c>
      <c r="AL68" s="44" t="e">
        <f t="shared" si="1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14"/>
        <v>0</v>
      </c>
      <c r="AO68" s="47">
        <f t="shared" si="15"/>
        <v>0</v>
      </c>
      <c r="AP68" s="47" t="e">
        <f t="shared" si="16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ref="T69:T88" si="20">G69+H69</f>
        <v>0</v>
      </c>
      <c r="U69" s="47" t="e">
        <f t="shared" ref="U69:U88" si="21">(O69/$A$10)*T69</f>
        <v>#DIV/0!</v>
      </c>
      <c r="V69" s="48">
        <f t="shared" ref="V69:V88" si="22">N69-M69</f>
        <v>0</v>
      </c>
      <c r="W69" s="49" t="e">
        <f t="shared" ref="W69:W88" si="23">(O69/A$10)</f>
        <v>#DIV/0!</v>
      </c>
      <c r="X69" s="44" t="e">
        <f t="shared" ref="X69:X88" si="24">W69*A$8</f>
        <v>#DIV/0!</v>
      </c>
      <c r="Y69" s="44">
        <f t="shared" ref="Y69:Y88" si="25">Q69-P69</f>
        <v>0</v>
      </c>
      <c r="Z69" s="44" t="e">
        <f t="shared" ref="Z69:Z88" si="26">X69+(A$6*W69)</f>
        <v>#DIV/0!</v>
      </c>
      <c r="AA69" s="50" t="e">
        <f t="shared" ref="AA69:AA88" si="27">Q69+X69</f>
        <v>#DIV/0!</v>
      </c>
      <c r="AB69" s="51" t="e">
        <f t="shared" si="19"/>
        <v>#DIV/0!</v>
      </c>
      <c r="AC69" s="44" t="e">
        <f t="shared" si="19"/>
        <v>#DIV/0!</v>
      </c>
      <c r="AD69" s="44">
        <f t="shared" ref="AD69:AD88" si="28">-PV(ElecDiscountRate,T69,R69)*J69</f>
        <v>0</v>
      </c>
      <c r="AE69" s="44">
        <f t="shared" si="17"/>
        <v>0</v>
      </c>
      <c r="AF69" s="52" t="e">
        <f>HLOOKUP(I69,ElecAvoidedCostsWOCC!$A$5:$Q$50,G69+1,FALSE)</f>
        <v>#N/A</v>
      </c>
      <c r="AG69" s="44" t="e">
        <f t="shared" ref="AG69:AG88" si="29">AF69*J69*K69</f>
        <v>#N/A</v>
      </c>
      <c r="AH69" s="52" t="e">
        <f>HLOOKUP(I69,ElecAvoidedCostsWOCC!$A$5:$Q$50,T69+1,FALSE)</f>
        <v>#N/A</v>
      </c>
      <c r="AI69" s="44" t="e">
        <f t="shared" ref="AI69:AI88" si="30">AH69*J69*L69</f>
        <v>#N/A</v>
      </c>
      <c r="AJ69" s="44" t="e">
        <f t="shared" si="12"/>
        <v>#N/A</v>
      </c>
      <c r="AK69" s="44" t="e">
        <f>HLOOKUP(I69,ElecAvoidedCostsWOCC!$A$5:$Q$50,G69+1,FALSE)*J69*L69</f>
        <v>#N/A</v>
      </c>
      <c r="AL69" s="44" t="e">
        <f t="shared" si="1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14"/>
        <v>0</v>
      </c>
      <c r="AO69" s="47">
        <f t="shared" si="15"/>
        <v>0</v>
      </c>
      <c r="AP69" s="47" t="e">
        <f t="shared" si="16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 t="e">
        <f t="shared" si="21"/>
        <v>#DIV/0!</v>
      </c>
      <c r="V70" s="48">
        <f t="shared" si="22"/>
        <v>0</v>
      </c>
      <c r="W70" s="49" t="e">
        <f t="shared" si="23"/>
        <v>#DIV/0!</v>
      </c>
      <c r="X70" s="44" t="e">
        <f t="shared" si="24"/>
        <v>#DIV/0!</v>
      </c>
      <c r="Y70" s="44">
        <f t="shared" si="25"/>
        <v>0</v>
      </c>
      <c r="Z70" s="44" t="e">
        <f t="shared" si="26"/>
        <v>#DIV/0!</v>
      </c>
      <c r="AA70" s="50" t="e">
        <f t="shared" si="27"/>
        <v>#DIV/0!</v>
      </c>
      <c r="AB70" s="51" t="e">
        <f t="shared" si="19"/>
        <v>#DIV/0!</v>
      </c>
      <c r="AC70" s="44" t="e">
        <f t="shared" si="19"/>
        <v>#DIV/0!</v>
      </c>
      <c r="AD70" s="44">
        <f t="shared" si="28"/>
        <v>0</v>
      </c>
      <c r="AE70" s="44">
        <f t="shared" si="17"/>
        <v>0</v>
      </c>
      <c r="AF70" s="52" t="e">
        <f>HLOOKUP(I70,ElecAvoidedCostsWOCC!$A$5:$Q$50,G70+1,FALSE)</f>
        <v>#N/A</v>
      </c>
      <c r="AG70" s="44" t="e">
        <f t="shared" si="29"/>
        <v>#N/A</v>
      </c>
      <c r="AH70" s="52" t="e">
        <f>HLOOKUP(I70,ElecAvoidedCostsWOCC!$A$5:$Q$50,T70+1,FALSE)</f>
        <v>#N/A</v>
      </c>
      <c r="AI70" s="44" t="e">
        <f t="shared" si="30"/>
        <v>#N/A</v>
      </c>
      <c r="AJ70" s="44" t="e">
        <f t="shared" ref="AJ70:AJ88" si="31">AG70+AI70</f>
        <v>#N/A</v>
      </c>
      <c r="AK70" s="44" t="e">
        <f>HLOOKUP(I70,ElecAvoidedCostsWOCC!$A$5:$Q$50,G70+1,FALSE)*J70*L70</f>
        <v>#N/A</v>
      </c>
      <c r="AL70" s="44" t="e">
        <f t="shared" ref="AL70:AL88" si="32">AG70+AI70-AK70</f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ref="AN70:AN88" si="33">AM70*1.1+AD70+AE70</f>
        <v>0</v>
      </c>
      <c r="AO70" s="47">
        <f t="shared" ref="AO70:AO88" si="34">IFERROR(AM70/AB70,0)</f>
        <v>0</v>
      </c>
      <c r="AP70" s="47" t="e">
        <f t="shared" ref="AP70:AP88" si="35">AN70/AC70</f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 t="e">
        <f t="shared" si="21"/>
        <v>#DIV/0!</v>
      </c>
      <c r="V71" s="48">
        <f t="shared" si="22"/>
        <v>0</v>
      </c>
      <c r="W71" s="49" t="e">
        <f t="shared" si="23"/>
        <v>#DIV/0!</v>
      </c>
      <c r="X71" s="44" t="e">
        <f t="shared" si="24"/>
        <v>#DIV/0!</v>
      </c>
      <c r="Y71" s="44">
        <f t="shared" si="25"/>
        <v>0</v>
      </c>
      <c r="Z71" s="44" t="e">
        <f t="shared" si="26"/>
        <v>#DIV/0!</v>
      </c>
      <c r="AA71" s="50" t="e">
        <f t="shared" si="27"/>
        <v>#DIV/0!</v>
      </c>
      <c r="AB71" s="51" t="e">
        <f t="shared" si="19"/>
        <v>#DIV/0!</v>
      </c>
      <c r="AC71" s="44" t="e">
        <f t="shared" si="19"/>
        <v>#DIV/0!</v>
      </c>
      <c r="AD71" s="44">
        <f t="shared" si="28"/>
        <v>0</v>
      </c>
      <c r="AE71" s="44">
        <f t="shared" si="17"/>
        <v>0</v>
      </c>
      <c r="AF71" s="52" t="e">
        <f>HLOOKUP(I71,ElecAvoidedCostsWOCC!$A$5:$Q$50,G71+1,FALSE)</f>
        <v>#N/A</v>
      </c>
      <c r="AG71" s="44" t="e">
        <f t="shared" si="29"/>
        <v>#N/A</v>
      </c>
      <c r="AH71" s="52" t="e">
        <f>HLOOKUP(I71,ElecAvoidedCostsWOCC!$A$5:$Q$50,T71+1,FALSE)</f>
        <v>#N/A</v>
      </c>
      <c r="AI71" s="44" t="e">
        <f t="shared" si="30"/>
        <v>#N/A</v>
      </c>
      <c r="AJ71" s="44" t="e">
        <f t="shared" si="31"/>
        <v>#N/A</v>
      </c>
      <c r="AK71" s="44" t="e">
        <f>HLOOKUP(I71,ElecAvoidedCostsWOCC!$A$5:$Q$50,G71+1,FALSE)*J71*L71</f>
        <v>#N/A</v>
      </c>
      <c r="AL71" s="44" t="e">
        <f t="shared" si="3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3"/>
        <v>0</v>
      </c>
      <c r="AO71" s="47">
        <f t="shared" si="34"/>
        <v>0</v>
      </c>
      <c r="AP71" s="47" t="e">
        <f t="shared" si="35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 t="e">
        <f t="shared" si="21"/>
        <v>#DIV/0!</v>
      </c>
      <c r="V72" s="48">
        <f t="shared" si="22"/>
        <v>0</v>
      </c>
      <c r="W72" s="49" t="e">
        <f t="shared" si="23"/>
        <v>#DIV/0!</v>
      </c>
      <c r="X72" s="44" t="e">
        <f t="shared" si="24"/>
        <v>#DIV/0!</v>
      </c>
      <c r="Y72" s="44">
        <f t="shared" si="25"/>
        <v>0</v>
      </c>
      <c r="Z72" s="44" t="e">
        <f t="shared" si="26"/>
        <v>#DIV/0!</v>
      </c>
      <c r="AA72" s="50" t="e">
        <f t="shared" si="27"/>
        <v>#DIV/0!</v>
      </c>
      <c r="AB72" s="51" t="e">
        <f t="shared" si="19"/>
        <v>#DIV/0!</v>
      </c>
      <c r="AC72" s="44" t="e">
        <f t="shared" si="19"/>
        <v>#DIV/0!</v>
      </c>
      <c r="AD72" s="44">
        <f t="shared" si="28"/>
        <v>0</v>
      </c>
      <c r="AE72" s="44">
        <f t="shared" si="17"/>
        <v>0</v>
      </c>
      <c r="AF72" s="52" t="e">
        <f>HLOOKUP(I72,ElecAvoidedCostsWOCC!$A$5:$Q$50,G72+1,FALSE)</f>
        <v>#N/A</v>
      </c>
      <c r="AG72" s="44" t="e">
        <f t="shared" si="29"/>
        <v>#N/A</v>
      </c>
      <c r="AH72" s="52" t="e">
        <f>HLOOKUP(I72,ElecAvoidedCostsWOCC!$A$5:$Q$50,T72+1,FALSE)</f>
        <v>#N/A</v>
      </c>
      <c r="AI72" s="44" t="e">
        <f t="shared" si="30"/>
        <v>#N/A</v>
      </c>
      <c r="AJ72" s="44" t="e">
        <f t="shared" si="31"/>
        <v>#N/A</v>
      </c>
      <c r="AK72" s="44" t="e">
        <f>HLOOKUP(I72,ElecAvoidedCostsWOCC!$A$5:$Q$50,G72+1,FALSE)*J72*L72</f>
        <v>#N/A</v>
      </c>
      <c r="AL72" s="44" t="e">
        <f t="shared" si="3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3"/>
        <v>0</v>
      </c>
      <c r="AO72" s="47">
        <f t="shared" si="34"/>
        <v>0</v>
      </c>
      <c r="AP72" s="47" t="e">
        <f t="shared" si="35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 t="e">
        <f t="shared" si="21"/>
        <v>#DIV/0!</v>
      </c>
      <c r="V73" s="48">
        <f t="shared" si="22"/>
        <v>0</v>
      </c>
      <c r="W73" s="49" t="e">
        <f t="shared" si="23"/>
        <v>#DIV/0!</v>
      </c>
      <c r="X73" s="44" t="e">
        <f t="shared" si="24"/>
        <v>#DIV/0!</v>
      </c>
      <c r="Y73" s="44">
        <f t="shared" si="25"/>
        <v>0</v>
      </c>
      <c r="Z73" s="44" t="e">
        <f t="shared" si="26"/>
        <v>#DIV/0!</v>
      </c>
      <c r="AA73" s="50" t="e">
        <f t="shared" si="27"/>
        <v>#DIV/0!</v>
      </c>
      <c r="AB73" s="51" t="e">
        <f t="shared" si="19"/>
        <v>#DIV/0!</v>
      </c>
      <c r="AC73" s="44" t="e">
        <f t="shared" si="19"/>
        <v>#DIV/0!</v>
      </c>
      <c r="AD73" s="44">
        <f t="shared" si="28"/>
        <v>0</v>
      </c>
      <c r="AE73" s="44">
        <f t="shared" ref="AE73:AE88" si="36">-PV(ElecDiscountRate,T73,S73)*J73</f>
        <v>0</v>
      </c>
      <c r="AF73" s="52" t="e">
        <f>HLOOKUP(I73,ElecAvoidedCostsWOCC!$A$5:$Q$50,G73+1,FALSE)</f>
        <v>#N/A</v>
      </c>
      <c r="AG73" s="44" t="e">
        <f t="shared" si="29"/>
        <v>#N/A</v>
      </c>
      <c r="AH73" s="52" t="e">
        <f>HLOOKUP(I73,ElecAvoidedCostsWOCC!$A$5:$Q$50,T73+1,FALSE)</f>
        <v>#N/A</v>
      </c>
      <c r="AI73" s="44" t="e">
        <f t="shared" si="30"/>
        <v>#N/A</v>
      </c>
      <c r="AJ73" s="44" t="e">
        <f t="shared" si="31"/>
        <v>#N/A</v>
      </c>
      <c r="AK73" s="44" t="e">
        <f>HLOOKUP(I73,ElecAvoidedCostsWOCC!$A$5:$Q$50,G73+1,FALSE)*J73*L73</f>
        <v>#N/A</v>
      </c>
      <c r="AL73" s="44" t="e">
        <f t="shared" si="3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3"/>
        <v>0</v>
      </c>
      <c r="AO73" s="47">
        <f t="shared" si="34"/>
        <v>0</v>
      </c>
      <c r="AP73" s="47" t="e">
        <f t="shared" si="35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 t="e">
        <f t="shared" si="21"/>
        <v>#DIV/0!</v>
      </c>
      <c r="V74" s="48">
        <f t="shared" si="22"/>
        <v>0</v>
      </c>
      <c r="W74" s="49" t="e">
        <f t="shared" si="23"/>
        <v>#DIV/0!</v>
      </c>
      <c r="X74" s="44" t="e">
        <f t="shared" si="24"/>
        <v>#DIV/0!</v>
      </c>
      <c r="Y74" s="44">
        <f t="shared" si="25"/>
        <v>0</v>
      </c>
      <c r="Z74" s="44" t="e">
        <f t="shared" si="26"/>
        <v>#DIV/0!</v>
      </c>
      <c r="AA74" s="50" t="e">
        <f t="shared" si="27"/>
        <v>#DIV/0!</v>
      </c>
      <c r="AB74" s="51" t="e">
        <f t="shared" si="19"/>
        <v>#DIV/0!</v>
      </c>
      <c r="AC74" s="44" t="e">
        <f t="shared" si="19"/>
        <v>#DIV/0!</v>
      </c>
      <c r="AD74" s="44">
        <f t="shared" si="28"/>
        <v>0</v>
      </c>
      <c r="AE74" s="44">
        <f t="shared" si="36"/>
        <v>0</v>
      </c>
      <c r="AF74" s="52" t="e">
        <f>HLOOKUP(I74,ElecAvoidedCostsWOCC!$A$5:$Q$50,G74+1,FALSE)</f>
        <v>#N/A</v>
      </c>
      <c r="AG74" s="44" t="e">
        <f t="shared" si="29"/>
        <v>#N/A</v>
      </c>
      <c r="AH74" s="52" t="e">
        <f>HLOOKUP(I74,ElecAvoidedCostsWOCC!$A$5:$Q$50,T74+1,FALSE)</f>
        <v>#N/A</v>
      </c>
      <c r="AI74" s="44" t="e">
        <f t="shared" si="30"/>
        <v>#N/A</v>
      </c>
      <c r="AJ74" s="44" t="e">
        <f t="shared" si="31"/>
        <v>#N/A</v>
      </c>
      <c r="AK74" s="44" t="e">
        <f>HLOOKUP(I74,ElecAvoidedCostsWOCC!$A$5:$Q$50,G74+1,FALSE)*J74*L74</f>
        <v>#N/A</v>
      </c>
      <c r="AL74" s="44" t="e">
        <f t="shared" si="3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3"/>
        <v>0</v>
      </c>
      <c r="AO74" s="47">
        <f t="shared" si="34"/>
        <v>0</v>
      </c>
      <c r="AP74" s="47" t="e">
        <f t="shared" si="35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 t="e">
        <f t="shared" si="21"/>
        <v>#DIV/0!</v>
      </c>
      <c r="V75" s="48">
        <f t="shared" si="22"/>
        <v>0</v>
      </c>
      <c r="W75" s="49" t="e">
        <f t="shared" si="23"/>
        <v>#DIV/0!</v>
      </c>
      <c r="X75" s="44" t="e">
        <f t="shared" si="24"/>
        <v>#DIV/0!</v>
      </c>
      <c r="Y75" s="44">
        <f t="shared" si="25"/>
        <v>0</v>
      </c>
      <c r="Z75" s="44" t="e">
        <f t="shared" si="26"/>
        <v>#DIV/0!</v>
      </c>
      <c r="AA75" s="50" t="e">
        <f t="shared" si="27"/>
        <v>#DIV/0!</v>
      </c>
      <c r="AB75" s="51" t="e">
        <f t="shared" si="19"/>
        <v>#DIV/0!</v>
      </c>
      <c r="AC75" s="44" t="e">
        <f t="shared" si="19"/>
        <v>#DIV/0!</v>
      </c>
      <c r="AD75" s="44">
        <f t="shared" si="28"/>
        <v>0</v>
      </c>
      <c r="AE75" s="44">
        <f t="shared" si="36"/>
        <v>0</v>
      </c>
      <c r="AF75" s="52" t="e">
        <f>HLOOKUP(I75,ElecAvoidedCostsWOCC!$A$5:$Q$50,G75+1,FALSE)</f>
        <v>#N/A</v>
      </c>
      <c r="AG75" s="44" t="e">
        <f t="shared" si="29"/>
        <v>#N/A</v>
      </c>
      <c r="AH75" s="52" t="e">
        <f>HLOOKUP(I75,ElecAvoidedCostsWOCC!$A$5:$Q$50,T75+1,FALSE)</f>
        <v>#N/A</v>
      </c>
      <c r="AI75" s="44" t="e">
        <f t="shared" si="30"/>
        <v>#N/A</v>
      </c>
      <c r="AJ75" s="44" t="e">
        <f t="shared" si="31"/>
        <v>#N/A</v>
      </c>
      <c r="AK75" s="44" t="e">
        <f>HLOOKUP(I75,ElecAvoidedCostsWOCC!$A$5:$Q$50,G75+1,FALSE)*J75*L75</f>
        <v>#N/A</v>
      </c>
      <c r="AL75" s="44" t="e">
        <f t="shared" si="3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3"/>
        <v>0</v>
      </c>
      <c r="AO75" s="47">
        <f t="shared" si="34"/>
        <v>0</v>
      </c>
      <c r="AP75" s="47" t="e">
        <f t="shared" si="35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 t="e">
        <f t="shared" si="21"/>
        <v>#DIV/0!</v>
      </c>
      <c r="V76" s="48">
        <f t="shared" si="22"/>
        <v>0</v>
      </c>
      <c r="W76" s="49" t="e">
        <f t="shared" si="23"/>
        <v>#DIV/0!</v>
      </c>
      <c r="X76" s="44" t="e">
        <f t="shared" si="24"/>
        <v>#DIV/0!</v>
      </c>
      <c r="Y76" s="44">
        <f t="shared" si="25"/>
        <v>0</v>
      </c>
      <c r="Z76" s="44" t="e">
        <f t="shared" si="26"/>
        <v>#DIV/0!</v>
      </c>
      <c r="AA76" s="50" t="e">
        <f t="shared" si="27"/>
        <v>#DIV/0!</v>
      </c>
      <c r="AB76" s="51" t="e">
        <f t="shared" si="19"/>
        <v>#DIV/0!</v>
      </c>
      <c r="AC76" s="44" t="e">
        <f t="shared" si="19"/>
        <v>#DIV/0!</v>
      </c>
      <c r="AD76" s="44">
        <f t="shared" si="28"/>
        <v>0</v>
      </c>
      <c r="AE76" s="44">
        <f t="shared" si="36"/>
        <v>0</v>
      </c>
      <c r="AF76" s="52" t="e">
        <f>HLOOKUP(I76,ElecAvoidedCostsWOCC!$A$5:$Q$50,G76+1,FALSE)</f>
        <v>#N/A</v>
      </c>
      <c r="AG76" s="44" t="e">
        <f t="shared" si="29"/>
        <v>#N/A</v>
      </c>
      <c r="AH76" s="52" t="e">
        <f>HLOOKUP(I76,ElecAvoidedCostsWOCC!$A$5:$Q$50,T76+1,FALSE)</f>
        <v>#N/A</v>
      </c>
      <c r="AI76" s="44" t="e">
        <f t="shared" si="30"/>
        <v>#N/A</v>
      </c>
      <c r="AJ76" s="44" t="e">
        <f t="shared" si="31"/>
        <v>#N/A</v>
      </c>
      <c r="AK76" s="44" t="e">
        <f>HLOOKUP(I76,ElecAvoidedCostsWOCC!$A$5:$Q$50,G76+1,FALSE)*J76*L76</f>
        <v>#N/A</v>
      </c>
      <c r="AL76" s="44" t="e">
        <f t="shared" si="3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3"/>
        <v>0</v>
      </c>
      <c r="AO76" s="47">
        <f t="shared" si="34"/>
        <v>0</v>
      </c>
      <c r="AP76" s="47" t="e">
        <f t="shared" si="35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 t="e">
        <f t="shared" si="21"/>
        <v>#DIV/0!</v>
      </c>
      <c r="V77" s="48">
        <f t="shared" si="22"/>
        <v>0</v>
      </c>
      <c r="W77" s="49" t="e">
        <f t="shared" si="23"/>
        <v>#DIV/0!</v>
      </c>
      <c r="X77" s="44" t="e">
        <f t="shared" si="24"/>
        <v>#DIV/0!</v>
      </c>
      <c r="Y77" s="44">
        <f t="shared" si="25"/>
        <v>0</v>
      </c>
      <c r="Z77" s="44" t="e">
        <f t="shared" si="26"/>
        <v>#DIV/0!</v>
      </c>
      <c r="AA77" s="50" t="e">
        <f t="shared" si="27"/>
        <v>#DIV/0!</v>
      </c>
      <c r="AB77" s="51" t="e">
        <f t="shared" si="19"/>
        <v>#DIV/0!</v>
      </c>
      <c r="AC77" s="44" t="e">
        <f t="shared" si="19"/>
        <v>#DIV/0!</v>
      </c>
      <c r="AD77" s="44">
        <f t="shared" si="28"/>
        <v>0</v>
      </c>
      <c r="AE77" s="44">
        <f t="shared" si="36"/>
        <v>0</v>
      </c>
      <c r="AF77" s="52" t="e">
        <f>HLOOKUP(I77,ElecAvoidedCostsWOCC!$A$5:$Q$50,G77+1,FALSE)</f>
        <v>#N/A</v>
      </c>
      <c r="AG77" s="44" t="e">
        <f t="shared" si="29"/>
        <v>#N/A</v>
      </c>
      <c r="AH77" s="52" t="e">
        <f>HLOOKUP(I77,ElecAvoidedCostsWOCC!$A$5:$Q$50,T77+1,FALSE)</f>
        <v>#N/A</v>
      </c>
      <c r="AI77" s="44" t="e">
        <f t="shared" si="30"/>
        <v>#N/A</v>
      </c>
      <c r="AJ77" s="44" t="e">
        <f t="shared" si="31"/>
        <v>#N/A</v>
      </c>
      <c r="AK77" s="44" t="e">
        <f>HLOOKUP(I77,ElecAvoidedCostsWOCC!$A$5:$Q$50,G77+1,FALSE)*J77*L77</f>
        <v>#N/A</v>
      </c>
      <c r="AL77" s="44" t="e">
        <f t="shared" si="3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3"/>
        <v>0</v>
      </c>
      <c r="AO77" s="47">
        <f t="shared" si="34"/>
        <v>0</v>
      </c>
      <c r="AP77" s="47" t="e">
        <f t="shared" si="35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 t="e">
        <f t="shared" si="21"/>
        <v>#DIV/0!</v>
      </c>
      <c r="V78" s="48">
        <f t="shared" si="22"/>
        <v>0</v>
      </c>
      <c r="W78" s="49" t="e">
        <f t="shared" si="23"/>
        <v>#DIV/0!</v>
      </c>
      <c r="X78" s="44" t="e">
        <f t="shared" si="24"/>
        <v>#DIV/0!</v>
      </c>
      <c r="Y78" s="44">
        <f t="shared" si="25"/>
        <v>0</v>
      </c>
      <c r="Z78" s="44" t="e">
        <f t="shared" si="26"/>
        <v>#DIV/0!</v>
      </c>
      <c r="AA78" s="50" t="e">
        <f t="shared" si="27"/>
        <v>#DIV/0!</v>
      </c>
      <c r="AB78" s="51" t="e">
        <f t="shared" si="19"/>
        <v>#DIV/0!</v>
      </c>
      <c r="AC78" s="44" t="e">
        <f t="shared" si="19"/>
        <v>#DIV/0!</v>
      </c>
      <c r="AD78" s="44">
        <f t="shared" si="28"/>
        <v>0</v>
      </c>
      <c r="AE78" s="44">
        <f t="shared" si="36"/>
        <v>0</v>
      </c>
      <c r="AF78" s="52" t="e">
        <f>HLOOKUP(I78,ElecAvoidedCostsWOCC!$A$5:$Q$50,G78+1,FALSE)</f>
        <v>#N/A</v>
      </c>
      <c r="AG78" s="44" t="e">
        <f t="shared" si="29"/>
        <v>#N/A</v>
      </c>
      <c r="AH78" s="52" t="e">
        <f>HLOOKUP(I78,ElecAvoidedCostsWOCC!$A$5:$Q$50,T78+1,FALSE)</f>
        <v>#N/A</v>
      </c>
      <c r="AI78" s="44" t="e">
        <f t="shared" si="30"/>
        <v>#N/A</v>
      </c>
      <c r="AJ78" s="44" t="e">
        <f t="shared" si="31"/>
        <v>#N/A</v>
      </c>
      <c r="AK78" s="44" t="e">
        <f>HLOOKUP(I78,ElecAvoidedCostsWOCC!$A$5:$Q$50,G78+1,FALSE)*J78*L78</f>
        <v>#N/A</v>
      </c>
      <c r="AL78" s="44" t="e">
        <f t="shared" si="3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3"/>
        <v>0</v>
      </c>
      <c r="AO78" s="47">
        <f t="shared" si="34"/>
        <v>0</v>
      </c>
      <c r="AP78" s="47" t="e">
        <f t="shared" si="35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 t="e">
        <f t="shared" si="21"/>
        <v>#DIV/0!</v>
      </c>
      <c r="V79" s="48">
        <f t="shared" si="22"/>
        <v>0</v>
      </c>
      <c r="W79" s="49" t="e">
        <f t="shared" si="23"/>
        <v>#DIV/0!</v>
      </c>
      <c r="X79" s="44" t="e">
        <f t="shared" si="24"/>
        <v>#DIV/0!</v>
      </c>
      <c r="Y79" s="44">
        <f t="shared" si="25"/>
        <v>0</v>
      </c>
      <c r="Z79" s="44" t="e">
        <f t="shared" si="26"/>
        <v>#DIV/0!</v>
      </c>
      <c r="AA79" s="50" t="e">
        <f t="shared" si="27"/>
        <v>#DIV/0!</v>
      </c>
      <c r="AB79" s="51" t="e">
        <f t="shared" si="19"/>
        <v>#DIV/0!</v>
      </c>
      <c r="AC79" s="44" t="e">
        <f t="shared" si="19"/>
        <v>#DIV/0!</v>
      </c>
      <c r="AD79" s="44">
        <f t="shared" si="28"/>
        <v>0</v>
      </c>
      <c r="AE79" s="44">
        <f t="shared" si="36"/>
        <v>0</v>
      </c>
      <c r="AF79" s="52" t="e">
        <f>HLOOKUP(I79,ElecAvoidedCostsWOCC!$A$5:$Q$50,G79+1,FALSE)</f>
        <v>#N/A</v>
      </c>
      <c r="AG79" s="44" t="e">
        <f t="shared" si="29"/>
        <v>#N/A</v>
      </c>
      <c r="AH79" s="52" t="e">
        <f>HLOOKUP(I79,ElecAvoidedCostsWOCC!$A$5:$Q$50,T79+1,FALSE)</f>
        <v>#N/A</v>
      </c>
      <c r="AI79" s="44" t="e">
        <f t="shared" si="30"/>
        <v>#N/A</v>
      </c>
      <c r="AJ79" s="44" t="e">
        <f t="shared" si="31"/>
        <v>#N/A</v>
      </c>
      <c r="AK79" s="44" t="e">
        <f>HLOOKUP(I79,ElecAvoidedCostsWOCC!$A$5:$Q$50,G79+1,FALSE)*J79*L79</f>
        <v>#N/A</v>
      </c>
      <c r="AL79" s="44" t="e">
        <f t="shared" si="3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3"/>
        <v>0</v>
      </c>
      <c r="AO79" s="47">
        <f t="shared" si="34"/>
        <v>0</v>
      </c>
      <c r="AP79" s="47" t="e">
        <f t="shared" si="35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 t="e">
        <f t="shared" si="21"/>
        <v>#DIV/0!</v>
      </c>
      <c r="V80" s="48">
        <f t="shared" si="22"/>
        <v>0</v>
      </c>
      <c r="W80" s="49" t="e">
        <f t="shared" si="23"/>
        <v>#DIV/0!</v>
      </c>
      <c r="X80" s="44" t="e">
        <f t="shared" si="24"/>
        <v>#DIV/0!</v>
      </c>
      <c r="Y80" s="44">
        <f t="shared" si="25"/>
        <v>0</v>
      </c>
      <c r="Z80" s="44" t="e">
        <f t="shared" si="26"/>
        <v>#DIV/0!</v>
      </c>
      <c r="AA80" s="50" t="e">
        <f t="shared" si="27"/>
        <v>#DIV/0!</v>
      </c>
      <c r="AB80" s="51" t="e">
        <f t="shared" si="19"/>
        <v>#DIV/0!</v>
      </c>
      <c r="AC80" s="44" t="e">
        <f t="shared" si="19"/>
        <v>#DIV/0!</v>
      </c>
      <c r="AD80" s="44">
        <f t="shared" si="28"/>
        <v>0</v>
      </c>
      <c r="AE80" s="44">
        <f t="shared" si="36"/>
        <v>0</v>
      </c>
      <c r="AF80" s="52" t="e">
        <f>HLOOKUP(I80,ElecAvoidedCostsWOCC!$A$5:$Q$50,G80+1,FALSE)</f>
        <v>#N/A</v>
      </c>
      <c r="AG80" s="44" t="e">
        <f t="shared" si="29"/>
        <v>#N/A</v>
      </c>
      <c r="AH80" s="52" t="e">
        <f>HLOOKUP(I80,ElecAvoidedCostsWOCC!$A$5:$Q$50,T80+1,FALSE)</f>
        <v>#N/A</v>
      </c>
      <c r="AI80" s="44" t="e">
        <f t="shared" si="30"/>
        <v>#N/A</v>
      </c>
      <c r="AJ80" s="44" t="e">
        <f t="shared" si="31"/>
        <v>#N/A</v>
      </c>
      <c r="AK80" s="44" t="e">
        <f>HLOOKUP(I80,ElecAvoidedCostsWOCC!$A$5:$Q$50,G80+1,FALSE)*J80*L80</f>
        <v>#N/A</v>
      </c>
      <c r="AL80" s="44" t="e">
        <f t="shared" si="3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3"/>
        <v>0</v>
      </c>
      <c r="AO80" s="47">
        <f t="shared" si="34"/>
        <v>0</v>
      </c>
      <c r="AP80" s="47" t="e">
        <f t="shared" si="35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 t="e">
        <f t="shared" si="21"/>
        <v>#DIV/0!</v>
      </c>
      <c r="V81" s="48">
        <f t="shared" si="22"/>
        <v>0</v>
      </c>
      <c r="W81" s="49" t="e">
        <f t="shared" si="23"/>
        <v>#DIV/0!</v>
      </c>
      <c r="X81" s="44" t="e">
        <f t="shared" si="24"/>
        <v>#DIV/0!</v>
      </c>
      <c r="Y81" s="44">
        <f t="shared" si="25"/>
        <v>0</v>
      </c>
      <c r="Z81" s="44" t="e">
        <f t="shared" si="26"/>
        <v>#DIV/0!</v>
      </c>
      <c r="AA81" s="50" t="e">
        <f t="shared" si="27"/>
        <v>#DIV/0!</v>
      </c>
      <c r="AB81" s="51" t="e">
        <f t="shared" si="19"/>
        <v>#DIV/0!</v>
      </c>
      <c r="AC81" s="44" t="e">
        <f t="shared" si="19"/>
        <v>#DIV/0!</v>
      </c>
      <c r="AD81" s="44">
        <f t="shared" si="28"/>
        <v>0</v>
      </c>
      <c r="AE81" s="44">
        <f t="shared" si="36"/>
        <v>0</v>
      </c>
      <c r="AF81" s="52" t="e">
        <f>HLOOKUP(I81,ElecAvoidedCostsWOCC!$A$5:$Q$50,G81+1,FALSE)</f>
        <v>#N/A</v>
      </c>
      <c r="AG81" s="44" t="e">
        <f t="shared" si="29"/>
        <v>#N/A</v>
      </c>
      <c r="AH81" s="52" t="e">
        <f>HLOOKUP(I81,ElecAvoidedCostsWOCC!$A$5:$Q$50,T81+1,FALSE)</f>
        <v>#N/A</v>
      </c>
      <c r="AI81" s="44" t="e">
        <f t="shared" si="30"/>
        <v>#N/A</v>
      </c>
      <c r="AJ81" s="44" t="e">
        <f t="shared" si="31"/>
        <v>#N/A</v>
      </c>
      <c r="AK81" s="44" t="e">
        <f>HLOOKUP(I81,ElecAvoidedCostsWOCC!$A$5:$Q$50,G81+1,FALSE)*J81*L81</f>
        <v>#N/A</v>
      </c>
      <c r="AL81" s="44" t="e">
        <f t="shared" si="3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3"/>
        <v>0</v>
      </c>
      <c r="AO81" s="47">
        <f t="shared" si="34"/>
        <v>0</v>
      </c>
      <c r="AP81" s="47" t="e">
        <f t="shared" si="35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 t="e">
        <f t="shared" si="21"/>
        <v>#DIV/0!</v>
      </c>
      <c r="V82" s="48">
        <f t="shared" si="22"/>
        <v>0</v>
      </c>
      <c r="W82" s="49" t="e">
        <f t="shared" si="23"/>
        <v>#DIV/0!</v>
      </c>
      <c r="X82" s="44" t="e">
        <f t="shared" si="24"/>
        <v>#DIV/0!</v>
      </c>
      <c r="Y82" s="44">
        <f t="shared" si="25"/>
        <v>0</v>
      </c>
      <c r="Z82" s="44" t="e">
        <f t="shared" si="26"/>
        <v>#DIV/0!</v>
      </c>
      <c r="AA82" s="50" t="e">
        <f t="shared" si="27"/>
        <v>#DIV/0!</v>
      </c>
      <c r="AB82" s="51" t="e">
        <f t="shared" si="19"/>
        <v>#DIV/0!</v>
      </c>
      <c r="AC82" s="44" t="e">
        <f t="shared" si="19"/>
        <v>#DIV/0!</v>
      </c>
      <c r="AD82" s="44">
        <f t="shared" si="28"/>
        <v>0</v>
      </c>
      <c r="AE82" s="44">
        <f t="shared" si="36"/>
        <v>0</v>
      </c>
      <c r="AF82" s="52" t="e">
        <f>HLOOKUP(I82,ElecAvoidedCostsWOCC!$A$5:$Q$50,G82+1,FALSE)</f>
        <v>#N/A</v>
      </c>
      <c r="AG82" s="44" t="e">
        <f t="shared" si="29"/>
        <v>#N/A</v>
      </c>
      <c r="AH82" s="52" t="e">
        <f>HLOOKUP(I82,ElecAvoidedCostsWOCC!$A$5:$Q$50,T82+1,FALSE)</f>
        <v>#N/A</v>
      </c>
      <c r="AI82" s="44" t="e">
        <f t="shared" si="30"/>
        <v>#N/A</v>
      </c>
      <c r="AJ82" s="44" t="e">
        <f t="shared" si="31"/>
        <v>#N/A</v>
      </c>
      <c r="AK82" s="44" t="e">
        <f>HLOOKUP(I82,ElecAvoidedCostsWOCC!$A$5:$Q$50,G82+1,FALSE)*J82*L82</f>
        <v>#N/A</v>
      </c>
      <c r="AL82" s="44" t="e">
        <f t="shared" si="3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3"/>
        <v>0</v>
      </c>
      <c r="AO82" s="47">
        <f t="shared" si="34"/>
        <v>0</v>
      </c>
      <c r="AP82" s="47" t="e">
        <f t="shared" si="35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 t="e">
        <f t="shared" si="21"/>
        <v>#DIV/0!</v>
      </c>
      <c r="V83" s="48">
        <f t="shared" si="22"/>
        <v>0</v>
      </c>
      <c r="W83" s="49" t="e">
        <f t="shared" si="23"/>
        <v>#DIV/0!</v>
      </c>
      <c r="X83" s="44" t="e">
        <f t="shared" si="24"/>
        <v>#DIV/0!</v>
      </c>
      <c r="Y83" s="44">
        <f t="shared" si="25"/>
        <v>0</v>
      </c>
      <c r="Z83" s="44" t="e">
        <f t="shared" si="26"/>
        <v>#DIV/0!</v>
      </c>
      <c r="AA83" s="50" t="e">
        <f t="shared" si="27"/>
        <v>#DIV/0!</v>
      </c>
      <c r="AB83" s="51" t="e">
        <f t="shared" si="19"/>
        <v>#DIV/0!</v>
      </c>
      <c r="AC83" s="44" t="e">
        <f t="shared" si="19"/>
        <v>#DIV/0!</v>
      </c>
      <c r="AD83" s="44">
        <f t="shared" si="28"/>
        <v>0</v>
      </c>
      <c r="AE83" s="44">
        <f t="shared" si="36"/>
        <v>0</v>
      </c>
      <c r="AF83" s="52" t="e">
        <f>HLOOKUP(I83,ElecAvoidedCostsWOCC!$A$5:$Q$50,G83+1,FALSE)</f>
        <v>#N/A</v>
      </c>
      <c r="AG83" s="44" t="e">
        <f t="shared" si="29"/>
        <v>#N/A</v>
      </c>
      <c r="AH83" s="52" t="e">
        <f>HLOOKUP(I83,ElecAvoidedCostsWOCC!$A$5:$Q$50,T83+1,FALSE)</f>
        <v>#N/A</v>
      </c>
      <c r="AI83" s="44" t="e">
        <f t="shared" si="30"/>
        <v>#N/A</v>
      </c>
      <c r="AJ83" s="44" t="e">
        <f t="shared" si="31"/>
        <v>#N/A</v>
      </c>
      <c r="AK83" s="44" t="e">
        <f>HLOOKUP(I83,ElecAvoidedCostsWOCC!$A$5:$Q$50,G83+1,FALSE)*J83*L83</f>
        <v>#N/A</v>
      </c>
      <c r="AL83" s="44" t="e">
        <f t="shared" si="3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3"/>
        <v>0</v>
      </c>
      <c r="AO83" s="47">
        <f t="shared" si="34"/>
        <v>0</v>
      </c>
      <c r="AP83" s="47" t="e">
        <f t="shared" si="35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 t="e">
        <f t="shared" si="21"/>
        <v>#DIV/0!</v>
      </c>
      <c r="V84" s="48">
        <f t="shared" si="22"/>
        <v>0</v>
      </c>
      <c r="W84" s="49" t="e">
        <f t="shared" si="23"/>
        <v>#DIV/0!</v>
      </c>
      <c r="X84" s="44" t="e">
        <f t="shared" si="24"/>
        <v>#DIV/0!</v>
      </c>
      <c r="Y84" s="44">
        <f t="shared" si="25"/>
        <v>0</v>
      </c>
      <c r="Z84" s="44" t="e">
        <f t="shared" si="26"/>
        <v>#DIV/0!</v>
      </c>
      <c r="AA84" s="50" t="e">
        <f t="shared" si="27"/>
        <v>#DIV/0!</v>
      </c>
      <c r="AB84" s="51" t="e">
        <f t="shared" si="19"/>
        <v>#DIV/0!</v>
      </c>
      <c r="AC84" s="44" t="e">
        <f t="shared" si="19"/>
        <v>#DIV/0!</v>
      </c>
      <c r="AD84" s="44">
        <f t="shared" si="28"/>
        <v>0</v>
      </c>
      <c r="AE84" s="44">
        <f t="shared" si="36"/>
        <v>0</v>
      </c>
      <c r="AF84" s="52" t="e">
        <f>HLOOKUP(I84,ElecAvoidedCostsWOCC!$A$5:$Q$50,G84+1,FALSE)</f>
        <v>#N/A</v>
      </c>
      <c r="AG84" s="44" t="e">
        <f t="shared" si="29"/>
        <v>#N/A</v>
      </c>
      <c r="AH84" s="52" t="e">
        <f>HLOOKUP(I84,ElecAvoidedCostsWOCC!$A$5:$Q$50,T84+1,FALSE)</f>
        <v>#N/A</v>
      </c>
      <c r="AI84" s="44" t="e">
        <f t="shared" si="30"/>
        <v>#N/A</v>
      </c>
      <c r="AJ84" s="44" t="e">
        <f t="shared" si="31"/>
        <v>#N/A</v>
      </c>
      <c r="AK84" s="44" t="e">
        <f>HLOOKUP(I84,ElecAvoidedCostsWOCC!$A$5:$Q$50,G84+1,FALSE)*J84*L84</f>
        <v>#N/A</v>
      </c>
      <c r="AL84" s="44" t="e">
        <f t="shared" si="3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3"/>
        <v>0</v>
      </c>
      <c r="AO84" s="47">
        <f t="shared" si="34"/>
        <v>0</v>
      </c>
      <c r="AP84" s="47" t="e">
        <f t="shared" si="35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 t="e">
        <f t="shared" si="21"/>
        <v>#DIV/0!</v>
      </c>
      <c r="V85" s="48">
        <f t="shared" si="22"/>
        <v>0</v>
      </c>
      <c r="W85" s="49" t="e">
        <f t="shared" si="23"/>
        <v>#DIV/0!</v>
      </c>
      <c r="X85" s="44" t="e">
        <f t="shared" si="24"/>
        <v>#DIV/0!</v>
      </c>
      <c r="Y85" s="44">
        <f t="shared" si="25"/>
        <v>0</v>
      </c>
      <c r="Z85" s="44" t="e">
        <f t="shared" si="26"/>
        <v>#DIV/0!</v>
      </c>
      <c r="AA85" s="50" t="e">
        <f t="shared" si="27"/>
        <v>#DIV/0!</v>
      </c>
      <c r="AB85" s="51" t="e">
        <f t="shared" si="19"/>
        <v>#DIV/0!</v>
      </c>
      <c r="AC85" s="44" t="e">
        <f t="shared" si="19"/>
        <v>#DIV/0!</v>
      </c>
      <c r="AD85" s="44">
        <f t="shared" si="28"/>
        <v>0</v>
      </c>
      <c r="AE85" s="44">
        <f t="shared" si="36"/>
        <v>0</v>
      </c>
      <c r="AF85" s="52" t="e">
        <f>HLOOKUP(I85,ElecAvoidedCostsWOCC!$A$5:$Q$50,G85+1,FALSE)</f>
        <v>#N/A</v>
      </c>
      <c r="AG85" s="44" t="e">
        <f t="shared" si="29"/>
        <v>#N/A</v>
      </c>
      <c r="AH85" s="52" t="e">
        <f>HLOOKUP(I85,ElecAvoidedCostsWOCC!$A$5:$Q$50,T85+1,FALSE)</f>
        <v>#N/A</v>
      </c>
      <c r="AI85" s="44" t="e">
        <f t="shared" si="30"/>
        <v>#N/A</v>
      </c>
      <c r="AJ85" s="44" t="e">
        <f t="shared" si="31"/>
        <v>#N/A</v>
      </c>
      <c r="AK85" s="44" t="e">
        <f>HLOOKUP(I85,ElecAvoidedCostsWOCC!$A$5:$Q$50,G85+1,FALSE)*J85*L85</f>
        <v>#N/A</v>
      </c>
      <c r="AL85" s="44" t="e">
        <f t="shared" si="3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3"/>
        <v>0</v>
      </c>
      <c r="AO85" s="47">
        <f t="shared" si="34"/>
        <v>0</v>
      </c>
      <c r="AP85" s="47" t="e">
        <f t="shared" si="35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 t="e">
        <f t="shared" si="21"/>
        <v>#DIV/0!</v>
      </c>
      <c r="V86" s="48">
        <f t="shared" si="22"/>
        <v>0</v>
      </c>
      <c r="W86" s="49" t="e">
        <f t="shared" si="23"/>
        <v>#DIV/0!</v>
      </c>
      <c r="X86" s="44" t="e">
        <f t="shared" si="24"/>
        <v>#DIV/0!</v>
      </c>
      <c r="Y86" s="44">
        <f t="shared" si="25"/>
        <v>0</v>
      </c>
      <c r="Z86" s="44" t="e">
        <f t="shared" si="26"/>
        <v>#DIV/0!</v>
      </c>
      <c r="AA86" s="50" t="e">
        <f t="shared" si="27"/>
        <v>#DIV/0!</v>
      </c>
      <c r="AB86" s="51" t="e">
        <f t="shared" si="19"/>
        <v>#DIV/0!</v>
      </c>
      <c r="AC86" s="44" t="e">
        <f t="shared" si="19"/>
        <v>#DIV/0!</v>
      </c>
      <c r="AD86" s="44">
        <f t="shared" si="28"/>
        <v>0</v>
      </c>
      <c r="AE86" s="44">
        <f t="shared" si="36"/>
        <v>0</v>
      </c>
      <c r="AF86" s="52" t="e">
        <f>HLOOKUP(I86,ElecAvoidedCostsWOCC!$A$5:$Q$50,G86+1,FALSE)</f>
        <v>#N/A</v>
      </c>
      <c r="AG86" s="44" t="e">
        <f t="shared" si="29"/>
        <v>#N/A</v>
      </c>
      <c r="AH86" s="52" t="e">
        <f>HLOOKUP(I86,ElecAvoidedCostsWOCC!$A$5:$Q$50,T86+1,FALSE)</f>
        <v>#N/A</v>
      </c>
      <c r="AI86" s="44" t="e">
        <f t="shared" si="30"/>
        <v>#N/A</v>
      </c>
      <c r="AJ86" s="44" t="e">
        <f t="shared" si="31"/>
        <v>#N/A</v>
      </c>
      <c r="AK86" s="44" t="e">
        <f>HLOOKUP(I86,ElecAvoidedCostsWOCC!$A$5:$Q$50,G86+1,FALSE)*J86*L86</f>
        <v>#N/A</v>
      </c>
      <c r="AL86" s="44" t="e">
        <f t="shared" si="3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3"/>
        <v>0</v>
      </c>
      <c r="AO86" s="47">
        <f t="shared" si="34"/>
        <v>0</v>
      </c>
      <c r="AP86" s="47" t="e">
        <f t="shared" si="35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 t="e">
        <f t="shared" si="21"/>
        <v>#DIV/0!</v>
      </c>
      <c r="V87" s="48">
        <f t="shared" si="22"/>
        <v>0</v>
      </c>
      <c r="W87" s="49" t="e">
        <f t="shared" si="23"/>
        <v>#DIV/0!</v>
      </c>
      <c r="X87" s="44" t="e">
        <f t="shared" si="24"/>
        <v>#DIV/0!</v>
      </c>
      <c r="Y87" s="44">
        <f t="shared" si="25"/>
        <v>0</v>
      </c>
      <c r="Z87" s="44" t="e">
        <f t="shared" si="26"/>
        <v>#DIV/0!</v>
      </c>
      <c r="AA87" s="50" t="e">
        <f t="shared" si="27"/>
        <v>#DIV/0!</v>
      </c>
      <c r="AB87" s="51" t="e">
        <f t="shared" si="19"/>
        <v>#DIV/0!</v>
      </c>
      <c r="AC87" s="44" t="e">
        <f t="shared" si="19"/>
        <v>#DIV/0!</v>
      </c>
      <c r="AD87" s="44">
        <f t="shared" si="28"/>
        <v>0</v>
      </c>
      <c r="AE87" s="44">
        <f t="shared" si="36"/>
        <v>0</v>
      </c>
      <c r="AF87" s="52" t="e">
        <f>HLOOKUP(I87,ElecAvoidedCostsWOCC!$A$5:$Q$50,G87+1,FALSE)</f>
        <v>#N/A</v>
      </c>
      <c r="AG87" s="44" t="e">
        <f t="shared" si="29"/>
        <v>#N/A</v>
      </c>
      <c r="AH87" s="52" t="e">
        <f>HLOOKUP(I87,ElecAvoidedCostsWOCC!$A$5:$Q$50,T87+1,FALSE)</f>
        <v>#N/A</v>
      </c>
      <c r="AI87" s="44" t="e">
        <f t="shared" si="30"/>
        <v>#N/A</v>
      </c>
      <c r="AJ87" s="44" t="e">
        <f t="shared" si="31"/>
        <v>#N/A</v>
      </c>
      <c r="AK87" s="44" t="e">
        <f>HLOOKUP(I87,ElecAvoidedCostsWOCC!$A$5:$Q$50,G87+1,FALSE)*J87*L87</f>
        <v>#N/A</v>
      </c>
      <c r="AL87" s="44" t="e">
        <f t="shared" si="3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3"/>
        <v>0</v>
      </c>
      <c r="AO87" s="47">
        <f t="shared" si="34"/>
        <v>0</v>
      </c>
      <c r="AP87" s="47" t="e">
        <f t="shared" si="35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 t="e">
        <f t="shared" si="21"/>
        <v>#DIV/0!</v>
      </c>
      <c r="V88" s="48">
        <f t="shared" si="22"/>
        <v>0</v>
      </c>
      <c r="W88" s="49" t="e">
        <f t="shared" si="23"/>
        <v>#DIV/0!</v>
      </c>
      <c r="X88" s="44" t="e">
        <f t="shared" si="24"/>
        <v>#DIV/0!</v>
      </c>
      <c r="Y88" s="44">
        <f t="shared" si="25"/>
        <v>0</v>
      </c>
      <c r="Z88" s="44" t="e">
        <f t="shared" si="26"/>
        <v>#DIV/0!</v>
      </c>
      <c r="AA88" s="50" t="e">
        <f t="shared" si="27"/>
        <v>#DIV/0!</v>
      </c>
      <c r="AB88" s="51" t="e">
        <f t="shared" si="19"/>
        <v>#DIV/0!</v>
      </c>
      <c r="AC88" s="44" t="e">
        <f t="shared" si="19"/>
        <v>#DIV/0!</v>
      </c>
      <c r="AD88" s="44">
        <f t="shared" si="28"/>
        <v>0</v>
      </c>
      <c r="AE88" s="44">
        <f t="shared" si="36"/>
        <v>0</v>
      </c>
      <c r="AF88" s="52" t="e">
        <f>HLOOKUP(I88,ElecAvoidedCostsWOCC!$A$5:$Q$50,G88+1,FALSE)</f>
        <v>#N/A</v>
      </c>
      <c r="AG88" s="44" t="e">
        <f t="shared" si="29"/>
        <v>#N/A</v>
      </c>
      <c r="AH88" s="52" t="e">
        <f>HLOOKUP(I88,ElecAvoidedCostsWOCC!$A$5:$Q$50,T88+1,FALSE)</f>
        <v>#N/A</v>
      </c>
      <c r="AI88" s="44" t="e">
        <f t="shared" si="30"/>
        <v>#N/A</v>
      </c>
      <c r="AJ88" s="44" t="e">
        <f t="shared" si="31"/>
        <v>#N/A</v>
      </c>
      <c r="AK88" s="44" t="e">
        <f>HLOOKUP(I88,ElecAvoidedCostsWOCC!$A$5:$Q$50,G88+1,FALSE)*J88*L88</f>
        <v>#N/A</v>
      </c>
      <c r="AL88" s="44" t="e">
        <f t="shared" si="3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3"/>
        <v>0</v>
      </c>
      <c r="AO88" s="47">
        <f t="shared" si="34"/>
        <v>0</v>
      </c>
      <c r="AP88" s="47" t="e">
        <f t="shared" si="35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 t="e">
        <f>(O89/$A$10)*T89</f>
        <v>#DIV/0!</v>
      </c>
      <c r="V89" s="48">
        <f>N89-M89</f>
        <v>0</v>
      </c>
      <c r="W89" s="49" t="e">
        <f>(O89/A$10)</f>
        <v>#DIV/0!</v>
      </c>
      <c r="X89" s="44" t="e">
        <f>W89*A$8</f>
        <v>#DIV/0!</v>
      </c>
      <c r="Y89" s="44">
        <f>Q89-P89</f>
        <v>0</v>
      </c>
      <c r="Z89" s="44" t="e">
        <f>X89+(A$6*W89)</f>
        <v>#DIV/0!</v>
      </c>
      <c r="AA89" s="50" t="e">
        <f>Q89+X89</f>
        <v>#DIV/0!</v>
      </c>
      <c r="AB89" s="51" t="e">
        <f t="shared" si="19"/>
        <v>#DIV/0!</v>
      </c>
      <c r="AC89" s="44" t="e">
        <f t="shared" si="19"/>
        <v>#DIV/0!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 t="e">
        <f>(O90/$A$10)*T90</f>
        <v>#DIV/0!</v>
      </c>
      <c r="V90" s="48">
        <f>N90-M90</f>
        <v>0</v>
      </c>
      <c r="W90" s="49" t="e">
        <f>(O90/A$10)</f>
        <v>#DIV/0!</v>
      </c>
      <c r="X90" s="44" t="e">
        <f>W90*A$8</f>
        <v>#DIV/0!</v>
      </c>
      <c r="Y90" s="44">
        <f>Q90-P90</f>
        <v>0</v>
      </c>
      <c r="Z90" s="44" t="e">
        <f>X90+(A$6*W90)</f>
        <v>#DIV/0!</v>
      </c>
      <c r="AA90" s="50" t="e">
        <f>Q90+X90</f>
        <v>#DIV/0!</v>
      </c>
      <c r="AB90" s="51" t="e">
        <f t="shared" si="19"/>
        <v>#DIV/0!</v>
      </c>
      <c r="AC90" s="44" t="e">
        <f t="shared" si="19"/>
        <v>#DIV/0!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 t="e">
        <f>(O91/$A$10)*T91</f>
        <v>#DIV/0!</v>
      </c>
      <c r="V91" s="48">
        <f>N91-M91</f>
        <v>0</v>
      </c>
      <c r="W91" s="49" t="e">
        <f>(O91/A$10)</f>
        <v>#DIV/0!</v>
      </c>
      <c r="X91" s="44" t="e">
        <f>W91*A$8</f>
        <v>#DIV/0!</v>
      </c>
      <c r="Y91" s="44">
        <f>Q91-P91</f>
        <v>0</v>
      </c>
      <c r="Z91" s="44" t="e">
        <f>X91+(A$6*W91)</f>
        <v>#DIV/0!</v>
      </c>
      <c r="AA91" s="50" t="e">
        <f>Q91+X91</f>
        <v>#DIV/0!</v>
      </c>
      <c r="AB91" s="51" t="e">
        <f t="shared" si="19"/>
        <v>#DIV/0!</v>
      </c>
      <c r="AC91" s="44" t="e">
        <f t="shared" si="19"/>
        <v>#DIV/0!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91 R5:S91">
    <cfRule type="expression" dxfId="227" priority="2">
      <formula>ISTEXT(M5)</formula>
    </cfRule>
  </conditionalFormatting>
  <conditionalFormatting sqref="M5:N91 R5:S91">
    <cfRule type="notContainsBlanks" dxfId="226" priority="3">
      <formula>LEN(TRIM(M5))&gt;0</formula>
    </cfRule>
  </conditionalFormatting>
  <conditionalFormatting sqref="R5:S91">
    <cfRule type="expression" dxfId="22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D1" zoomScale="85" zoomScaleNormal="85" workbookViewId="0">
      <selection activeCell="M13" sqref="M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.7265625" customWidth="1"/>
    <col min="13" max="14" width="14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18230715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123</v>
      </c>
      <c r="C5" s="98">
        <v>18230715</v>
      </c>
      <c r="D5" s="61" t="s">
        <v>124</v>
      </c>
      <c r="E5" s="38" t="s">
        <v>1118</v>
      </c>
      <c r="F5" s="39" t="s">
        <v>1119</v>
      </c>
      <c r="G5" s="39">
        <v>30</v>
      </c>
      <c r="H5" s="39"/>
      <c r="I5" s="40" t="s">
        <v>266</v>
      </c>
      <c r="J5" s="41">
        <v>1</v>
      </c>
      <c r="K5" s="41">
        <v>0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30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2.0075620972591661</v>
      </c>
      <c r="AG5" s="44">
        <f t="shared" ref="AG5:AG24" si="10">AF5*J5*K5</f>
        <v>0</v>
      </c>
      <c r="AH5" s="52">
        <f>HLOOKUP(I5,ElecAvoidedCostsWOCC!$A$5:$Q$50,T5+1,FALSE)</f>
        <v>2.0075620972591661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2857521</v>
      </c>
      <c r="B6" s="97" t="s">
        <v>123</v>
      </c>
      <c r="C6" s="98">
        <v>18230715</v>
      </c>
      <c r="D6" s="61" t="s">
        <v>124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1174199</v>
      </c>
      <c r="L6" s="41"/>
      <c r="M6" s="42">
        <v>392601</v>
      </c>
      <c r="N6" s="42">
        <v>392601</v>
      </c>
      <c r="O6" s="43">
        <v>1174199</v>
      </c>
      <c r="P6" s="44">
        <v>392601</v>
      </c>
      <c r="Q6" s="44">
        <v>392601</v>
      </c>
      <c r="R6" s="45"/>
      <c r="S6" s="46"/>
      <c r="T6" s="39">
        <f t="shared" si="0"/>
        <v>15</v>
      </c>
      <c r="U6" s="47">
        <f t="shared" si="1"/>
        <v>1.3838469185710718</v>
      </c>
      <c r="V6" s="48">
        <f t="shared" si="2"/>
        <v>0</v>
      </c>
      <c r="W6" s="49">
        <f t="shared" si="3"/>
        <v>9.2256461238071449E-2</v>
      </c>
      <c r="X6" s="44">
        <f t="shared" si="4"/>
        <v>31625.323941536146</v>
      </c>
      <c r="Y6" s="44">
        <f t="shared" si="5"/>
        <v>0</v>
      </c>
      <c r="Z6" s="44">
        <f t="shared" si="6"/>
        <v>295250.09931501129</v>
      </c>
      <c r="AA6" s="50">
        <f t="shared" si="7"/>
        <v>424226.32394153613</v>
      </c>
      <c r="AB6" s="51">
        <f t="shared" si="8"/>
        <v>276451.40385300684</v>
      </c>
      <c r="AC6" s="44">
        <f t="shared" si="8"/>
        <v>397215.65912128851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1263868.8832977046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1263868.8832977046</v>
      </c>
      <c r="AK6" s="44">
        <f>HLOOKUP(I6,ElecAvoidedCostsWOCC!$A$5:$Q$50,G6+1,FALSE)*J6*L6</f>
        <v>0</v>
      </c>
      <c r="AL6" s="44">
        <f t="shared" ref="AL6:AL24" si="13">AG6+AI6-AK6</f>
        <v>1263868.8832977046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1263868.8832977046</v>
      </c>
      <c r="AN6" s="48">
        <f t="shared" ref="AN6:AN24" si="14">AM6*1.1+AD6+AE6</f>
        <v>1390255.7716274753</v>
      </c>
      <c r="AO6" s="47">
        <f t="shared" ref="AO6:AO24" si="15">IFERROR(AM6/AB6,0)</f>
        <v>4.5717578774522041</v>
      </c>
      <c r="AP6" s="47">
        <f t="shared" ref="AP6:AP24" si="16">AN6/AC6</f>
        <v>3.5000024286629778</v>
      </c>
    </row>
    <row r="7" spans="1:42" ht="13.5" customHeight="1" x14ac:dyDescent="0.35">
      <c r="A7" s="36" t="s">
        <v>240</v>
      </c>
      <c r="B7" s="97" t="s">
        <v>123</v>
      </c>
      <c r="C7" s="98">
        <v>18230715</v>
      </c>
      <c r="D7" s="61" t="s">
        <v>124</v>
      </c>
      <c r="E7" s="38" t="s">
        <v>1110</v>
      </c>
      <c r="F7" s="39" t="s">
        <v>1111</v>
      </c>
      <c r="G7" s="39">
        <v>15</v>
      </c>
      <c r="H7" s="39"/>
      <c r="I7" s="40" t="s">
        <v>261</v>
      </c>
      <c r="J7" s="41">
        <v>1</v>
      </c>
      <c r="K7" s="41">
        <v>203317</v>
      </c>
      <c r="L7" s="41"/>
      <c r="M7" s="42">
        <v>71161</v>
      </c>
      <c r="N7" s="42">
        <v>71161</v>
      </c>
      <c r="O7" s="43">
        <v>203317</v>
      </c>
      <c r="P7" s="44">
        <v>71161</v>
      </c>
      <c r="Q7" s="44">
        <v>71161</v>
      </c>
      <c r="R7" s="45"/>
      <c r="S7" s="46"/>
      <c r="T7" s="39">
        <f t="shared" si="0"/>
        <v>15</v>
      </c>
      <c r="U7" s="47">
        <f t="shared" si="1"/>
        <v>0.23961833040490971</v>
      </c>
      <c r="V7" s="48">
        <f t="shared" si="2"/>
        <v>0</v>
      </c>
      <c r="W7" s="49">
        <f t="shared" si="3"/>
        <v>1.5974555360327315E-2</v>
      </c>
      <c r="X7" s="44">
        <f t="shared" si="4"/>
        <v>5476.0445101906098</v>
      </c>
      <c r="Y7" s="44">
        <f t="shared" si="5"/>
        <v>0</v>
      </c>
      <c r="Z7" s="44">
        <f t="shared" si="6"/>
        <v>51123.671917988475</v>
      </c>
      <c r="AA7" s="50">
        <f t="shared" si="7"/>
        <v>76637.044510190608</v>
      </c>
      <c r="AB7" s="51">
        <f t="shared" si="8"/>
        <v>47868.606664783212</v>
      </c>
      <c r="AC7" s="44">
        <f t="shared" si="8"/>
        <v>71757.532312912546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218843.67960238378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218843.67960238378</v>
      </c>
      <c r="AK7" s="44">
        <f>HLOOKUP(I7,ElecAvoidedCostsWOCC!$A$5:$Q$50,G7+1,FALSE)*J7*L7</f>
        <v>0</v>
      </c>
      <c r="AL7" s="44">
        <f t="shared" si="13"/>
        <v>218843.67960238378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218843.67960238378</v>
      </c>
      <c r="AN7" s="48">
        <f t="shared" si="14"/>
        <v>240728.04756262217</v>
      </c>
      <c r="AO7" s="47">
        <f t="shared" si="15"/>
        <v>4.571757877452205</v>
      </c>
      <c r="AP7" s="47">
        <f t="shared" si="16"/>
        <v>3.3547425587725219</v>
      </c>
    </row>
    <row r="8" spans="1:42" ht="13.5" customHeight="1" x14ac:dyDescent="0.35">
      <c r="A8" s="53">
        <f>SUMIF('Program Costs'!D:D,C2,'Program Costs'!O:O)</f>
        <v>342797.93000000017</v>
      </c>
      <c r="B8" s="97" t="s">
        <v>123</v>
      </c>
      <c r="C8" s="98">
        <v>18230715</v>
      </c>
      <c r="D8" s="61" t="s">
        <v>124</v>
      </c>
      <c r="E8" s="38" t="s">
        <v>1124</v>
      </c>
      <c r="F8" s="39" t="s">
        <v>1125</v>
      </c>
      <c r="G8" s="39">
        <v>15</v>
      </c>
      <c r="H8" s="39"/>
      <c r="I8" s="40" t="s">
        <v>266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1.2903205727715383</v>
      </c>
      <c r="AG8" s="44">
        <f t="shared" si="10"/>
        <v>0</v>
      </c>
      <c r="AH8" s="52">
        <f>HLOOKUP(I8,ElecAvoidedCostsWOCC!$A$5:$Q$50,T8+1,FALSE)</f>
        <v>1.2903205727715383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123</v>
      </c>
      <c r="C9" s="98">
        <v>18230715</v>
      </c>
      <c r="D9" s="61" t="s">
        <v>124</v>
      </c>
      <c r="E9" s="38" t="s">
        <v>1130</v>
      </c>
      <c r="F9" s="39" t="s">
        <v>1131</v>
      </c>
      <c r="G9" s="39">
        <v>5</v>
      </c>
      <c r="H9" s="39"/>
      <c r="I9" s="40" t="s">
        <v>262</v>
      </c>
      <c r="J9" s="41">
        <v>1</v>
      </c>
      <c r="K9" s="41">
        <v>407463</v>
      </c>
      <c r="L9" s="41"/>
      <c r="M9" s="42">
        <v>77912</v>
      </c>
      <c r="N9" s="42">
        <v>277574.71000000002</v>
      </c>
      <c r="O9" s="43">
        <v>407463</v>
      </c>
      <c r="P9" s="44">
        <v>77912</v>
      </c>
      <c r="Q9" s="44">
        <v>277574.71000000002</v>
      </c>
      <c r="R9" s="45"/>
      <c r="S9" s="46"/>
      <c r="T9" s="39">
        <f t="shared" si="0"/>
        <v>5</v>
      </c>
      <c r="U9" s="47">
        <f t="shared" si="1"/>
        <v>0.16007122500295223</v>
      </c>
      <c r="V9" s="48">
        <f t="shared" si="2"/>
        <v>199662.71000000002</v>
      </c>
      <c r="W9" s="49">
        <f t="shared" si="3"/>
        <v>3.2014245000590448E-2</v>
      </c>
      <c r="X9" s="44">
        <f t="shared" si="4"/>
        <v>10974.41691671526</v>
      </c>
      <c r="Y9" s="44">
        <f t="shared" si="5"/>
        <v>199662.71000000002</v>
      </c>
      <c r="Z9" s="44">
        <f t="shared" si="6"/>
        <v>102455.79430504747</v>
      </c>
      <c r="AA9" s="50">
        <f t="shared" si="7"/>
        <v>288549.12691671529</v>
      </c>
      <c r="AB9" s="51">
        <f t="shared" si="8"/>
        <v>95932.391671392761</v>
      </c>
      <c r="AC9" s="44">
        <f t="shared" si="8"/>
        <v>270177.08512801054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0.4061534918263025</v>
      </c>
      <c r="AG9" s="44">
        <f t="shared" si="10"/>
        <v>165492.52024002071</v>
      </c>
      <c r="AH9" s="52">
        <f>HLOOKUP(I9,ElecAvoidedCostsWOCC!$A$5:$Q$50,T9+1,FALSE)</f>
        <v>0.4061534918263025</v>
      </c>
      <c r="AI9" s="44">
        <f t="shared" si="11"/>
        <v>0</v>
      </c>
      <c r="AJ9" s="44">
        <f t="shared" si="12"/>
        <v>165492.52024002071</v>
      </c>
      <c r="AK9" s="44">
        <f>HLOOKUP(I9,ElecAvoidedCostsWOCC!$A$5:$Q$50,G9+1,FALSE)*J9*L9</f>
        <v>0</v>
      </c>
      <c r="AL9" s="44">
        <f t="shared" si="13"/>
        <v>165492.52024002071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165492.52024002071</v>
      </c>
      <c r="AN9" s="48">
        <f t="shared" si="14"/>
        <v>182041.77226402279</v>
      </c>
      <c r="AO9" s="47">
        <f t="shared" si="15"/>
        <v>1.7250953234534121</v>
      </c>
      <c r="AP9" s="47">
        <f t="shared" si="16"/>
        <v>0.67378686900027429</v>
      </c>
    </row>
    <row r="10" spans="1:42" ht="13.5" customHeight="1" x14ac:dyDescent="0.35">
      <c r="A10" s="54">
        <f>SUM(O5:O999)</f>
        <v>12727553</v>
      </c>
      <c r="B10" s="97" t="s">
        <v>123</v>
      </c>
      <c r="C10" s="98">
        <v>18230715</v>
      </c>
      <c r="D10" s="61" t="s">
        <v>124</v>
      </c>
      <c r="E10" s="38" t="s">
        <v>1130</v>
      </c>
      <c r="F10" s="39" t="s">
        <v>1131</v>
      </c>
      <c r="G10" s="39">
        <v>7</v>
      </c>
      <c r="H10" s="39"/>
      <c r="I10" s="40" t="s">
        <v>262</v>
      </c>
      <c r="J10" s="41">
        <v>1</v>
      </c>
      <c r="K10" s="41">
        <v>5775281</v>
      </c>
      <c r="L10" s="41"/>
      <c r="M10" s="42">
        <v>1103460</v>
      </c>
      <c r="N10" s="42">
        <v>3088051</v>
      </c>
      <c r="O10" s="43">
        <v>5775281</v>
      </c>
      <c r="P10" s="44">
        <v>1103460</v>
      </c>
      <c r="Q10" s="44">
        <v>3088051</v>
      </c>
      <c r="R10" s="45"/>
      <c r="S10" s="46"/>
      <c r="T10" s="39">
        <f t="shared" si="0"/>
        <v>7</v>
      </c>
      <c r="U10" s="47">
        <f t="shared" si="1"/>
        <v>3.1763346025744301</v>
      </c>
      <c r="V10" s="48">
        <f t="shared" si="2"/>
        <v>1984591</v>
      </c>
      <c r="W10" s="49">
        <f t="shared" si="3"/>
        <v>0.45376208608206148</v>
      </c>
      <c r="X10" s="44">
        <f t="shared" si="4"/>
        <v>155548.70382141255</v>
      </c>
      <c r="Y10" s="44">
        <f t="shared" si="5"/>
        <v>1984591</v>
      </c>
      <c r="Z10" s="44">
        <f t="shared" si="6"/>
        <v>1452183.3938047108</v>
      </c>
      <c r="AA10" s="50">
        <f t="shared" si="7"/>
        <v>3243599.7038214128</v>
      </c>
      <c r="AB10" s="51">
        <f t="shared" si="8"/>
        <v>1359722.2788433621</v>
      </c>
      <c r="AC10" s="44">
        <f t="shared" si="8"/>
        <v>3037078.3743646187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0.55277358241959351</v>
      </c>
      <c r="AG10" s="44">
        <f t="shared" si="10"/>
        <v>3192422.7678498123</v>
      </c>
      <c r="AH10" s="52">
        <f>HLOOKUP(I10,ElecAvoidedCostsWOCC!$A$5:$Q$50,T10+1,FALSE)</f>
        <v>0.55277358241959351</v>
      </c>
      <c r="AI10" s="44">
        <f t="shared" si="11"/>
        <v>0</v>
      </c>
      <c r="AJ10" s="44">
        <f t="shared" si="12"/>
        <v>3192422.7678498123</v>
      </c>
      <c r="AK10" s="44">
        <f>HLOOKUP(I10,ElecAvoidedCostsWOCC!$A$5:$Q$50,G10+1,FALSE)*J10*L10</f>
        <v>0</v>
      </c>
      <c r="AL10" s="44">
        <f t="shared" si="13"/>
        <v>3192422.7678498123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3192422.7678498123</v>
      </c>
      <c r="AN10" s="48">
        <f t="shared" si="14"/>
        <v>3511665.0446347939</v>
      </c>
      <c r="AO10" s="47">
        <f t="shared" si="15"/>
        <v>2.3478491288422689</v>
      </c>
      <c r="AP10" s="47">
        <f t="shared" si="16"/>
        <v>1.1562642157265575</v>
      </c>
    </row>
    <row r="11" spans="1:42" ht="13.5" customHeight="1" x14ac:dyDescent="0.35">
      <c r="A11" s="36" t="s">
        <v>243</v>
      </c>
      <c r="B11" s="97" t="s">
        <v>123</v>
      </c>
      <c r="C11" s="98">
        <v>18230715</v>
      </c>
      <c r="D11" s="61" t="s">
        <v>124</v>
      </c>
      <c r="E11" s="38" t="s">
        <v>1130</v>
      </c>
      <c r="F11" s="39" t="s">
        <v>1131</v>
      </c>
      <c r="G11" s="39">
        <v>8</v>
      </c>
      <c r="H11" s="39"/>
      <c r="I11" s="40" t="s">
        <v>262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8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0.6222242647030064</v>
      </c>
      <c r="AG11" s="44">
        <f t="shared" si="10"/>
        <v>0</v>
      </c>
      <c r="AH11" s="52">
        <f>HLOOKUP(I11,ElecAvoidedCostsWOCC!$A$5:$Q$50,T11+1,FALSE)</f>
        <v>0.6222242647030064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2857521</v>
      </c>
      <c r="B12" s="97" t="s">
        <v>123</v>
      </c>
      <c r="C12" s="98">
        <v>18230715</v>
      </c>
      <c r="D12" s="61" t="s">
        <v>124</v>
      </c>
      <c r="E12" s="38" t="s">
        <v>1130</v>
      </c>
      <c r="F12" s="39" t="s">
        <v>1131</v>
      </c>
      <c r="G12" s="39">
        <v>10</v>
      </c>
      <c r="H12" s="39"/>
      <c r="I12" s="40" t="s">
        <v>262</v>
      </c>
      <c r="J12" s="41">
        <v>1</v>
      </c>
      <c r="K12" s="41">
        <v>46221</v>
      </c>
      <c r="L12" s="41"/>
      <c r="M12" s="42">
        <v>8089</v>
      </c>
      <c r="N12" s="42">
        <v>14946</v>
      </c>
      <c r="O12" s="43">
        <v>46221</v>
      </c>
      <c r="P12" s="44">
        <v>8089</v>
      </c>
      <c r="Q12" s="44">
        <v>14946</v>
      </c>
      <c r="R12" s="45"/>
      <c r="S12" s="46"/>
      <c r="T12" s="39">
        <f t="shared" si="0"/>
        <v>10</v>
      </c>
      <c r="U12" s="47">
        <f t="shared" si="1"/>
        <v>3.6315700276400339E-2</v>
      </c>
      <c r="V12" s="48">
        <f t="shared" si="2"/>
        <v>6857</v>
      </c>
      <c r="W12" s="49">
        <f t="shared" si="3"/>
        <v>3.6315700276400341E-3</v>
      </c>
      <c r="X12" s="44">
        <f t="shared" si="4"/>
        <v>1244.8946881250472</v>
      </c>
      <c r="Y12" s="44">
        <f t="shared" si="5"/>
        <v>6857</v>
      </c>
      <c r="Z12" s="44">
        <f t="shared" si="6"/>
        <v>11622.182305077025</v>
      </c>
      <c r="AA12" s="50">
        <f t="shared" si="7"/>
        <v>16190.894688125047</v>
      </c>
      <c r="AB12" s="51">
        <f t="shared" si="8"/>
        <v>10882.193169547776</v>
      </c>
      <c r="AC12" s="44">
        <f t="shared" si="8"/>
        <v>15160.013752926074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0.77460416073684046</v>
      </c>
      <c r="AG12" s="44">
        <f t="shared" si="10"/>
        <v>35802.978913417501</v>
      </c>
      <c r="AH12" s="52">
        <f>HLOOKUP(I12,ElecAvoidedCostsWOCC!$A$5:$Q$50,T12+1,FALSE)</f>
        <v>0.77460416073684046</v>
      </c>
      <c r="AI12" s="44">
        <f t="shared" si="11"/>
        <v>0</v>
      </c>
      <c r="AJ12" s="44">
        <f t="shared" si="12"/>
        <v>35802.978913417501</v>
      </c>
      <c r="AK12" s="44">
        <f>HLOOKUP(I12,ElecAvoidedCostsWOCC!$A$5:$Q$50,G12+1,FALSE)*J12*L12</f>
        <v>0</v>
      </c>
      <c r="AL12" s="44">
        <f t="shared" si="13"/>
        <v>35802.978913417501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35802.978913417501</v>
      </c>
      <c r="AN12" s="48">
        <f t="shared" si="14"/>
        <v>39383.276804759254</v>
      </c>
      <c r="AO12" s="47">
        <f t="shared" si="15"/>
        <v>3.2900517713292294</v>
      </c>
      <c r="AP12" s="47">
        <f t="shared" si="16"/>
        <v>2.5978391211655585</v>
      </c>
    </row>
    <row r="13" spans="1:42" ht="13.5" customHeight="1" x14ac:dyDescent="0.35">
      <c r="A13" s="56" t="s">
        <v>246</v>
      </c>
      <c r="B13" s="97" t="s">
        <v>123</v>
      </c>
      <c r="C13" s="98">
        <v>18230715</v>
      </c>
      <c r="D13" s="61" t="s">
        <v>124</v>
      </c>
      <c r="E13" s="38" t="s">
        <v>1130</v>
      </c>
      <c r="F13" s="39" t="s">
        <v>1131</v>
      </c>
      <c r="G13" s="39">
        <v>15</v>
      </c>
      <c r="H13" s="39"/>
      <c r="I13" s="40" t="s">
        <v>262</v>
      </c>
      <c r="J13" s="41">
        <v>1</v>
      </c>
      <c r="K13" s="41">
        <v>830033</v>
      </c>
      <c r="L13" s="41"/>
      <c r="M13" s="42">
        <v>181432</v>
      </c>
      <c r="N13" s="42">
        <v>253282</v>
      </c>
      <c r="O13" s="43">
        <v>830033</v>
      </c>
      <c r="P13" s="44">
        <v>181432</v>
      </c>
      <c r="Q13" s="44">
        <v>253282</v>
      </c>
      <c r="R13" s="45"/>
      <c r="S13" s="46"/>
      <c r="T13" s="39">
        <f t="shared" si="0"/>
        <v>15</v>
      </c>
      <c r="U13" s="47">
        <f t="shared" si="1"/>
        <v>0.97823163651331879</v>
      </c>
      <c r="V13" s="48">
        <f t="shared" si="2"/>
        <v>71850</v>
      </c>
      <c r="W13" s="49">
        <f t="shared" si="3"/>
        <v>6.5215442434221255E-2</v>
      </c>
      <c r="X13" s="44">
        <f t="shared" si="4"/>
        <v>22355.718670485217</v>
      </c>
      <c r="Y13" s="44">
        <f t="shared" si="5"/>
        <v>71850</v>
      </c>
      <c r="Z13" s="44">
        <f t="shared" si="6"/>
        <v>208710.21495056356</v>
      </c>
      <c r="AA13" s="50">
        <f t="shared" si="7"/>
        <v>275637.71867048519</v>
      </c>
      <c r="AB13" s="51">
        <f t="shared" si="8"/>
        <v>195421.54957917935</v>
      </c>
      <c r="AC13" s="44">
        <f t="shared" si="8"/>
        <v>258087.75156412469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1.0914944041149737</v>
      </c>
      <c r="AG13" s="44">
        <f t="shared" si="10"/>
        <v>905976.37473076396</v>
      </c>
      <c r="AH13" s="52">
        <f>HLOOKUP(I13,ElecAvoidedCostsWOCC!$A$5:$Q$50,T13+1,FALSE)</f>
        <v>1.0914944041149737</v>
      </c>
      <c r="AI13" s="44">
        <f t="shared" si="11"/>
        <v>0</v>
      </c>
      <c r="AJ13" s="44">
        <f t="shared" si="12"/>
        <v>905976.37473076396</v>
      </c>
      <c r="AK13" s="44">
        <f>HLOOKUP(I13,ElecAvoidedCostsWOCC!$A$5:$Q$50,G13+1,FALSE)*J13*L13</f>
        <v>0</v>
      </c>
      <c r="AL13" s="44">
        <f t="shared" si="13"/>
        <v>905976.37473076396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905976.37473076396</v>
      </c>
      <c r="AN13" s="48">
        <f t="shared" si="14"/>
        <v>996574.01220384042</v>
      </c>
      <c r="AO13" s="47">
        <f t="shared" si="15"/>
        <v>4.6360105969975827</v>
      </c>
      <c r="AP13" s="47">
        <f t="shared" si="16"/>
        <v>3.8613766293214842</v>
      </c>
    </row>
    <row r="14" spans="1:42" ht="13.5" customHeight="1" x14ac:dyDescent="0.35">
      <c r="A14" s="55">
        <f>SUM(Y5:Y1000)</f>
        <v>3273165.71</v>
      </c>
      <c r="B14" s="97" t="s">
        <v>123</v>
      </c>
      <c r="C14" s="98">
        <v>18230715</v>
      </c>
      <c r="D14" s="61" t="s">
        <v>124</v>
      </c>
      <c r="E14" s="38" t="s">
        <v>1138</v>
      </c>
      <c r="F14" s="39" t="s">
        <v>1139</v>
      </c>
      <c r="G14" s="39">
        <v>15</v>
      </c>
      <c r="H14" s="39"/>
      <c r="I14" s="40" t="s">
        <v>261</v>
      </c>
      <c r="J14" s="41">
        <v>1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/>
      <c r="S14" s="46"/>
      <c r="T14" s="39">
        <f t="shared" si="0"/>
        <v>15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1.0763668537425979</v>
      </c>
      <c r="AG14" s="44">
        <f t="shared" si="10"/>
        <v>0</v>
      </c>
      <c r="AH14" s="52">
        <f>HLOOKUP(I14,ElecAvoidedCostsWOCC!$A$5:$Q$50,T14+1,FALSE)</f>
        <v>1.0763668537425979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123</v>
      </c>
      <c r="C15" s="98">
        <v>18230715</v>
      </c>
      <c r="D15" s="61" t="s">
        <v>124</v>
      </c>
      <c r="E15" s="38" t="s">
        <v>1142</v>
      </c>
      <c r="F15" s="39" t="s">
        <v>1143</v>
      </c>
      <c r="G15" s="39">
        <v>24</v>
      </c>
      <c r="H15" s="39"/>
      <c r="I15" s="40" t="s">
        <v>260</v>
      </c>
      <c r="J15" s="41">
        <v>1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/>
      <c r="S15" s="46"/>
      <c r="T15" s="39">
        <f t="shared" si="0"/>
        <v>24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1.5014312622175094</v>
      </c>
      <c r="AG15" s="44">
        <f t="shared" si="10"/>
        <v>0</v>
      </c>
      <c r="AH15" s="52">
        <f>HLOOKUP(I15,ElecAvoidedCostsWOCC!$A$5:$Q$50,T15+1,FALSE)</f>
        <v>1.5014312622175094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11.160115695452223</v>
      </c>
      <c r="B16" s="97" t="s">
        <v>123</v>
      </c>
      <c r="C16" s="98">
        <v>18230715</v>
      </c>
      <c r="D16" s="61" t="s">
        <v>124</v>
      </c>
      <c r="E16" s="38" t="s">
        <v>1142</v>
      </c>
      <c r="F16" s="39" t="s">
        <v>1143</v>
      </c>
      <c r="G16" s="39">
        <v>24</v>
      </c>
      <c r="H16" s="39"/>
      <c r="I16" s="40" t="s">
        <v>260</v>
      </c>
      <c r="J16" s="41">
        <v>1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0</v>
      </c>
      <c r="Q16" s="44">
        <v>0</v>
      </c>
      <c r="R16" s="45"/>
      <c r="S16" s="46"/>
      <c r="T16" s="39">
        <f t="shared" si="0"/>
        <v>24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1.5014312622175094</v>
      </c>
      <c r="AG16" s="44">
        <f t="shared" si="10"/>
        <v>0</v>
      </c>
      <c r="AH16" s="52">
        <f>HLOOKUP(I16,ElecAvoidedCostsWOCC!$A$5:$Q$50,T16+1,FALSE)</f>
        <v>1.5014312622175094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 t="s">
        <v>123</v>
      </c>
      <c r="C17" s="98">
        <v>18230715</v>
      </c>
      <c r="D17" s="61" t="s">
        <v>124</v>
      </c>
      <c r="E17" s="38" t="s">
        <v>1112</v>
      </c>
      <c r="F17" s="39" t="s">
        <v>1113</v>
      </c>
      <c r="G17" s="39">
        <v>15</v>
      </c>
      <c r="H17" s="39"/>
      <c r="I17" s="40" t="s">
        <v>262</v>
      </c>
      <c r="J17" s="41">
        <v>1</v>
      </c>
      <c r="K17" s="41">
        <v>995020</v>
      </c>
      <c r="L17" s="41"/>
      <c r="M17" s="42">
        <v>236075</v>
      </c>
      <c r="N17" s="42">
        <v>236075</v>
      </c>
      <c r="O17" s="43">
        <v>995020</v>
      </c>
      <c r="P17" s="44">
        <v>236075</v>
      </c>
      <c r="Q17" s="44">
        <v>236075</v>
      </c>
      <c r="R17" s="45"/>
      <c r="S17" s="46"/>
      <c r="T17" s="39">
        <f t="shared" si="0"/>
        <v>15</v>
      </c>
      <c r="U17" s="47">
        <f t="shared" si="1"/>
        <v>1.1726763188493501</v>
      </c>
      <c r="V17" s="48">
        <f t="shared" si="2"/>
        <v>0</v>
      </c>
      <c r="W17" s="49">
        <f t="shared" si="3"/>
        <v>7.8178421256623332E-2</v>
      </c>
      <c r="X17" s="44">
        <f t="shared" si="4"/>
        <v>26799.40097743849</v>
      </c>
      <c r="Y17" s="44">
        <f t="shared" si="5"/>
        <v>0</v>
      </c>
      <c r="Z17" s="44">
        <f t="shared" si="6"/>
        <v>250195.88146508604</v>
      </c>
      <c r="AA17" s="50">
        <f t="shared" si="7"/>
        <v>262874.40097743849</v>
      </c>
      <c r="AB17" s="51">
        <f t="shared" si="8"/>
        <v>234265.80661524908</v>
      </c>
      <c r="AC17" s="44">
        <f t="shared" si="8"/>
        <v>246137.07956688997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1.0914944041149737</v>
      </c>
      <c r="AG17" s="44">
        <f t="shared" si="10"/>
        <v>1086058.761982481</v>
      </c>
      <c r="AH17" s="52">
        <f>HLOOKUP(I17,ElecAvoidedCostsWOCC!$A$5:$Q$50,T17+1,FALSE)</f>
        <v>1.0914944041149737</v>
      </c>
      <c r="AI17" s="44">
        <f t="shared" si="11"/>
        <v>0</v>
      </c>
      <c r="AJ17" s="44">
        <f t="shared" si="12"/>
        <v>1086058.761982481</v>
      </c>
      <c r="AK17" s="44">
        <f>HLOOKUP(I17,ElecAvoidedCostsWOCC!$A$5:$Q$50,G17+1,FALSE)*J17*L17</f>
        <v>0</v>
      </c>
      <c r="AL17" s="44">
        <f t="shared" si="13"/>
        <v>1086058.761982481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1086058.761982481</v>
      </c>
      <c r="AN17" s="48">
        <f t="shared" si="14"/>
        <v>1194664.6381807292</v>
      </c>
      <c r="AO17" s="47">
        <f t="shared" si="15"/>
        <v>4.6360105969975818</v>
      </c>
      <c r="AP17" s="47">
        <f t="shared" si="16"/>
        <v>4.8536556957728445</v>
      </c>
    </row>
    <row r="18" spans="1:42" ht="13.5" customHeight="1" x14ac:dyDescent="0.35">
      <c r="A18" s="59">
        <f>A6+A8</f>
        <v>3200318.93</v>
      </c>
      <c r="B18" s="97" t="s">
        <v>123</v>
      </c>
      <c r="C18" s="98">
        <v>18230715</v>
      </c>
      <c r="D18" s="61" t="s">
        <v>124</v>
      </c>
      <c r="E18" s="38" t="s">
        <v>1112</v>
      </c>
      <c r="F18" s="39" t="s">
        <v>1113</v>
      </c>
      <c r="G18" s="39">
        <v>14</v>
      </c>
      <c r="H18" s="39"/>
      <c r="I18" s="40" t="s">
        <v>262</v>
      </c>
      <c r="J18" s="41">
        <v>1</v>
      </c>
      <c r="K18" s="41">
        <v>59383</v>
      </c>
      <c r="L18" s="41"/>
      <c r="M18" s="42">
        <v>14846</v>
      </c>
      <c r="N18" s="42">
        <v>14846</v>
      </c>
      <c r="O18" s="43">
        <v>59383</v>
      </c>
      <c r="P18" s="44">
        <v>14846</v>
      </c>
      <c r="Q18" s="44">
        <v>14846</v>
      </c>
      <c r="R18" s="45"/>
      <c r="S18" s="46"/>
      <c r="T18" s="39">
        <f t="shared" si="0"/>
        <v>14</v>
      </c>
      <c r="U18" s="47">
        <f t="shared" si="1"/>
        <v>6.5319861563334275E-2</v>
      </c>
      <c r="V18" s="48">
        <f t="shared" si="2"/>
        <v>0</v>
      </c>
      <c r="W18" s="49">
        <f t="shared" si="3"/>
        <v>4.6657043973810201E-3</v>
      </c>
      <c r="X18" s="44">
        <f t="shared" si="4"/>
        <v>1599.393809414112</v>
      </c>
      <c r="Y18" s="44">
        <f t="shared" si="5"/>
        <v>0</v>
      </c>
      <c r="Z18" s="44">
        <f t="shared" si="6"/>
        <v>14931.742104722722</v>
      </c>
      <c r="AA18" s="50">
        <f t="shared" si="7"/>
        <v>16445.393809414112</v>
      </c>
      <c r="AB18" s="51">
        <f t="shared" si="8"/>
        <v>13981.031933260974</v>
      </c>
      <c r="AC18" s="44">
        <f t="shared" si="8"/>
        <v>15398.308810312838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1.0344437420326877</v>
      </c>
      <c r="AG18" s="44">
        <f t="shared" si="10"/>
        <v>61428.372733127093</v>
      </c>
      <c r="AH18" s="52">
        <f>HLOOKUP(I18,ElecAvoidedCostsWOCC!$A$5:$Q$50,T18+1,FALSE)</f>
        <v>1.0344437420326877</v>
      </c>
      <c r="AI18" s="44">
        <f t="shared" si="11"/>
        <v>0</v>
      </c>
      <c r="AJ18" s="44">
        <f t="shared" si="12"/>
        <v>61428.372733127093</v>
      </c>
      <c r="AK18" s="44">
        <f>HLOOKUP(I18,ElecAvoidedCostsWOCC!$A$5:$Q$50,G18+1,FALSE)*J18*L18</f>
        <v>0</v>
      </c>
      <c r="AL18" s="44">
        <f t="shared" si="13"/>
        <v>61428.372733127093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61428.372733127093</v>
      </c>
      <c r="AN18" s="48">
        <f t="shared" si="14"/>
        <v>67571.210006439811</v>
      </c>
      <c r="AO18" s="47">
        <f t="shared" si="15"/>
        <v>4.3936937578254547</v>
      </c>
      <c r="AP18" s="47">
        <f t="shared" si="16"/>
        <v>4.3882228132212013</v>
      </c>
    </row>
    <row r="19" spans="1:42" ht="13.5" customHeight="1" x14ac:dyDescent="0.35">
      <c r="A19" s="58" t="s">
        <v>222</v>
      </c>
      <c r="B19" s="97" t="s">
        <v>123</v>
      </c>
      <c r="C19" s="98">
        <v>18230715</v>
      </c>
      <c r="D19" s="61" t="s">
        <v>124</v>
      </c>
      <c r="E19" s="38" t="s">
        <v>1112</v>
      </c>
      <c r="F19" s="39" t="s">
        <v>1113</v>
      </c>
      <c r="G19" s="39">
        <v>15</v>
      </c>
      <c r="H19" s="39"/>
      <c r="I19" s="40" t="s">
        <v>262</v>
      </c>
      <c r="J19" s="41">
        <v>1</v>
      </c>
      <c r="K19" s="41">
        <v>76902</v>
      </c>
      <c r="L19" s="41"/>
      <c r="M19" s="42">
        <v>13458</v>
      </c>
      <c r="N19" s="42">
        <v>13458</v>
      </c>
      <c r="O19" s="43">
        <v>76902</v>
      </c>
      <c r="P19" s="44">
        <v>13458</v>
      </c>
      <c r="Q19" s="44">
        <v>13458</v>
      </c>
      <c r="R19" s="45"/>
      <c r="S19" s="46"/>
      <c r="T19" s="39">
        <f t="shared" si="0"/>
        <v>15</v>
      </c>
      <c r="U19" s="47">
        <f t="shared" si="1"/>
        <v>9.063250414278376E-2</v>
      </c>
      <c r="V19" s="48">
        <f t="shared" si="2"/>
        <v>0</v>
      </c>
      <c r="W19" s="49">
        <f t="shared" si="3"/>
        <v>6.042166942852251E-3</v>
      </c>
      <c r="X19" s="44">
        <f t="shared" si="4"/>
        <v>2071.2423207241809</v>
      </c>
      <c r="Y19" s="44">
        <f t="shared" si="5"/>
        <v>0</v>
      </c>
      <c r="Z19" s="44">
        <f t="shared" si="6"/>
        <v>19336.861245430289</v>
      </c>
      <c r="AA19" s="50">
        <f t="shared" si="7"/>
        <v>15529.242320724181</v>
      </c>
      <c r="AB19" s="51">
        <f t="shared" si="8"/>
        <v>18105.675323436601</v>
      </c>
      <c r="AC19" s="44">
        <f t="shared" si="8"/>
        <v>14540.489064348483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1.0914944041149737</v>
      </c>
      <c r="AG19" s="44">
        <f t="shared" si="10"/>
        <v>83938.102665249709</v>
      </c>
      <c r="AH19" s="52">
        <f>HLOOKUP(I19,ElecAvoidedCostsWOCC!$A$5:$Q$50,T19+1,FALSE)</f>
        <v>1.0914944041149737</v>
      </c>
      <c r="AI19" s="44">
        <f t="shared" si="11"/>
        <v>0</v>
      </c>
      <c r="AJ19" s="44">
        <f t="shared" si="12"/>
        <v>83938.102665249709</v>
      </c>
      <c r="AK19" s="44">
        <f>HLOOKUP(I19,ElecAvoidedCostsWOCC!$A$5:$Q$50,G19+1,FALSE)*J19*L19</f>
        <v>0</v>
      </c>
      <c r="AL19" s="44">
        <f t="shared" si="13"/>
        <v>83938.102665249709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83938.102665249709</v>
      </c>
      <c r="AN19" s="48">
        <f t="shared" si="14"/>
        <v>92331.912931774685</v>
      </c>
      <c r="AO19" s="47">
        <f t="shared" si="15"/>
        <v>4.6360105969975827</v>
      </c>
      <c r="AP19" s="47">
        <f t="shared" si="16"/>
        <v>6.3499867523824456</v>
      </c>
    </row>
    <row r="20" spans="1:42" ht="13.5" customHeight="1" x14ac:dyDescent="0.35">
      <c r="A20" s="59">
        <f>A8+SUM(Q5:Q906)</f>
        <v>6473484.6400000006</v>
      </c>
      <c r="B20" s="97" t="s">
        <v>123</v>
      </c>
      <c r="C20" s="98">
        <v>18230715</v>
      </c>
      <c r="D20" s="61" t="s">
        <v>124</v>
      </c>
      <c r="E20" s="38" t="s">
        <v>1146</v>
      </c>
      <c r="F20" s="39" t="s">
        <v>1147</v>
      </c>
      <c r="G20" s="39">
        <v>20</v>
      </c>
      <c r="H20" s="39"/>
      <c r="I20" s="40" t="s">
        <v>265</v>
      </c>
      <c r="J20" s="41">
        <v>1</v>
      </c>
      <c r="K20" s="41">
        <v>1558168</v>
      </c>
      <c r="L20" s="41"/>
      <c r="M20" s="42">
        <v>425962</v>
      </c>
      <c r="N20" s="42">
        <v>917769</v>
      </c>
      <c r="O20" s="43">
        <v>1558168</v>
      </c>
      <c r="P20" s="44">
        <v>425962</v>
      </c>
      <c r="Q20" s="44">
        <v>917769</v>
      </c>
      <c r="R20" s="45"/>
      <c r="S20" s="46"/>
      <c r="T20" s="39">
        <f t="shared" si="0"/>
        <v>20</v>
      </c>
      <c r="U20" s="47">
        <f t="shared" si="1"/>
        <v>2.4484957949104591</v>
      </c>
      <c r="V20" s="48">
        <f t="shared" si="2"/>
        <v>491807</v>
      </c>
      <c r="W20" s="49">
        <f t="shared" si="3"/>
        <v>0.12242478974552296</v>
      </c>
      <c r="X20" s="44">
        <f t="shared" si="4"/>
        <v>41966.964505450516</v>
      </c>
      <c r="Y20" s="44">
        <f t="shared" si="5"/>
        <v>491807</v>
      </c>
      <c r="Z20" s="44">
        <f t="shared" si="6"/>
        <v>391798.37212386698</v>
      </c>
      <c r="AA20" s="50">
        <f t="shared" si="7"/>
        <v>959735.96450545057</v>
      </c>
      <c r="AB20" s="51">
        <f t="shared" si="8"/>
        <v>366852.4083556807</v>
      </c>
      <c r="AC20" s="44">
        <f t="shared" si="8"/>
        <v>898629.18024854921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1.336812363712726</v>
      </c>
      <c r="AG20" s="44">
        <f t="shared" si="10"/>
        <v>2082978.247141531</v>
      </c>
      <c r="AH20" s="52">
        <f>HLOOKUP(I20,ElecAvoidedCostsWOCC!$A$5:$Q$50,T20+1,FALSE)</f>
        <v>1.336812363712726</v>
      </c>
      <c r="AI20" s="44">
        <f t="shared" si="11"/>
        <v>0</v>
      </c>
      <c r="AJ20" s="44">
        <f t="shared" si="12"/>
        <v>2082978.247141531</v>
      </c>
      <c r="AK20" s="44">
        <f>HLOOKUP(I20,ElecAvoidedCostsWOCC!$A$5:$Q$50,G20+1,FALSE)*J20*L20</f>
        <v>0</v>
      </c>
      <c r="AL20" s="44">
        <f t="shared" si="13"/>
        <v>2082978.247141531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2082978.247141531</v>
      </c>
      <c r="AN20" s="48">
        <f t="shared" si="14"/>
        <v>2291276.0718556843</v>
      </c>
      <c r="AO20" s="47">
        <f t="shared" si="15"/>
        <v>5.6779734838812486</v>
      </c>
      <c r="AP20" s="47">
        <f t="shared" si="16"/>
        <v>2.5497459043361435</v>
      </c>
    </row>
    <row r="21" spans="1:42" ht="13.5" customHeight="1" x14ac:dyDescent="0.35">
      <c r="A21" s="58" t="s">
        <v>236</v>
      </c>
      <c r="B21" s="97" t="s">
        <v>123</v>
      </c>
      <c r="C21" s="98">
        <v>18230715</v>
      </c>
      <c r="D21" s="61" t="s">
        <v>124</v>
      </c>
      <c r="E21" s="38" t="s">
        <v>1152</v>
      </c>
      <c r="F21" s="39" t="s">
        <v>1153</v>
      </c>
      <c r="G21" s="39">
        <v>20</v>
      </c>
      <c r="H21" s="39"/>
      <c r="I21" s="40" t="s">
        <v>266</v>
      </c>
      <c r="J21" s="41">
        <v>1</v>
      </c>
      <c r="K21" s="41">
        <v>627963</v>
      </c>
      <c r="L21" s="41"/>
      <c r="M21" s="42">
        <v>158978</v>
      </c>
      <c r="N21" s="42">
        <v>546884</v>
      </c>
      <c r="O21" s="43">
        <v>627963</v>
      </c>
      <c r="P21" s="44">
        <v>158978</v>
      </c>
      <c r="Q21" s="44">
        <v>546884</v>
      </c>
      <c r="R21" s="45"/>
      <c r="S21" s="46"/>
      <c r="T21" s="39">
        <f t="shared" si="0"/>
        <v>20</v>
      </c>
      <c r="U21" s="47">
        <f t="shared" si="1"/>
        <v>0.98677726975483815</v>
      </c>
      <c r="V21" s="48">
        <f t="shared" si="2"/>
        <v>387906</v>
      </c>
      <c r="W21" s="49">
        <f t="shared" si="3"/>
        <v>4.9338863487741906E-2</v>
      </c>
      <c r="X21" s="44">
        <f t="shared" si="4"/>
        <v>16913.260272150514</v>
      </c>
      <c r="Y21" s="44">
        <f t="shared" si="5"/>
        <v>387906</v>
      </c>
      <c r="Z21" s="44">
        <f t="shared" si="6"/>
        <v>157900.09880450624</v>
      </c>
      <c r="AA21" s="50">
        <f t="shared" si="7"/>
        <v>563797.26027215051</v>
      </c>
      <c r="AB21" s="51">
        <f t="shared" ref="AB21:AC24" si="18">Z21/(1+ElecDiscountRate)^1</f>
        <v>147846.53446114817</v>
      </c>
      <c r="AC21" s="44">
        <f t="shared" si="18"/>
        <v>527900.05643459782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1.6018928111000572</v>
      </c>
      <c r="AG21" s="44">
        <f t="shared" si="10"/>
        <v>1005929.4153368252</v>
      </c>
      <c r="AH21" s="52">
        <f>HLOOKUP(I21,ElecAvoidedCostsWOCC!$A$5:$Q$50,T21+1,FALSE)</f>
        <v>1.6018928111000572</v>
      </c>
      <c r="AI21" s="44">
        <f t="shared" si="11"/>
        <v>0</v>
      </c>
      <c r="AJ21" s="44">
        <f t="shared" si="12"/>
        <v>1005929.4153368252</v>
      </c>
      <c r="AK21" s="44">
        <f>HLOOKUP(I21,ElecAvoidedCostsWOCC!$A$5:$Q$50,G21+1,FALSE)*J21*L21</f>
        <v>0</v>
      </c>
      <c r="AL21" s="44">
        <f t="shared" si="13"/>
        <v>1005929.4153368252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1005929.4153368252</v>
      </c>
      <c r="AN21" s="48">
        <f t="shared" si="14"/>
        <v>1106522.3568705078</v>
      </c>
      <c r="AO21" s="47">
        <f t="shared" si="15"/>
        <v>6.8038755118820067</v>
      </c>
      <c r="AP21" s="47">
        <f t="shared" si="16"/>
        <v>2.0960830433394664</v>
      </c>
    </row>
    <row r="22" spans="1:42" ht="13.5" customHeight="1" x14ac:dyDescent="0.35">
      <c r="A22" s="60">
        <f>(SUM(AM5:AM1000)/(SUM(AB5:AB1000)))</f>
        <v>3.5146080969128355</v>
      </c>
      <c r="B22" s="97" t="s">
        <v>123</v>
      </c>
      <c r="C22" s="98">
        <v>18230715</v>
      </c>
      <c r="D22" s="61" t="s">
        <v>124</v>
      </c>
      <c r="E22" s="38" t="s">
        <v>1208</v>
      </c>
      <c r="F22" s="39" t="s">
        <v>1209</v>
      </c>
      <c r="G22" s="39">
        <v>15</v>
      </c>
      <c r="H22" s="39"/>
      <c r="I22" s="40" t="s">
        <v>261</v>
      </c>
      <c r="J22" s="41">
        <v>1</v>
      </c>
      <c r="K22" s="41">
        <v>50041</v>
      </c>
      <c r="L22" s="41"/>
      <c r="M22" s="42">
        <v>20017</v>
      </c>
      <c r="N22" s="42">
        <v>20017</v>
      </c>
      <c r="O22" s="43">
        <v>50041</v>
      </c>
      <c r="P22" s="44">
        <v>20017</v>
      </c>
      <c r="Q22" s="44">
        <v>20017</v>
      </c>
      <c r="R22" s="45"/>
      <c r="S22" s="46"/>
      <c r="T22" s="39">
        <f t="shared" si="0"/>
        <v>15</v>
      </c>
      <c r="U22" s="47">
        <f t="shared" si="1"/>
        <v>5.8975594130309263E-2</v>
      </c>
      <c r="V22" s="48">
        <f t="shared" si="2"/>
        <v>0</v>
      </c>
      <c r="W22" s="49">
        <f t="shared" si="3"/>
        <v>3.9317062753539507E-3</v>
      </c>
      <c r="X22" s="44">
        <f t="shared" si="4"/>
        <v>1347.780772559345</v>
      </c>
      <c r="Y22" s="44">
        <f t="shared" si="5"/>
        <v>0</v>
      </c>
      <c r="Z22" s="44">
        <f t="shared" si="6"/>
        <v>12582.71402021504</v>
      </c>
      <c r="AA22" s="50">
        <f t="shared" si="7"/>
        <v>21364.780772559345</v>
      </c>
      <c r="AB22" s="51">
        <f t="shared" si="18"/>
        <v>11781.567434658276</v>
      </c>
      <c r="AC22" s="44">
        <f t="shared" si="18"/>
        <v>20004.476378800882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1.0763668537425979</v>
      </c>
      <c r="AG22" s="44">
        <f t="shared" si="10"/>
        <v>53862.473728133344</v>
      </c>
      <c r="AH22" s="52">
        <f>HLOOKUP(I22,ElecAvoidedCostsWOCC!$A$5:$Q$50,T22+1,FALSE)</f>
        <v>1.0763668537425979</v>
      </c>
      <c r="AI22" s="44">
        <f t="shared" si="11"/>
        <v>0</v>
      </c>
      <c r="AJ22" s="44">
        <f t="shared" si="12"/>
        <v>53862.473728133344</v>
      </c>
      <c r="AK22" s="44">
        <f>HLOOKUP(I22,ElecAvoidedCostsWOCC!$A$5:$Q$50,G22+1,FALSE)*J22*L22</f>
        <v>0</v>
      </c>
      <c r="AL22" s="44">
        <f t="shared" si="13"/>
        <v>53862.473728133344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53862.473728133344</v>
      </c>
      <c r="AN22" s="48">
        <f t="shared" si="14"/>
        <v>59248.721100946685</v>
      </c>
      <c r="AO22" s="47">
        <f t="shared" si="15"/>
        <v>4.571757877452205</v>
      </c>
      <c r="AP22" s="47">
        <f t="shared" si="16"/>
        <v>2.961773154119328</v>
      </c>
    </row>
    <row r="23" spans="1:42" ht="13.5" customHeight="1" x14ac:dyDescent="0.35">
      <c r="A23" s="58" t="s">
        <v>237</v>
      </c>
      <c r="B23" s="97" t="s">
        <v>123</v>
      </c>
      <c r="C23" s="98">
        <v>18230715</v>
      </c>
      <c r="D23" s="61" t="s">
        <v>124</v>
      </c>
      <c r="E23" s="38" t="s">
        <v>1162</v>
      </c>
      <c r="F23" s="39" t="s">
        <v>1163</v>
      </c>
      <c r="G23" s="39">
        <v>5</v>
      </c>
      <c r="H23" s="39"/>
      <c r="I23" s="40" t="s">
        <v>262</v>
      </c>
      <c r="J23" s="41">
        <v>1</v>
      </c>
      <c r="K23" s="41">
        <v>923562</v>
      </c>
      <c r="L23" s="41"/>
      <c r="M23" s="42">
        <v>153530</v>
      </c>
      <c r="N23" s="42">
        <v>284022</v>
      </c>
      <c r="O23" s="43">
        <v>923562</v>
      </c>
      <c r="P23" s="44">
        <v>153530</v>
      </c>
      <c r="Q23" s="44">
        <v>284022</v>
      </c>
      <c r="R23" s="45"/>
      <c r="S23" s="46"/>
      <c r="T23" s="39">
        <f t="shared" si="0"/>
        <v>5</v>
      </c>
      <c r="U23" s="47">
        <f t="shared" si="1"/>
        <v>0.36281993875806295</v>
      </c>
      <c r="V23" s="48">
        <f t="shared" si="2"/>
        <v>130492</v>
      </c>
      <c r="W23" s="49">
        <f t="shared" si="3"/>
        <v>7.2563987751612588E-2</v>
      </c>
      <c r="X23" s="44">
        <f t="shared" si="4"/>
        <v>24874.784793798161</v>
      </c>
      <c r="Y23" s="44">
        <f t="shared" si="5"/>
        <v>130492</v>
      </c>
      <c r="Z23" s="44">
        <f t="shared" si="6"/>
        <v>232227.90363777394</v>
      </c>
      <c r="AA23" s="50">
        <f t="shared" si="7"/>
        <v>308896.78479379817</v>
      </c>
      <c r="AB23" s="51">
        <f t="shared" si="18"/>
        <v>217441.85733873962</v>
      </c>
      <c r="AC23" s="44">
        <f t="shared" si="18"/>
        <v>289229.19924512936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0.4061534918263025</v>
      </c>
      <c r="AG23" s="44">
        <f t="shared" si="10"/>
        <v>375107.9312180836</v>
      </c>
      <c r="AH23" s="52">
        <f>HLOOKUP(I23,ElecAvoidedCostsWOCC!$A$5:$Q$50,T23+1,FALSE)</f>
        <v>0.4061534918263025</v>
      </c>
      <c r="AI23" s="44">
        <f t="shared" si="11"/>
        <v>0</v>
      </c>
      <c r="AJ23" s="44">
        <f t="shared" si="12"/>
        <v>375107.9312180836</v>
      </c>
      <c r="AK23" s="44">
        <f>HLOOKUP(I23,ElecAvoidedCostsWOCC!$A$5:$Q$50,G23+1,FALSE)*J23*L23</f>
        <v>0</v>
      </c>
      <c r="AL23" s="44">
        <f t="shared" si="13"/>
        <v>375107.9312180836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375107.9312180836</v>
      </c>
      <c r="AN23" s="48">
        <f t="shared" si="14"/>
        <v>412618.72433989198</v>
      </c>
      <c r="AO23" s="47">
        <f t="shared" si="15"/>
        <v>1.7250953234534117</v>
      </c>
      <c r="AP23" s="47">
        <f t="shared" si="16"/>
        <v>1.426615035469454</v>
      </c>
    </row>
    <row r="24" spans="1:42" ht="13.5" customHeight="1" x14ac:dyDescent="0.35">
      <c r="A24" s="60">
        <f>(SUM(AN5:AN1000)/SUM(AC5:AC1000))</f>
        <v>1.9112818203102371</v>
      </c>
      <c r="B24" s="97" t="s">
        <v>123</v>
      </c>
      <c r="C24" s="98">
        <v>18230715</v>
      </c>
      <c r="D24" s="61" t="s">
        <v>124</v>
      </c>
      <c r="E24" s="38" t="s">
        <v>1210</v>
      </c>
      <c r="F24" s="39" t="s">
        <v>1211</v>
      </c>
      <c r="G24" s="39">
        <v>15</v>
      </c>
      <c r="H24" s="39"/>
      <c r="I24" s="40"/>
      <c r="J24" s="41">
        <v>1</v>
      </c>
      <c r="K24" s="41">
        <v>0</v>
      </c>
      <c r="L24" s="41"/>
      <c r="M24" s="42">
        <v>0</v>
      </c>
      <c r="N24" s="42">
        <v>0</v>
      </c>
      <c r="O24" s="43">
        <v>0</v>
      </c>
      <c r="P24" s="44">
        <v>0</v>
      </c>
      <c r="Q24" s="44">
        <v>0</v>
      </c>
      <c r="R24" s="45"/>
      <c r="S24" s="46"/>
      <c r="T24" s="39">
        <f t="shared" si="0"/>
        <v>15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123</v>
      </c>
      <c r="C25" s="98">
        <v>18230715</v>
      </c>
      <c r="D25" s="61" t="s">
        <v>124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>G25+H25</f>
        <v>0</v>
      </c>
      <c r="U25" s="47">
        <f>(O25/$A$10)*T25</f>
        <v>0</v>
      </c>
      <c r="V25" s="48">
        <f>N25-M25</f>
        <v>0</v>
      </c>
      <c r="W25" s="49">
        <f>(O25/A$10)</f>
        <v>0</v>
      </c>
      <c r="X25" s="44">
        <f>W25*A$8</f>
        <v>0</v>
      </c>
      <c r="Y25" s="44">
        <f>Q25-P25</f>
        <v>0</v>
      </c>
      <c r="Z25" s="44">
        <f>X25+(A$6*W25)</f>
        <v>0</v>
      </c>
      <c r="AA25" s="50">
        <f>Q25+X25</f>
        <v>0</v>
      </c>
      <c r="AB25" s="51">
        <f t="shared" ref="AB25:AC27" si="19">Z25/(1+ElecDiscountRate)^1</f>
        <v>0</v>
      </c>
      <c r="AC25" s="44">
        <f t="shared" si="19"/>
        <v>0</v>
      </c>
      <c r="AD25" s="44">
        <f>-PV(ElecDiscountRate,T25,R25)*J25</f>
        <v>0</v>
      </c>
      <c r="AE25" s="44">
        <f>-PV(ElecDiscountRate,T25,S25)*J25</f>
        <v>0</v>
      </c>
      <c r="AF25" s="52" t="e">
        <f>HLOOKUP(I25,ElecAvoidedCostsWOCC!$A$5:$Q$50,G25+1,FALSE)</f>
        <v>#N/A</v>
      </c>
      <c r="AG25" s="44" t="e">
        <f>AF25*J25*K25</f>
        <v>#N/A</v>
      </c>
      <c r="AH25" s="52" t="e">
        <f>HLOOKUP(I25,ElecAvoidedCostsWOCC!$A$5:$Q$50,T25+1,FALSE)</f>
        <v>#N/A</v>
      </c>
      <c r="AI25" s="44" t="e">
        <f>AH25*J25*L25</f>
        <v>#N/A</v>
      </c>
      <c r="AJ25" s="44" t="e">
        <f>AG25+AI25</f>
        <v>#N/A</v>
      </c>
      <c r="AK25" s="44" t="e">
        <f>HLOOKUP(I25,ElecAvoidedCostsWOCC!$A$5:$Q$50,G25+1,FALSE)*J25*L25</f>
        <v>#N/A</v>
      </c>
      <c r="AL25" s="44" t="e">
        <f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>AM25*1.1+AD25+AE25</f>
        <v>0</v>
      </c>
      <c r="AO25" s="47">
        <f>IFERROR(AM25/AB25,0)</f>
        <v>0</v>
      </c>
      <c r="AP25" s="47" t="e">
        <f>AN25/AC25</f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 x14ac:dyDescent="0.35"/>
  </sheetData>
  <conditionalFormatting sqref="J5:L2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27 R5:S27">
    <cfRule type="expression" dxfId="222" priority="2">
      <formula>ISTEXT(M5)</formula>
    </cfRule>
  </conditionalFormatting>
  <conditionalFormatting sqref="M5:N27 R5:S27">
    <cfRule type="notContainsBlanks" dxfId="221" priority="3">
      <formula>LEN(TRIM(M5))&gt;0</formula>
    </cfRule>
  </conditionalFormatting>
  <conditionalFormatting sqref="R5:S2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5" sqref="M5:N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18230723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129</v>
      </c>
      <c r="C5" s="98">
        <v>18230723</v>
      </c>
      <c r="D5" s="61" t="s">
        <v>130</v>
      </c>
      <c r="E5" s="38" t="s">
        <v>1212</v>
      </c>
      <c r="F5" s="39" t="s">
        <v>1213</v>
      </c>
      <c r="G5" s="39">
        <v>3</v>
      </c>
      <c r="H5" s="39"/>
      <c r="I5" s="40" t="s">
        <v>261</v>
      </c>
      <c r="J5" s="41">
        <v>1</v>
      </c>
      <c r="K5" s="41">
        <v>8971857</v>
      </c>
      <c r="L5" s="41"/>
      <c r="M5" s="42">
        <v>138247</v>
      </c>
      <c r="N5" s="42">
        <v>226606</v>
      </c>
      <c r="O5" s="43">
        <v>8971857</v>
      </c>
      <c r="P5" s="44">
        <v>138247</v>
      </c>
      <c r="Q5" s="44">
        <v>226606</v>
      </c>
      <c r="R5" s="45"/>
      <c r="S5" s="46"/>
      <c r="T5" s="39">
        <f t="shared" ref="T5:T19" si="0">G5+H5</f>
        <v>3</v>
      </c>
      <c r="U5" s="47">
        <f t="shared" ref="U5:U19" si="1">(O5/$A$10)*T5</f>
        <v>2.312262566427278</v>
      </c>
      <c r="V5" s="48">
        <f t="shared" ref="V5:V19" si="2">N5-M5</f>
        <v>88359</v>
      </c>
      <c r="W5" s="49">
        <f t="shared" ref="W5:W19" si="3">(O5/A$10)</f>
        <v>0.77075418880909274</v>
      </c>
      <c r="X5" s="44">
        <f t="shared" ref="X5:X19" si="4">W5*A$8</f>
        <v>942149.41833881254</v>
      </c>
      <c r="Y5" s="44">
        <f t="shared" ref="Y5:Y19" si="5">Q5-P5</f>
        <v>88359</v>
      </c>
      <c r="Z5" s="44">
        <f t="shared" ref="Z5:Z19" si="6">X5+(A$6*W5)</f>
        <v>1214095.3895305134</v>
      </c>
      <c r="AA5" s="50">
        <f t="shared" ref="AA5:AA19" si="7">Q5+X5</f>
        <v>1168755.4183388124</v>
      </c>
      <c r="AB5" s="51">
        <f t="shared" ref="AB5:AC15" si="8">Z5/(1+ElecDiscountRate)^1</f>
        <v>1136793.4358899938</v>
      </c>
      <c r="AC5" s="44">
        <f t="shared" si="8"/>
        <v>1094340.2793434572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0.24822643794190363</v>
      </c>
      <c r="AG5" s="44">
        <f t="shared" ref="AG5:AG19" si="10">AF5*J5*K5</f>
        <v>2227052.1048341338</v>
      </c>
      <c r="AH5" s="52">
        <f>HLOOKUP(I5,ElecAvoidedCostsWOCC!$A$5:$Q$50,T5+1,FALSE)</f>
        <v>0.24822643794190363</v>
      </c>
      <c r="AI5" s="44">
        <f t="shared" ref="AI5:AI19" si="11">AH5*J5*L5</f>
        <v>0</v>
      </c>
      <c r="AJ5" s="44">
        <f>AG5+AI5</f>
        <v>2227052.1048341338</v>
      </c>
      <c r="AK5" s="44">
        <f>HLOOKUP(I5,ElecAvoidedCostsWOCC!$A$5:$Q$50,G5+1,FALSE)*J5*L5</f>
        <v>0</v>
      </c>
      <c r="AL5" s="44">
        <f>AG5+AI5-AK5</f>
        <v>2227052.1048341338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2227052.1048341338</v>
      </c>
      <c r="AN5" s="48">
        <f>AM5*1.1+AD5+AE5</f>
        <v>2449757.3153175474</v>
      </c>
      <c r="AO5" s="47">
        <f>IFERROR(AM5/AB5,0)</f>
        <v>1.9590648877124965</v>
      </c>
      <c r="AP5" s="47">
        <f>AN5/AC5</f>
        <v>2.2385699965163162</v>
      </c>
    </row>
    <row r="6" spans="1:42" ht="13.5" customHeight="1" x14ac:dyDescent="0.35">
      <c r="A6" s="53">
        <f>SUMIF('Program Costs'!D:D,C2,'Program Costs'!L:L)</f>
        <v>352831</v>
      </c>
      <c r="B6" s="97" t="s">
        <v>129</v>
      </c>
      <c r="C6" s="98">
        <v>18230723</v>
      </c>
      <c r="D6" s="61" t="s">
        <v>130</v>
      </c>
      <c r="E6" s="38" t="s">
        <v>1214</v>
      </c>
      <c r="F6" s="39" t="s">
        <v>1215</v>
      </c>
      <c r="G6" s="39">
        <v>3</v>
      </c>
      <c r="H6" s="39"/>
      <c r="I6" s="40" t="s">
        <v>261</v>
      </c>
      <c r="J6" s="41">
        <v>1</v>
      </c>
      <c r="K6" s="41">
        <v>1486263</v>
      </c>
      <c r="L6" s="41"/>
      <c r="M6" s="42">
        <v>36887</v>
      </c>
      <c r="N6" s="42">
        <v>59451</v>
      </c>
      <c r="O6" s="43">
        <v>1486263</v>
      </c>
      <c r="P6" s="44">
        <v>36887</v>
      </c>
      <c r="Q6" s="44">
        <v>59451</v>
      </c>
      <c r="R6" s="45"/>
      <c r="S6" s="46"/>
      <c r="T6" s="39">
        <f t="shared" si="0"/>
        <v>3</v>
      </c>
      <c r="U6" s="47">
        <f t="shared" si="1"/>
        <v>0.38304559454814163</v>
      </c>
      <c r="V6" s="48">
        <f t="shared" si="2"/>
        <v>22564</v>
      </c>
      <c r="W6" s="49">
        <f t="shared" si="3"/>
        <v>0.12768186484938054</v>
      </c>
      <c r="X6" s="44">
        <f t="shared" si="4"/>
        <v>156074.91525427776</v>
      </c>
      <c r="Y6" s="44">
        <f t="shared" si="5"/>
        <v>22564</v>
      </c>
      <c r="Z6" s="44">
        <f t="shared" si="6"/>
        <v>201125.03531094955</v>
      </c>
      <c r="AA6" s="50">
        <f t="shared" si="7"/>
        <v>215525.91525427776</v>
      </c>
      <c r="AB6" s="51">
        <f t="shared" si="8"/>
        <v>188319.32145219995</v>
      </c>
      <c r="AC6" s="44">
        <f t="shared" si="8"/>
        <v>201803.29143658964</v>
      </c>
      <c r="AD6" s="44">
        <f t="shared" si="9"/>
        <v>0</v>
      </c>
      <c r="AE6" s="44">
        <v>0</v>
      </c>
      <c r="AF6" s="52">
        <f>HLOOKUP(I6,ElecAvoidedCostsWOCC!$A$5:$Q$50,G6+1,FALSE)</f>
        <v>0.24822643794190363</v>
      </c>
      <c r="AG6" s="44">
        <f t="shared" si="10"/>
        <v>368929.7703348475</v>
      </c>
      <c r="AH6" s="52">
        <f>HLOOKUP(I6,ElecAvoidedCostsWOCC!$A$5:$Q$50,T6+1,FALSE)</f>
        <v>0.24822643794190363</v>
      </c>
      <c r="AI6" s="44">
        <f t="shared" si="11"/>
        <v>0</v>
      </c>
      <c r="AJ6" s="44">
        <f t="shared" ref="AJ6:AJ19" si="12">AG6+AI6</f>
        <v>368929.7703348475</v>
      </c>
      <c r="AK6" s="44">
        <f>HLOOKUP(I6,ElecAvoidedCostsWOCC!$A$5:$Q$50,G6+1,FALSE)*J6*L6</f>
        <v>0</v>
      </c>
      <c r="AL6" s="44">
        <f t="shared" ref="AL6:AL19" si="13">AG6+AI6-AK6</f>
        <v>368929.7703348475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368929.7703348475</v>
      </c>
      <c r="AN6" s="48">
        <f t="shared" ref="AN6:AN19" si="14">AM6*1.1+AD6+AE6</f>
        <v>405822.74736833229</v>
      </c>
      <c r="AO6" s="47">
        <f t="shared" ref="AO6:AO19" si="15">IFERROR(AM6/AB6,0)</f>
        <v>1.9590648877124959</v>
      </c>
      <c r="AP6" s="47">
        <f t="shared" ref="AP6:AP19" si="16">AN6/AC6</f>
        <v>2.0109818054967126</v>
      </c>
    </row>
    <row r="7" spans="1:42" ht="13.5" customHeight="1" x14ac:dyDescent="0.35">
      <c r="A7" s="36" t="s">
        <v>240</v>
      </c>
      <c r="B7" s="97" t="s">
        <v>129</v>
      </c>
      <c r="C7" s="98">
        <v>18230723</v>
      </c>
      <c r="D7" s="61" t="s">
        <v>130</v>
      </c>
      <c r="E7" s="38" t="s">
        <v>1216</v>
      </c>
      <c r="F7" s="39" t="s">
        <v>1217</v>
      </c>
      <c r="G7" s="39">
        <v>3</v>
      </c>
      <c r="H7" s="39"/>
      <c r="I7" s="40" t="s">
        <v>261</v>
      </c>
      <c r="J7" s="41">
        <v>1</v>
      </c>
      <c r="K7" s="41">
        <v>1182241</v>
      </c>
      <c r="L7" s="41"/>
      <c r="M7" s="42">
        <v>29650</v>
      </c>
      <c r="N7" s="42">
        <v>47290</v>
      </c>
      <c r="O7" s="43">
        <v>1182241</v>
      </c>
      <c r="P7" s="44">
        <v>29650</v>
      </c>
      <c r="Q7" s="44">
        <v>47290</v>
      </c>
      <c r="R7" s="45"/>
      <c r="S7" s="46"/>
      <c r="T7" s="39">
        <f t="shared" si="0"/>
        <v>3</v>
      </c>
      <c r="U7" s="47">
        <f t="shared" si="1"/>
        <v>0.30469183902458008</v>
      </c>
      <c r="V7" s="48">
        <f t="shared" si="2"/>
        <v>17640</v>
      </c>
      <c r="W7" s="49">
        <f t="shared" si="3"/>
        <v>0.1015639463415267</v>
      </c>
      <c r="X7" s="44">
        <f t="shared" si="4"/>
        <v>124149.06640690954</v>
      </c>
      <c r="Y7" s="44">
        <f t="shared" si="5"/>
        <v>17640</v>
      </c>
      <c r="Z7" s="44">
        <f t="shared" si="6"/>
        <v>159983.97515853675</v>
      </c>
      <c r="AA7" s="50">
        <f t="shared" si="7"/>
        <v>171439.06640690955</v>
      </c>
      <c r="AB7" s="51">
        <f t="shared" si="8"/>
        <v>149797.72954919172</v>
      </c>
      <c r="AC7" s="44">
        <f t="shared" si="8"/>
        <v>160523.47041845461</v>
      </c>
      <c r="AD7" s="44">
        <f t="shared" si="9"/>
        <v>0</v>
      </c>
      <c r="AE7" s="44">
        <v>0</v>
      </c>
      <c r="AF7" s="52">
        <f>HLOOKUP(I7,ElecAvoidedCostsWOCC!$A$5:$Q$50,G7+1,FALSE)</f>
        <v>0.24822643794190363</v>
      </c>
      <c r="AG7" s="44">
        <f t="shared" si="10"/>
        <v>293463.47221887409</v>
      </c>
      <c r="AH7" s="52">
        <f>HLOOKUP(I7,ElecAvoidedCostsWOCC!$A$5:$Q$50,T7+1,FALSE)</f>
        <v>0.24822643794190363</v>
      </c>
      <c r="AI7" s="44">
        <f t="shared" si="11"/>
        <v>0</v>
      </c>
      <c r="AJ7" s="44">
        <f t="shared" si="12"/>
        <v>293463.47221887409</v>
      </c>
      <c r="AK7" s="44">
        <f>HLOOKUP(I7,ElecAvoidedCostsWOCC!$A$5:$Q$50,G7+1,FALSE)*J7*L7</f>
        <v>0</v>
      </c>
      <c r="AL7" s="44">
        <f t="shared" si="13"/>
        <v>293463.47221887409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293463.47221887409</v>
      </c>
      <c r="AN7" s="48">
        <f t="shared" si="14"/>
        <v>322809.81944076152</v>
      </c>
      <c r="AO7" s="47">
        <f t="shared" si="15"/>
        <v>1.9590648877124959</v>
      </c>
      <c r="AP7" s="47">
        <f t="shared" si="16"/>
        <v>2.0109820613724385</v>
      </c>
    </row>
    <row r="8" spans="1:42" ht="13.5" customHeight="1" x14ac:dyDescent="0.35">
      <c r="A8" s="53">
        <f>SUMIF('Program Costs'!D:D,C2,'Program Costs'!O:O)</f>
        <v>1222373.3999999999</v>
      </c>
      <c r="B8" s="97" t="s">
        <v>129</v>
      </c>
      <c r="C8" s="98">
        <v>18230723</v>
      </c>
      <c r="D8" s="61" t="s">
        <v>130</v>
      </c>
      <c r="E8" s="38" t="s">
        <v>1218</v>
      </c>
      <c r="F8" s="39" t="s">
        <v>1219</v>
      </c>
      <c r="G8" s="39">
        <v>3</v>
      </c>
      <c r="H8" s="39"/>
      <c r="I8" s="40" t="s">
        <v>261</v>
      </c>
      <c r="J8" s="41">
        <v>1</v>
      </c>
      <c r="K8" s="41">
        <v>0</v>
      </c>
      <c r="L8" s="41"/>
      <c r="M8" s="42">
        <v>87304</v>
      </c>
      <c r="N8" s="42">
        <v>87304</v>
      </c>
      <c r="O8" s="43">
        <v>0</v>
      </c>
      <c r="P8" s="44">
        <v>87304</v>
      </c>
      <c r="Q8" s="44">
        <v>87304</v>
      </c>
      <c r="R8" s="45"/>
      <c r="S8" s="46"/>
      <c r="T8" s="39">
        <f t="shared" si="0"/>
        <v>3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87304</v>
      </c>
      <c r="AB8" s="51">
        <f t="shared" si="8"/>
        <v>0</v>
      </c>
      <c r="AC8" s="44">
        <f t="shared" si="8"/>
        <v>81745.318352059927</v>
      </c>
      <c r="AD8" s="44">
        <f t="shared" si="9"/>
        <v>0</v>
      </c>
      <c r="AE8" s="44">
        <v>0</v>
      </c>
      <c r="AF8" s="52">
        <f>HLOOKUP(I8,ElecAvoidedCostsWOCC!$A$5:$Q$50,G8+1,FALSE)</f>
        <v>0.24822643794190363</v>
      </c>
      <c r="AG8" s="44">
        <f t="shared" si="10"/>
        <v>0</v>
      </c>
      <c r="AH8" s="52">
        <f>HLOOKUP(I8,ElecAvoidedCostsWOCC!$A$5:$Q$50,T8+1,FALSE)</f>
        <v>0.24822643794190363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242</v>
      </c>
      <c r="B9" s="97" t="s">
        <v>129</v>
      </c>
      <c r="C9" s="98">
        <v>18230723</v>
      </c>
      <c r="D9" s="61" t="s">
        <v>130</v>
      </c>
      <c r="E9" s="38" t="s">
        <v>1220</v>
      </c>
      <c r="F9" s="39" t="s">
        <v>1221</v>
      </c>
      <c r="G9" s="39">
        <v>3</v>
      </c>
      <c r="H9" s="39"/>
      <c r="I9" s="40" t="s">
        <v>261</v>
      </c>
      <c r="J9" s="41">
        <v>1</v>
      </c>
      <c r="K9" s="41">
        <v>0</v>
      </c>
      <c r="L9" s="41"/>
      <c r="M9" s="42">
        <v>29800</v>
      </c>
      <c r="N9" s="42">
        <v>29800</v>
      </c>
      <c r="O9" s="43">
        <v>0</v>
      </c>
      <c r="P9" s="44">
        <v>29800</v>
      </c>
      <c r="Q9" s="44">
        <v>29800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29800</v>
      </c>
      <c r="AB9" s="51">
        <f t="shared" si="8"/>
        <v>0</v>
      </c>
      <c r="AC9" s="44">
        <f t="shared" si="8"/>
        <v>27902.621722846441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0.24822643794190363</v>
      </c>
      <c r="AG9" s="44">
        <f t="shared" si="10"/>
        <v>0</v>
      </c>
      <c r="AH9" s="52">
        <f>HLOOKUP(I9,ElecAvoidedCostsWOCC!$A$5:$Q$50,T9+1,FALSE)</f>
        <v>0.24822643794190363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 x14ac:dyDescent="0.35">
      <c r="A10" s="54">
        <f>SUM(O5:O994)</f>
        <v>11640361</v>
      </c>
      <c r="B10" s="97" t="s">
        <v>129</v>
      </c>
      <c r="C10" s="98">
        <v>18230723</v>
      </c>
      <c r="D10" s="61" t="s">
        <v>130</v>
      </c>
      <c r="E10" s="38" t="s">
        <v>1222</v>
      </c>
      <c r="F10" s="39" t="s">
        <v>1223</v>
      </c>
      <c r="G10" s="39">
        <v>3</v>
      </c>
      <c r="H10" s="39"/>
      <c r="I10" s="40" t="s">
        <v>261</v>
      </c>
      <c r="J10" s="41">
        <v>1</v>
      </c>
      <c r="K10" s="41">
        <v>0</v>
      </c>
      <c r="L10" s="41"/>
      <c r="M10" s="42">
        <v>20000</v>
      </c>
      <c r="N10" s="42">
        <v>20000</v>
      </c>
      <c r="O10" s="43">
        <v>0</v>
      </c>
      <c r="P10" s="44">
        <v>20000</v>
      </c>
      <c r="Q10" s="44">
        <v>20000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20000</v>
      </c>
      <c r="AB10" s="51">
        <f t="shared" si="8"/>
        <v>0</v>
      </c>
      <c r="AC10" s="44">
        <f t="shared" si="8"/>
        <v>18726.591760299623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0.24822643794190363</v>
      </c>
      <c r="AG10" s="44">
        <f t="shared" si="10"/>
        <v>0</v>
      </c>
      <c r="AH10" s="52">
        <f>HLOOKUP(I10,ElecAvoidedCostsWOCC!$A$5:$Q$50,T10+1,FALSE)</f>
        <v>0.24822643794190363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 x14ac:dyDescent="0.35">
      <c r="A11" s="36" t="s">
        <v>243</v>
      </c>
      <c r="B11" s="97" t="s">
        <v>129</v>
      </c>
      <c r="C11" s="98">
        <v>18230723</v>
      </c>
      <c r="D11" s="61" t="s">
        <v>130</v>
      </c>
      <c r="E11" s="38" t="s">
        <v>1224</v>
      </c>
      <c r="F11" s="39" t="s">
        <v>1225</v>
      </c>
      <c r="G11" s="39">
        <v>3</v>
      </c>
      <c r="H11" s="39"/>
      <c r="I11" s="40" t="s">
        <v>261</v>
      </c>
      <c r="J11" s="41">
        <v>1</v>
      </c>
      <c r="K11" s="41">
        <v>0</v>
      </c>
      <c r="L11" s="41"/>
      <c r="M11" s="42">
        <v>4333</v>
      </c>
      <c r="N11" s="42">
        <v>4333</v>
      </c>
      <c r="O11" s="43">
        <v>0</v>
      </c>
      <c r="P11" s="44">
        <v>4333</v>
      </c>
      <c r="Q11" s="44">
        <v>4333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4333</v>
      </c>
      <c r="AB11" s="51">
        <f t="shared" si="8"/>
        <v>0</v>
      </c>
      <c r="AC11" s="44">
        <f t="shared" si="8"/>
        <v>4057.1161048689137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0.24822643794190363</v>
      </c>
      <c r="AG11" s="44">
        <f t="shared" si="10"/>
        <v>0</v>
      </c>
      <c r="AH11" s="52">
        <f>HLOOKUP(I11,ElecAvoidedCostsWOCC!$A$5:$Q$50,T11+1,FALSE)</f>
        <v>0.24822643794190363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 x14ac:dyDescent="0.35">
      <c r="A12" s="55">
        <f>SUM(P5:P995)</f>
        <v>352831</v>
      </c>
      <c r="B12" s="97" t="s">
        <v>129</v>
      </c>
      <c r="C12" s="98">
        <v>18230723</v>
      </c>
      <c r="D12" s="61" t="s">
        <v>130</v>
      </c>
      <c r="E12" s="38" t="s">
        <v>1226</v>
      </c>
      <c r="F12" s="39" t="s">
        <v>1227</v>
      </c>
      <c r="G12" s="39">
        <v>3</v>
      </c>
      <c r="H12" s="39"/>
      <c r="I12" s="40" t="s">
        <v>261</v>
      </c>
      <c r="J12" s="41">
        <v>1</v>
      </c>
      <c r="K12" s="41">
        <v>0</v>
      </c>
      <c r="L12" s="41"/>
      <c r="M12" s="42">
        <v>3030</v>
      </c>
      <c r="N12" s="42">
        <v>4590</v>
      </c>
      <c r="O12" s="43">
        <v>0</v>
      </c>
      <c r="P12" s="44">
        <v>3030</v>
      </c>
      <c r="Q12" s="44">
        <v>4590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1560</v>
      </c>
      <c r="W12" s="49">
        <f t="shared" si="3"/>
        <v>0</v>
      </c>
      <c r="X12" s="44">
        <f t="shared" si="4"/>
        <v>0</v>
      </c>
      <c r="Y12" s="44">
        <f t="shared" si="5"/>
        <v>1560</v>
      </c>
      <c r="Z12" s="44">
        <f t="shared" si="6"/>
        <v>0</v>
      </c>
      <c r="AA12" s="50">
        <f t="shared" si="7"/>
        <v>4590</v>
      </c>
      <c r="AB12" s="51">
        <f t="shared" si="8"/>
        <v>0</v>
      </c>
      <c r="AC12" s="44">
        <f t="shared" si="8"/>
        <v>4297.7528089887637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0.24822643794190363</v>
      </c>
      <c r="AG12" s="44">
        <f t="shared" si="10"/>
        <v>0</v>
      </c>
      <c r="AH12" s="52">
        <f>HLOOKUP(I12,ElecAvoidedCostsWOCC!$A$5:$Q$50,T12+1,FALSE)</f>
        <v>0.24822643794190363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 x14ac:dyDescent="0.35">
      <c r="A13" s="56" t="s">
        <v>246</v>
      </c>
      <c r="B13" s="97" t="s">
        <v>129</v>
      </c>
      <c r="C13" s="98">
        <v>18230723</v>
      </c>
      <c r="D13" s="61" t="s">
        <v>130</v>
      </c>
      <c r="E13" s="38" t="s">
        <v>1228</v>
      </c>
      <c r="F13" s="39" t="s">
        <v>1229</v>
      </c>
      <c r="G13" s="39">
        <v>3</v>
      </c>
      <c r="H13" s="39"/>
      <c r="I13" s="40" t="s">
        <v>261</v>
      </c>
      <c r="J13" s="41">
        <v>1</v>
      </c>
      <c r="K13" s="41">
        <v>0</v>
      </c>
      <c r="L13" s="41"/>
      <c r="M13" s="42">
        <v>980</v>
      </c>
      <c r="N13" s="42">
        <v>980</v>
      </c>
      <c r="O13" s="43">
        <v>0</v>
      </c>
      <c r="P13" s="44">
        <v>980</v>
      </c>
      <c r="Q13" s="44">
        <v>980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980</v>
      </c>
      <c r="AB13" s="51">
        <f t="shared" si="8"/>
        <v>0</v>
      </c>
      <c r="AC13" s="44">
        <f t="shared" si="8"/>
        <v>917.60299625468156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0.24822643794190363</v>
      </c>
      <c r="AG13" s="44">
        <f t="shared" si="10"/>
        <v>0</v>
      </c>
      <c r="AH13" s="52">
        <f>HLOOKUP(I13,ElecAvoidedCostsWOCC!$A$5:$Q$50,T13+1,FALSE)</f>
        <v>0.24822643794190363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 x14ac:dyDescent="0.35">
      <c r="A14" s="55">
        <f>SUM(Y5:Y995)</f>
        <v>130123</v>
      </c>
      <c r="B14" s="97" t="s">
        <v>129</v>
      </c>
      <c r="C14" s="98">
        <v>18230723</v>
      </c>
      <c r="D14" s="61" t="s">
        <v>130</v>
      </c>
      <c r="E14" s="38" t="s">
        <v>1230</v>
      </c>
      <c r="F14" s="39" t="s">
        <v>1231</v>
      </c>
      <c r="G14" s="39">
        <v>3</v>
      </c>
      <c r="H14" s="39"/>
      <c r="I14" s="40" t="s">
        <v>261</v>
      </c>
      <c r="J14" s="41">
        <v>1</v>
      </c>
      <c r="K14" s="41">
        <v>0</v>
      </c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2434.4569288389512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0.24822643794190363</v>
      </c>
      <c r="AG14" s="44">
        <f t="shared" si="10"/>
        <v>0</v>
      </c>
      <c r="AH14" s="52">
        <f>HLOOKUP(I14,ElecAvoidedCostsWOCC!$A$5:$Q$50,T14+1,FALSE)</f>
        <v>0.24822643794190363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 x14ac:dyDescent="0.35">
      <c r="A15" s="57" t="s">
        <v>249</v>
      </c>
      <c r="B15" s="97" t="s">
        <v>129</v>
      </c>
      <c r="C15" s="98">
        <v>18230723</v>
      </c>
      <c r="D15" s="61" t="s">
        <v>130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SUM(U5:U994)</f>
        <v>2.9999999999999996</v>
      </c>
      <c r="B16" s="97" t="s">
        <v>129</v>
      </c>
      <c r="C16" s="98">
        <v>18230723</v>
      </c>
      <c r="D16" s="61" t="s">
        <v>130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ref="AB16:AC19" si="18">Z16/(1+ElecDiscountRate)^1</f>
        <v>0</v>
      </c>
      <c r="AC16" s="44">
        <f t="shared" si="1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1575204.4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A8+SUM(Q5:Q901)</f>
        <v>1705327.4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 x14ac:dyDescent="0.35">
      <c r="A21" s="58" t="s">
        <v>236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 x14ac:dyDescent="0.35">
      <c r="A22" s="60">
        <f>(SUM(AM5:AM995)/(SUM(AB5:AB995)))</f>
        <v>1.9590648877124961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 x14ac:dyDescent="0.35">
      <c r="A23" s="58" t="s">
        <v>237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 x14ac:dyDescent="0.35">
      <c r="A24" s="60">
        <f>(SUM(AN5:AN995)/SUM(AC5:AC995))</f>
        <v>1.9905388221119615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28 M5:N28">
    <cfRule type="expression" dxfId="217" priority="2">
      <formula>ISTEXT(M5)</formula>
    </cfRule>
  </conditionalFormatting>
  <conditionalFormatting sqref="R5:S28 M5:N28">
    <cfRule type="notContainsBlanks" dxfId="216" priority="3">
      <formula>LEN(TRIM(M5))&gt;0</formula>
    </cfRule>
  </conditionalFormatting>
  <conditionalFormatting sqref="R5:S28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5" sqref="M5:N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18236102</v>
      </c>
      <c r="D2" s="20" t="s">
        <v>510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/>
      <c r="C5" s="98">
        <v>18236102</v>
      </c>
      <c r="D5" s="61" t="s">
        <v>510</v>
      </c>
      <c r="E5" s="38" t="s">
        <v>1232</v>
      </c>
      <c r="F5" s="39" t="s">
        <v>1233</v>
      </c>
      <c r="G5" s="39">
        <v>20</v>
      </c>
      <c r="H5" s="39"/>
      <c r="I5" s="40" t="s">
        <v>261</v>
      </c>
      <c r="J5" s="41">
        <v>1</v>
      </c>
      <c r="K5" s="41">
        <v>0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20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1.3527016272645378</v>
      </c>
      <c r="AG5" s="44">
        <f t="shared" ref="AG5:AG24" si="10">AF5*J5*K5</f>
        <v>0</v>
      </c>
      <c r="AH5" s="52">
        <f>HLOOKUP(I5,ElecAvoidedCostsWOCC!$A$5:$Q$50,T5+1,FALSE)</f>
        <v>1.3527016272645378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261789</v>
      </c>
      <c r="B6" s="97"/>
      <c r="C6" s="98">
        <v>18236102</v>
      </c>
      <c r="D6" s="61" t="s">
        <v>510</v>
      </c>
      <c r="E6" s="38" t="s">
        <v>1232</v>
      </c>
      <c r="F6" s="39" t="s">
        <v>1233</v>
      </c>
      <c r="G6" s="39">
        <v>12</v>
      </c>
      <c r="H6" s="39"/>
      <c r="I6" s="40" t="s">
        <v>261</v>
      </c>
      <c r="J6" s="41">
        <v>1</v>
      </c>
      <c r="K6" s="41">
        <v>137403</v>
      </c>
      <c r="L6" s="41"/>
      <c r="M6" s="42">
        <v>54961</v>
      </c>
      <c r="N6" s="42">
        <v>126411</v>
      </c>
      <c r="O6" s="43">
        <v>137403</v>
      </c>
      <c r="P6" s="44">
        <v>54961</v>
      </c>
      <c r="Q6" s="44">
        <v>126411</v>
      </c>
      <c r="R6" s="45"/>
      <c r="S6" s="46"/>
      <c r="T6" s="39">
        <f t="shared" si="0"/>
        <v>12</v>
      </c>
      <c r="U6" s="47">
        <f t="shared" si="1"/>
        <v>1.5817174036917443</v>
      </c>
      <c r="V6" s="48">
        <f t="shared" si="2"/>
        <v>71450</v>
      </c>
      <c r="W6" s="49">
        <f t="shared" si="3"/>
        <v>0.1318097836409787</v>
      </c>
      <c r="X6" s="44">
        <f t="shared" si="4"/>
        <v>6008.6465265139068</v>
      </c>
      <c r="Y6" s="44">
        <f t="shared" si="5"/>
        <v>71450</v>
      </c>
      <c r="Z6" s="44">
        <f t="shared" si="6"/>
        <v>40514.99797610208</v>
      </c>
      <c r="AA6" s="50">
        <f t="shared" si="7"/>
        <v>132419.64652651391</v>
      </c>
      <c r="AB6" s="51">
        <f t="shared" si="8"/>
        <v>37935.391363391456</v>
      </c>
      <c r="AC6" s="44">
        <f t="shared" si="8"/>
        <v>123988.43307726021</v>
      </c>
      <c r="AD6" s="44">
        <f t="shared" si="9"/>
        <v>0</v>
      </c>
      <c r="AE6" s="44">
        <v>0</v>
      </c>
      <c r="AF6" s="52">
        <f>HLOOKUP(I6,ElecAvoidedCostsWOCC!$A$5:$Q$50,G6+1,FALSE)</f>
        <v>0.8977666142428401</v>
      </c>
      <c r="AG6" s="44">
        <f t="shared" si="10"/>
        <v>123355.82609680896</v>
      </c>
      <c r="AH6" s="52">
        <f>HLOOKUP(I6,ElecAvoidedCostsWOCC!$A$5:$Q$50,T6+1,FALSE)</f>
        <v>0.8977666142428401</v>
      </c>
      <c r="AI6" s="44">
        <f t="shared" si="11"/>
        <v>0</v>
      </c>
      <c r="AJ6" s="44">
        <f t="shared" ref="AJ6:AJ24" si="12">AG6+AI6</f>
        <v>123355.82609680896</v>
      </c>
      <c r="AK6" s="44">
        <f>HLOOKUP(I6,ElecAvoidedCostsWOCC!$A$5:$Q$50,G6+1,FALSE)*J6*L6</f>
        <v>0</v>
      </c>
      <c r="AL6" s="44">
        <f t="shared" ref="AL6:AL24" si="13">AG6+AI6-AK6</f>
        <v>123355.82609680896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123355.82609680896</v>
      </c>
      <c r="AN6" s="48">
        <f t="shared" ref="AN6:AN24" si="14">AM6*1.1+AD6+AE6</f>
        <v>135691.40870648986</v>
      </c>
      <c r="AO6" s="47">
        <f t="shared" ref="AO6:AO24" si="15">IFERROR(AM6/AB6,0)</f>
        <v>3.2517346378519303</v>
      </c>
      <c r="AP6" s="47">
        <f t="shared" ref="AP6:AP24" si="16">AN6/AC6</f>
        <v>1.0943876403530097</v>
      </c>
    </row>
    <row r="7" spans="1:42" ht="13.5" customHeight="1" x14ac:dyDescent="0.35">
      <c r="A7" s="36" t="s">
        <v>240</v>
      </c>
      <c r="B7" s="97"/>
      <c r="C7" s="98">
        <v>18236102</v>
      </c>
      <c r="D7" s="61" t="s">
        <v>510</v>
      </c>
      <c r="E7" s="38" t="s">
        <v>1232</v>
      </c>
      <c r="F7" s="39" t="s">
        <v>1233</v>
      </c>
      <c r="G7" s="39">
        <v>14</v>
      </c>
      <c r="H7" s="39"/>
      <c r="I7" s="40" t="s">
        <v>261</v>
      </c>
      <c r="J7" s="41">
        <v>1</v>
      </c>
      <c r="K7" s="41">
        <v>204522</v>
      </c>
      <c r="L7" s="41"/>
      <c r="M7" s="42">
        <v>71583</v>
      </c>
      <c r="N7" s="42">
        <v>164640</v>
      </c>
      <c r="O7" s="43">
        <v>204522</v>
      </c>
      <c r="P7" s="44">
        <v>71583</v>
      </c>
      <c r="Q7" s="44">
        <v>164640</v>
      </c>
      <c r="R7" s="45"/>
      <c r="S7" s="46"/>
      <c r="T7" s="39">
        <f t="shared" si="0"/>
        <v>14</v>
      </c>
      <c r="U7" s="47">
        <f t="shared" si="1"/>
        <v>2.7467523123766111</v>
      </c>
      <c r="V7" s="48">
        <f t="shared" si="2"/>
        <v>93057</v>
      </c>
      <c r="W7" s="49">
        <f t="shared" si="3"/>
        <v>0.1961965937411865</v>
      </c>
      <c r="X7" s="44">
        <f t="shared" si="4"/>
        <v>8943.7669111713531</v>
      </c>
      <c r="Y7" s="44">
        <f t="shared" si="5"/>
        <v>93057</v>
      </c>
      <c r="Z7" s="44">
        <f t="shared" si="6"/>
        <v>60305.876990082827</v>
      </c>
      <c r="AA7" s="50">
        <f t="shared" si="7"/>
        <v>173583.76691117135</v>
      </c>
      <c r="AB7" s="51">
        <f t="shared" si="8"/>
        <v>56466.176957006392</v>
      </c>
      <c r="AC7" s="44">
        <f t="shared" si="8"/>
        <v>162531.61695802561</v>
      </c>
      <c r="AD7" s="44">
        <f t="shared" si="9"/>
        <v>0</v>
      </c>
      <c r="AE7" s="44">
        <v>0</v>
      </c>
      <c r="AF7" s="52">
        <f>HLOOKUP(I7,ElecAvoidedCostsWOCC!$A$5:$Q$50,G7+1,FALSE)</f>
        <v>1.0197828599856116</v>
      </c>
      <c r="AG7" s="44">
        <f t="shared" si="10"/>
        <v>208568.03008997726</v>
      </c>
      <c r="AH7" s="52">
        <f>HLOOKUP(I7,ElecAvoidedCostsWOCC!$A$5:$Q$50,T7+1,FALSE)</f>
        <v>1.0197828599856116</v>
      </c>
      <c r="AI7" s="44">
        <f t="shared" si="11"/>
        <v>0</v>
      </c>
      <c r="AJ7" s="44">
        <f t="shared" si="12"/>
        <v>208568.03008997726</v>
      </c>
      <c r="AK7" s="44">
        <f>HLOOKUP(I7,ElecAvoidedCostsWOCC!$A$5:$Q$50,G7+1,FALSE)*J7*L7</f>
        <v>0</v>
      </c>
      <c r="AL7" s="44">
        <f t="shared" si="13"/>
        <v>208568.03008997726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208568.03008997726</v>
      </c>
      <c r="AN7" s="48">
        <f t="shared" si="14"/>
        <v>229424.83309897501</v>
      </c>
      <c r="AO7" s="47">
        <f t="shared" si="15"/>
        <v>3.6936807365014621</v>
      </c>
      <c r="AP7" s="47">
        <f t="shared" si="16"/>
        <v>1.4115704832877214</v>
      </c>
    </row>
    <row r="8" spans="1:42" ht="13.5" customHeight="1" x14ac:dyDescent="0.35">
      <c r="A8" s="53">
        <f>SUMIF('Program Costs'!D:D,C2,'Program Costs'!O:O)</f>
        <v>45585.739999999991</v>
      </c>
      <c r="B8" s="97"/>
      <c r="C8" s="98">
        <v>18236102</v>
      </c>
      <c r="D8" s="61" t="s">
        <v>510</v>
      </c>
      <c r="E8" s="38" t="s">
        <v>1232</v>
      </c>
      <c r="F8" s="39" t="s">
        <v>1233</v>
      </c>
      <c r="G8" s="39">
        <v>11</v>
      </c>
      <c r="H8" s="39"/>
      <c r="I8" s="40" t="s">
        <v>261</v>
      </c>
      <c r="J8" s="41">
        <v>1</v>
      </c>
      <c r="K8" s="41">
        <v>220238</v>
      </c>
      <c r="L8" s="41"/>
      <c r="M8" s="42">
        <v>77083</v>
      </c>
      <c r="N8" s="42">
        <v>177291</v>
      </c>
      <c r="O8" s="43">
        <v>220238</v>
      </c>
      <c r="P8" s="44">
        <v>77083</v>
      </c>
      <c r="Q8" s="44">
        <v>177291</v>
      </c>
      <c r="R8" s="45"/>
      <c r="S8" s="46"/>
      <c r="T8" s="39">
        <f t="shared" si="0"/>
        <v>11</v>
      </c>
      <c r="U8" s="47">
        <f t="shared" si="1"/>
        <v>2.3240013276619913</v>
      </c>
      <c r="V8" s="48">
        <f t="shared" si="2"/>
        <v>100208</v>
      </c>
      <c r="W8" s="49">
        <f t="shared" si="3"/>
        <v>0.21127284796927193</v>
      </c>
      <c r="X8" s="44">
        <f t="shared" si="4"/>
        <v>9631.0291165867566</v>
      </c>
      <c r="Y8" s="44">
        <f t="shared" si="5"/>
        <v>100208</v>
      </c>
      <c r="Z8" s="44">
        <f t="shared" si="6"/>
        <v>64939.936713614487</v>
      </c>
      <c r="AA8" s="50">
        <f t="shared" si="7"/>
        <v>186922.02911658675</v>
      </c>
      <c r="AB8" s="51">
        <f t="shared" si="8"/>
        <v>60805.184188777603</v>
      </c>
      <c r="AC8" s="44">
        <f t="shared" si="8"/>
        <v>175020.626513658</v>
      </c>
      <c r="AD8" s="44">
        <f t="shared" si="9"/>
        <v>0</v>
      </c>
      <c r="AE8" s="44">
        <v>0</v>
      </c>
      <c r="AF8" s="52">
        <f>HLOOKUP(I8,ElecAvoidedCostsWOCC!$A$5:$Q$50,G8+1,FALSE)</f>
        <v>0.83173109120009225</v>
      </c>
      <c r="AG8" s="44">
        <f t="shared" si="10"/>
        <v>183178.79206372591</v>
      </c>
      <c r="AH8" s="52">
        <f>HLOOKUP(I8,ElecAvoidedCostsWOCC!$A$5:$Q$50,T8+1,FALSE)</f>
        <v>0.83173109120009225</v>
      </c>
      <c r="AI8" s="44">
        <f t="shared" si="11"/>
        <v>0</v>
      </c>
      <c r="AJ8" s="44">
        <f t="shared" si="12"/>
        <v>183178.79206372591</v>
      </c>
      <c r="AK8" s="44">
        <f>HLOOKUP(I8,ElecAvoidedCostsWOCC!$A$5:$Q$50,G8+1,FALSE)*J8*L8</f>
        <v>0</v>
      </c>
      <c r="AL8" s="44">
        <f t="shared" si="13"/>
        <v>183178.79206372591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183178.79206372591</v>
      </c>
      <c r="AN8" s="48">
        <f t="shared" si="14"/>
        <v>201496.67127009851</v>
      </c>
      <c r="AO8" s="47">
        <f t="shared" si="15"/>
        <v>3.0125522109270078</v>
      </c>
      <c r="AP8" s="47">
        <f t="shared" si="16"/>
        <v>1.15127385430982</v>
      </c>
    </row>
    <row r="9" spans="1:42" ht="13.5" customHeight="1" x14ac:dyDescent="0.35">
      <c r="A9" s="36" t="s">
        <v>242</v>
      </c>
      <c r="B9" s="37"/>
      <c r="C9" s="98">
        <v>18236102</v>
      </c>
      <c r="D9" s="61" t="s">
        <v>510</v>
      </c>
      <c r="E9" s="38" t="s">
        <v>1234</v>
      </c>
      <c r="F9" s="39" t="s">
        <v>1235</v>
      </c>
      <c r="G9" s="39">
        <v>12</v>
      </c>
      <c r="H9" s="39"/>
      <c r="I9" s="40" t="s">
        <v>261</v>
      </c>
      <c r="J9" s="41">
        <v>1</v>
      </c>
      <c r="K9" s="41">
        <v>10024</v>
      </c>
      <c r="L9" s="41"/>
      <c r="M9" s="42">
        <v>3509</v>
      </c>
      <c r="N9" s="42">
        <v>3509</v>
      </c>
      <c r="O9" s="43">
        <v>10024</v>
      </c>
      <c r="P9" s="44">
        <v>3509</v>
      </c>
      <c r="Q9" s="44">
        <v>3509</v>
      </c>
      <c r="R9" s="45"/>
      <c r="S9" s="46"/>
      <c r="T9" s="39">
        <f t="shared" si="0"/>
        <v>12</v>
      </c>
      <c r="U9" s="47">
        <f t="shared" si="1"/>
        <v>0.11539147802163016</v>
      </c>
      <c r="V9" s="48">
        <f t="shared" si="2"/>
        <v>0</v>
      </c>
      <c r="W9" s="49">
        <f t="shared" si="3"/>
        <v>9.6159565018025129E-3</v>
      </c>
      <c r="X9" s="44">
        <f t="shared" si="4"/>
        <v>438.35049294247881</v>
      </c>
      <c r="Y9" s="44">
        <f t="shared" si="5"/>
        <v>0</v>
      </c>
      <c r="Z9" s="44">
        <f t="shared" si="6"/>
        <v>2955.7021295928571</v>
      </c>
      <c r="AA9" s="50">
        <f t="shared" si="7"/>
        <v>3947.3504929424789</v>
      </c>
      <c r="AB9" s="51">
        <f t="shared" si="8"/>
        <v>2767.5113572966825</v>
      </c>
      <c r="AC9" s="44">
        <f t="shared" si="8"/>
        <v>3696.0210608075645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0.8977666142428401</v>
      </c>
      <c r="AG9" s="44">
        <f t="shared" si="10"/>
        <v>8999.2125411702291</v>
      </c>
      <c r="AH9" s="52">
        <f>HLOOKUP(I9,ElecAvoidedCostsWOCC!$A$5:$Q$50,T9+1,FALSE)</f>
        <v>0.8977666142428401</v>
      </c>
      <c r="AI9" s="44">
        <f t="shared" si="11"/>
        <v>0</v>
      </c>
      <c r="AJ9" s="44">
        <f t="shared" si="12"/>
        <v>8999.2125411702291</v>
      </c>
      <c r="AK9" s="44">
        <f>HLOOKUP(I9,ElecAvoidedCostsWOCC!$A$5:$Q$50,G9+1,FALSE)*J9*L9</f>
        <v>0</v>
      </c>
      <c r="AL9" s="44">
        <f t="shared" si="13"/>
        <v>8999.2125411702291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8999.2125411702291</v>
      </c>
      <c r="AN9" s="48">
        <f t="shared" si="14"/>
        <v>9899.1337952872527</v>
      </c>
      <c r="AO9" s="47">
        <f t="shared" si="15"/>
        <v>3.2517346378519294</v>
      </c>
      <c r="AP9" s="47">
        <f t="shared" si="16"/>
        <v>2.6783218040224952</v>
      </c>
    </row>
    <row r="10" spans="1:42" ht="13.5" customHeight="1" x14ac:dyDescent="0.35">
      <c r="A10" s="54">
        <f>SUM(O5:O999)</f>
        <v>1042434</v>
      </c>
      <c r="B10" s="37"/>
      <c r="C10" s="98">
        <v>18236102</v>
      </c>
      <c r="D10" s="61" t="s">
        <v>510</v>
      </c>
      <c r="E10" s="38" t="s">
        <v>1234</v>
      </c>
      <c r="F10" s="39" t="s">
        <v>1235</v>
      </c>
      <c r="G10" s="39">
        <v>15</v>
      </c>
      <c r="H10" s="39"/>
      <c r="I10" s="40" t="s">
        <v>261</v>
      </c>
      <c r="J10" s="41">
        <v>1</v>
      </c>
      <c r="K10" s="41">
        <v>52632</v>
      </c>
      <c r="L10" s="41"/>
      <c r="M10" s="42">
        <v>15789</v>
      </c>
      <c r="N10" s="42">
        <v>36316</v>
      </c>
      <c r="O10" s="43">
        <v>52632</v>
      </c>
      <c r="P10" s="44">
        <v>15789</v>
      </c>
      <c r="Q10" s="44">
        <v>36316</v>
      </c>
      <c r="R10" s="45"/>
      <c r="S10" s="46"/>
      <c r="T10" s="39">
        <f t="shared" si="0"/>
        <v>15</v>
      </c>
      <c r="U10" s="47">
        <f t="shared" si="1"/>
        <v>0.75734291091810135</v>
      </c>
      <c r="V10" s="48">
        <f t="shared" si="2"/>
        <v>20527</v>
      </c>
      <c r="W10" s="49">
        <f t="shared" si="3"/>
        <v>5.0489527394540087E-2</v>
      </c>
      <c r="X10" s="44">
        <f t="shared" si="4"/>
        <v>2301.6024685303814</v>
      </c>
      <c r="Y10" s="44">
        <f t="shared" si="5"/>
        <v>20527</v>
      </c>
      <c r="Z10" s="44">
        <f t="shared" si="6"/>
        <v>15519.205355619637</v>
      </c>
      <c r="AA10" s="50">
        <f t="shared" si="7"/>
        <v>38617.602468530378</v>
      </c>
      <c r="AB10" s="51">
        <f t="shared" si="8"/>
        <v>14531.091156947225</v>
      </c>
      <c r="AC10" s="44">
        <f t="shared" si="8"/>
        <v>36158.803809485369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1.0763668537425979</v>
      </c>
      <c r="AG10" s="44">
        <f t="shared" si="10"/>
        <v>56651.340246180414</v>
      </c>
      <c r="AH10" s="52">
        <f>HLOOKUP(I10,ElecAvoidedCostsWOCC!$A$5:$Q$50,T10+1,FALSE)</f>
        <v>1.0763668537425979</v>
      </c>
      <c r="AI10" s="44">
        <f t="shared" si="11"/>
        <v>0</v>
      </c>
      <c r="AJ10" s="44">
        <f t="shared" si="12"/>
        <v>56651.340246180414</v>
      </c>
      <c r="AK10" s="44">
        <f>HLOOKUP(I10,ElecAvoidedCostsWOCC!$A$5:$Q$50,G10+1,FALSE)*J10*L10</f>
        <v>0</v>
      </c>
      <c r="AL10" s="44">
        <f t="shared" si="13"/>
        <v>56651.340246180414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56651.340246180414</v>
      </c>
      <c r="AN10" s="48">
        <f t="shared" si="14"/>
        <v>62316.474270798462</v>
      </c>
      <c r="AO10" s="47">
        <f t="shared" si="15"/>
        <v>3.8986294720954771</v>
      </c>
      <c r="AP10" s="47">
        <f t="shared" si="16"/>
        <v>1.7234108351352948</v>
      </c>
    </row>
    <row r="11" spans="1:42" ht="13.5" customHeight="1" x14ac:dyDescent="0.35">
      <c r="A11" s="36" t="s">
        <v>243</v>
      </c>
      <c r="B11" s="37"/>
      <c r="C11" s="98">
        <v>18236102</v>
      </c>
      <c r="D11" s="61" t="s">
        <v>510</v>
      </c>
      <c r="E11" s="38" t="s">
        <v>1234</v>
      </c>
      <c r="F11" s="39" t="s">
        <v>1235</v>
      </c>
      <c r="G11" s="39">
        <v>11</v>
      </c>
      <c r="H11" s="39"/>
      <c r="I11" s="40" t="s">
        <v>261</v>
      </c>
      <c r="J11" s="41">
        <v>1</v>
      </c>
      <c r="K11" s="41">
        <v>59947</v>
      </c>
      <c r="L11" s="41"/>
      <c r="M11" s="42">
        <v>20981</v>
      </c>
      <c r="N11" s="42">
        <v>48256</v>
      </c>
      <c r="O11" s="43">
        <v>59947</v>
      </c>
      <c r="P11" s="44">
        <v>20981</v>
      </c>
      <c r="Q11" s="44">
        <v>48256</v>
      </c>
      <c r="R11" s="45"/>
      <c r="S11" s="46"/>
      <c r="T11" s="39">
        <f t="shared" si="0"/>
        <v>11</v>
      </c>
      <c r="U11" s="47">
        <f t="shared" si="1"/>
        <v>0.63257434043785987</v>
      </c>
      <c r="V11" s="48">
        <f t="shared" si="2"/>
        <v>27275</v>
      </c>
      <c r="W11" s="49">
        <f t="shared" si="3"/>
        <v>5.750675822162362E-2</v>
      </c>
      <c r="X11" s="44">
        <f t="shared" si="4"/>
        <v>2621.488128533796</v>
      </c>
      <c r="Y11" s="44">
        <f t="shared" si="5"/>
        <v>27275</v>
      </c>
      <c r="Z11" s="44">
        <f t="shared" si="6"/>
        <v>17676.12485661442</v>
      </c>
      <c r="AA11" s="50">
        <f t="shared" si="7"/>
        <v>50877.488128533798</v>
      </c>
      <c r="AB11" s="51">
        <f t="shared" si="8"/>
        <v>16550.67870469515</v>
      </c>
      <c r="AC11" s="44">
        <f t="shared" si="8"/>
        <v>47638.097498627147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0.83173109120009225</v>
      </c>
      <c r="AG11" s="44">
        <f t="shared" si="10"/>
        <v>49859.783724171932</v>
      </c>
      <c r="AH11" s="52">
        <f>HLOOKUP(I11,ElecAvoidedCostsWOCC!$A$5:$Q$50,T11+1,FALSE)</f>
        <v>0.83173109120009225</v>
      </c>
      <c r="AI11" s="44">
        <f t="shared" si="11"/>
        <v>0</v>
      </c>
      <c r="AJ11" s="44">
        <f t="shared" si="12"/>
        <v>49859.783724171932</v>
      </c>
      <c r="AK11" s="44">
        <f>HLOOKUP(I11,ElecAvoidedCostsWOCC!$A$5:$Q$50,G11+1,FALSE)*J11*L11</f>
        <v>0</v>
      </c>
      <c r="AL11" s="44">
        <f t="shared" si="13"/>
        <v>49859.783724171932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49859.783724171932</v>
      </c>
      <c r="AN11" s="48">
        <f t="shared" si="14"/>
        <v>54845.762096589133</v>
      </c>
      <c r="AO11" s="47">
        <f t="shared" si="15"/>
        <v>3.0125522109270086</v>
      </c>
      <c r="AP11" s="47">
        <f t="shared" si="16"/>
        <v>1.1513004292031122</v>
      </c>
    </row>
    <row r="12" spans="1:42" ht="13.5" customHeight="1" x14ac:dyDescent="0.35">
      <c r="A12" s="55">
        <f>SUM(P5:P1000)</f>
        <v>261789</v>
      </c>
      <c r="B12" s="37"/>
      <c r="C12" s="98">
        <v>18236102</v>
      </c>
      <c r="D12" s="61" t="s">
        <v>510</v>
      </c>
      <c r="E12" s="38" t="s">
        <v>1236</v>
      </c>
      <c r="F12" s="39" t="s">
        <v>1237</v>
      </c>
      <c r="G12" s="39">
        <v>1</v>
      </c>
      <c r="H12" s="39"/>
      <c r="I12" s="40" t="s">
        <v>261</v>
      </c>
      <c r="J12" s="41">
        <v>1</v>
      </c>
      <c r="K12" s="41">
        <v>357668</v>
      </c>
      <c r="L12" s="41"/>
      <c r="M12" s="42">
        <v>17883</v>
      </c>
      <c r="N12" s="42">
        <v>41132</v>
      </c>
      <c r="O12" s="43">
        <v>357668</v>
      </c>
      <c r="P12" s="44">
        <v>17883</v>
      </c>
      <c r="Q12" s="44">
        <v>41132</v>
      </c>
      <c r="R12" s="45"/>
      <c r="S12" s="46"/>
      <c r="T12" s="39">
        <f t="shared" si="0"/>
        <v>1</v>
      </c>
      <c r="U12" s="47">
        <f t="shared" si="1"/>
        <v>0.34310853253059664</v>
      </c>
      <c r="V12" s="48">
        <f t="shared" si="2"/>
        <v>23249</v>
      </c>
      <c r="W12" s="49">
        <f t="shared" si="3"/>
        <v>0.34310853253059664</v>
      </c>
      <c r="X12" s="44">
        <f t="shared" si="4"/>
        <v>15640.856355721318</v>
      </c>
      <c r="Y12" s="44">
        <f t="shared" si="5"/>
        <v>23249</v>
      </c>
      <c r="Z12" s="44">
        <f t="shared" si="6"/>
        <v>105462.89597837368</v>
      </c>
      <c r="AA12" s="50">
        <f t="shared" si="7"/>
        <v>56772.85635572132</v>
      </c>
      <c r="AB12" s="51">
        <f t="shared" si="8"/>
        <v>98748.029942297449</v>
      </c>
      <c r="AC12" s="44">
        <f t="shared" si="8"/>
        <v>53158.105201986255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8.6162095399484051E-2</v>
      </c>
      <c r="AG12" s="44">
        <f t="shared" si="10"/>
        <v>30817.424337342662</v>
      </c>
      <c r="AH12" s="52">
        <f>HLOOKUP(I12,ElecAvoidedCostsWOCC!$A$5:$Q$50,T12+1,FALSE)</f>
        <v>8.6162095399484051E-2</v>
      </c>
      <c r="AI12" s="44">
        <f t="shared" si="11"/>
        <v>0</v>
      </c>
      <c r="AJ12" s="44">
        <f t="shared" si="12"/>
        <v>30817.424337342662</v>
      </c>
      <c r="AK12" s="44">
        <f>HLOOKUP(I12,ElecAvoidedCostsWOCC!$A$5:$Q$50,G12+1,FALSE)*J12*L12</f>
        <v>0</v>
      </c>
      <c r="AL12" s="44">
        <f t="shared" si="13"/>
        <v>30817.424337342662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30817.424337342662</v>
      </c>
      <c r="AN12" s="48">
        <f t="shared" si="14"/>
        <v>33899.166771076932</v>
      </c>
      <c r="AO12" s="47">
        <f t="shared" si="15"/>
        <v>0.31208140917191518</v>
      </c>
      <c r="AP12" s="47">
        <f t="shared" si="16"/>
        <v>0.63770457284490056</v>
      </c>
    </row>
    <row r="13" spans="1:42" ht="13.5" customHeight="1" x14ac:dyDescent="0.35">
      <c r="A13" s="56" t="s">
        <v>246</v>
      </c>
      <c r="B13" s="37"/>
      <c r="C13" s="98">
        <v>18236102</v>
      </c>
      <c r="D13" s="61" t="s">
        <v>510</v>
      </c>
      <c r="E13" s="38" t="s">
        <v>1236</v>
      </c>
      <c r="F13" s="39" t="s">
        <v>1237</v>
      </c>
      <c r="G13" s="39">
        <v>1</v>
      </c>
      <c r="H13" s="39"/>
      <c r="I13" s="40" t="s">
        <v>261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8.6162095399484051E-2</v>
      </c>
      <c r="AG13" s="44">
        <f t="shared" si="10"/>
        <v>0</v>
      </c>
      <c r="AH13" s="52">
        <f>HLOOKUP(I13,ElecAvoidedCostsWOCC!$A$5:$Q$50,T13+1,FALSE)</f>
        <v>8.6162095399484051E-2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335766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8.5008883056385329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307374.74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643140.74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(SUM(AM5:AM110)/(SUM(AB5:AB110)))</f>
        <v>2.298196907521207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(SUM(AN5:AN110)/SUM(AC5:AC110))</f>
        <v>1.2082090221962125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70" zoomScaleNormal="70" workbookViewId="0">
      <selection activeCell="C25" sqref="C25"/>
    </sheetView>
  </sheetViews>
  <sheetFormatPr defaultColWidth="9.1796875" defaultRowHeight="14.5" x14ac:dyDescent="0.35"/>
  <cols>
    <col min="1" max="1" width="16.453125" style="102" customWidth="1"/>
    <col min="2" max="2" width="14.54296875" style="248" customWidth="1"/>
    <col min="3" max="3" width="41.453125" style="248" customWidth="1"/>
    <col min="4" max="4" width="41.453125" style="248" hidden="1" customWidth="1"/>
    <col min="5" max="5" width="14.453125" style="248" hidden="1" customWidth="1"/>
    <col min="6" max="6" width="13.54296875" style="248" customWidth="1"/>
    <col min="7" max="7" width="20.1796875" style="248" customWidth="1"/>
    <col min="8" max="8" width="16.453125" style="248" customWidth="1"/>
    <col min="9" max="9" width="20.1796875" style="248" customWidth="1"/>
    <col min="10" max="10" width="15.453125" style="248" customWidth="1"/>
    <col min="11" max="11" width="14.54296875" style="248" customWidth="1"/>
    <col min="12" max="12" width="16.453125" style="248" customWidth="1"/>
    <col min="13" max="13" width="15" style="248" hidden="1" customWidth="1"/>
    <col min="14" max="14" width="16.54296875" style="248" customWidth="1"/>
    <col min="15" max="15" width="16.453125" style="248" customWidth="1"/>
    <col min="16" max="16" width="17.1796875" style="248" hidden="1" customWidth="1"/>
    <col min="17" max="17" width="20" style="248" customWidth="1"/>
    <col min="18" max="18" width="20.54296875" style="248" customWidth="1"/>
    <col min="19" max="19" width="17.453125" style="248" customWidth="1"/>
    <col min="20" max="20" width="19.54296875" style="389" customWidth="1"/>
    <col min="21" max="21" width="16.1796875" style="248" customWidth="1"/>
    <col min="22" max="22" width="17.54296875" style="248" customWidth="1"/>
    <col min="23" max="23" width="4.1796875" style="102" customWidth="1"/>
    <col min="24" max="27" width="16.7265625" style="106" customWidth="1"/>
    <col min="28" max="916" width="9.1796875" style="106"/>
    <col min="917" max="16384" width="9.1796875" style="248"/>
  </cols>
  <sheetData>
    <row r="1" spans="1:916" s="277" customFormat="1" x14ac:dyDescent="0.35">
      <c r="A1" s="106"/>
      <c r="B1" s="103" t="s">
        <v>2203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 ht="14" x14ac:dyDescent="0.3">
      <c r="A2" s="17"/>
      <c r="B2" s="278" t="s">
        <v>332</v>
      </c>
      <c r="C2" s="279">
        <f>GasDiscountRate</f>
        <v>6.8000000000000005E-2</v>
      </c>
      <c r="D2" s="279"/>
      <c r="E2" s="280"/>
      <c r="F2" s="112" t="s">
        <v>333</v>
      </c>
      <c r="G2" s="113" t="s">
        <v>334</v>
      </c>
      <c r="H2" s="113" t="s">
        <v>333</v>
      </c>
      <c r="I2" s="113" t="s">
        <v>333</v>
      </c>
      <c r="J2" s="113" t="s">
        <v>333</v>
      </c>
      <c r="K2" s="113" t="s">
        <v>333</v>
      </c>
      <c r="L2" s="113" t="s">
        <v>333</v>
      </c>
      <c r="M2" s="113" t="s">
        <v>333</v>
      </c>
      <c r="N2" s="113" t="s">
        <v>333</v>
      </c>
      <c r="O2" s="113" t="s">
        <v>333</v>
      </c>
      <c r="P2" s="114" t="s">
        <v>333</v>
      </c>
      <c r="Q2" s="115" t="s">
        <v>335</v>
      </c>
      <c r="R2" s="115" t="s">
        <v>335</v>
      </c>
      <c r="S2" s="113" t="s">
        <v>333</v>
      </c>
      <c r="T2" s="113" t="s">
        <v>336</v>
      </c>
      <c r="U2" s="115" t="s">
        <v>335</v>
      </c>
      <c r="V2" s="115" t="s">
        <v>335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 x14ac:dyDescent="0.3">
      <c r="A3" s="230"/>
      <c r="B3" s="283" t="s">
        <v>435</v>
      </c>
      <c r="C3" s="283" t="s">
        <v>338</v>
      </c>
      <c r="D3" s="283" t="s">
        <v>339</v>
      </c>
      <c r="E3" s="283" t="s">
        <v>436</v>
      </c>
      <c r="F3" s="283" t="s">
        <v>340</v>
      </c>
      <c r="G3" s="283" t="s">
        <v>341</v>
      </c>
      <c r="H3" s="283" t="s">
        <v>437</v>
      </c>
      <c r="I3" s="283" t="s">
        <v>343</v>
      </c>
      <c r="J3" s="283" t="s">
        <v>438</v>
      </c>
      <c r="K3" s="283" t="s">
        <v>439</v>
      </c>
      <c r="L3" s="283" t="s">
        <v>440</v>
      </c>
      <c r="M3" s="283" t="s">
        <v>347</v>
      </c>
      <c r="N3" s="283" t="s">
        <v>441</v>
      </c>
      <c r="O3" s="283" t="s">
        <v>442</v>
      </c>
      <c r="P3" s="283" t="s">
        <v>541</v>
      </c>
      <c r="Q3" s="283" t="s">
        <v>443</v>
      </c>
      <c r="R3" s="283" t="s">
        <v>444</v>
      </c>
      <c r="S3" s="283" t="s">
        <v>445</v>
      </c>
      <c r="T3" s="284" t="s">
        <v>540</v>
      </c>
      <c r="U3" s="283" t="s">
        <v>353</v>
      </c>
      <c r="V3" s="283" t="s">
        <v>354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 x14ac:dyDescent="0.2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5" customHeight="1" x14ac:dyDescent="0.35">
      <c r="A5" s="541" t="s">
        <v>357</v>
      </c>
      <c r="B5" s="291" t="s">
        <v>446</v>
      </c>
      <c r="C5" s="292" t="s">
        <v>359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366</v>
      </c>
      <c r="U5" s="300"/>
      <c r="V5" s="300"/>
      <c r="W5" s="230"/>
      <c r="X5" s="239" t="s">
        <v>180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5" x14ac:dyDescent="0.25">
      <c r="A6" s="541"/>
      <c r="B6" s="302" t="s">
        <v>447</v>
      </c>
      <c r="C6" s="131" t="s">
        <v>466</v>
      </c>
      <c r="D6" s="131"/>
      <c r="E6" s="303"/>
      <c r="F6" s="144">
        <f>'G201 LIW {G}'!A16</f>
        <v>28.533725720076411</v>
      </c>
      <c r="G6" s="304" t="s">
        <v>368</v>
      </c>
      <c r="H6" s="258">
        <f>'G201 LIW {G}'!A$10</f>
        <v>27669.98</v>
      </c>
      <c r="I6" s="259">
        <f>'G201 LIW {G}'!A$8</f>
        <v>71714.300000000047</v>
      </c>
      <c r="J6" s="259">
        <f>'G201 LIW {G}'!A$12</f>
        <v>1282467.5</v>
      </c>
      <c r="K6" s="259">
        <f>'G201 LIW {G}'!A$14</f>
        <v>383620.14999999997</v>
      </c>
      <c r="L6" s="259">
        <f>SUM('G201 LIW {G}'!Q$6:Q$998)</f>
        <v>1666087.6500000001</v>
      </c>
      <c r="M6" s="259"/>
      <c r="N6" s="260">
        <f>'G201 LIW {G}'!A$18</f>
        <v>1354181.8</v>
      </c>
      <c r="O6" s="259">
        <f>'G201 LIW {G}'!A$20</f>
        <v>1737801.9500000002</v>
      </c>
      <c r="P6" s="259">
        <f>SUM('G201 LIW {G}'!R$6:R$998)</f>
        <v>170.23</v>
      </c>
      <c r="Q6" s="266">
        <f t="shared" ref="Q6:Q20" si="0">N6/(1+ElecDiscountRate)^1</f>
        <v>1267960.4868913856</v>
      </c>
      <c r="R6" s="266">
        <f>O6/(1+ElecDiscountRate)^1</f>
        <v>1627155.3838951311</v>
      </c>
      <c r="S6" s="259">
        <f>SUM('G201 LIW {G}'!AM$6:AM$998)</f>
        <v>497128.30162983708</v>
      </c>
      <c r="T6" s="259">
        <f>SUM('G201 LIW {G}'!AD$6:AD$998)</f>
        <v>313832.91040070547</v>
      </c>
      <c r="U6" s="133">
        <f>IFERROR(S6/Q6,0)</f>
        <v>0.39206923777934843</v>
      </c>
      <c r="V6" s="133">
        <f>IFERROR(((S6*1.1)+(T6))/R6,0)</f>
        <v>0.52894397837606655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 x14ac:dyDescent="0.35">
      <c r="A7" s="285"/>
      <c r="B7" s="305" t="s">
        <v>33</v>
      </c>
      <c r="C7" s="503" t="s">
        <v>369</v>
      </c>
      <c r="D7" s="306"/>
      <c r="E7" s="307"/>
      <c r="F7" s="306"/>
      <c r="G7" s="306"/>
      <c r="H7" s="262">
        <f>SUM(H8:H16)</f>
        <v>2647911.5799999936</v>
      </c>
      <c r="I7" s="262">
        <f>SUM(I8:I16)</f>
        <v>1739272.2999999998</v>
      </c>
      <c r="J7" s="262">
        <f t="shared" ref="J7:P7" si="1">SUM(J8:J16)</f>
        <v>7537728.629999999</v>
      </c>
      <c r="K7" s="262">
        <f t="shared" si="1"/>
        <v>9978040.7699999996</v>
      </c>
      <c r="L7" s="262">
        <f t="shared" si="1"/>
        <v>17515769.399999999</v>
      </c>
      <c r="M7" s="262">
        <f t="shared" si="1"/>
        <v>0</v>
      </c>
      <c r="N7" s="262">
        <f t="shared" si="1"/>
        <v>9312876.0399999991</v>
      </c>
      <c r="O7" s="262">
        <f t="shared" si="1"/>
        <v>19255041.699999999</v>
      </c>
      <c r="P7" s="262">
        <f t="shared" si="1"/>
        <v>670.10349999999994</v>
      </c>
      <c r="Q7" s="263">
        <f t="shared" si="0"/>
        <v>8719921.3857677896</v>
      </c>
      <c r="R7" s="263">
        <f>O7/(1+ElecDiscountRate)^1</f>
        <v>18029065.262172282</v>
      </c>
      <c r="S7" s="262">
        <f>SUM(S8:S16)</f>
        <v>18811595.990216669</v>
      </c>
      <c r="T7" s="262">
        <f>SUM(T8:T16)</f>
        <v>3532853.9570566798</v>
      </c>
      <c r="U7" s="142">
        <f>S7/Q7</f>
        <v>2.1573125671660294</v>
      </c>
      <c r="V7" s="142">
        <f>((S7*1.1)+(T7))/R7</f>
        <v>1.3436974792655516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" x14ac:dyDescent="0.3">
      <c r="A8" s="308"/>
      <c r="B8" s="309" t="s">
        <v>33</v>
      </c>
      <c r="C8" s="146" t="s">
        <v>372</v>
      </c>
      <c r="D8" s="174"/>
      <c r="E8" s="310"/>
      <c r="F8" s="144">
        <f>'SF Existing Space Heat {G}'!A$16</f>
        <v>20</v>
      </c>
      <c r="G8" s="145" t="s">
        <v>368</v>
      </c>
      <c r="H8" s="258">
        <f>'SF Existing Space Heat {G}'!A$10</f>
        <v>501557.74999999313</v>
      </c>
      <c r="I8" s="259">
        <f>'SF Existing Space Heat {G}'!A$8</f>
        <v>289242.48</v>
      </c>
      <c r="J8" s="259">
        <f>'SF Existing Space Heat {G}'!A$12</f>
        <v>3053200</v>
      </c>
      <c r="K8" s="259">
        <f>'SF Existing Space Heat {G}'!A$14</f>
        <v>3081148</v>
      </c>
      <c r="L8" s="259">
        <f>SUM('SF Existing Space Heat {G}'!Q$5:Q$1000)</f>
        <v>6134348</v>
      </c>
      <c r="M8" s="259"/>
      <c r="N8" s="260">
        <f>'SF Existing Space Heat {G}'!A$18</f>
        <v>3343842.48</v>
      </c>
      <c r="O8" s="259">
        <f>'SF Existing Space Heat {G}'!A$20</f>
        <v>6423590.4800000004</v>
      </c>
      <c r="P8" s="259">
        <f>SUM('SF Existing Space Heat {G}'!R$5:R$1000)</f>
        <v>145.2696</v>
      </c>
      <c r="Q8" s="261">
        <f t="shared" si="0"/>
        <v>3130938.6516853929</v>
      </c>
      <c r="R8" s="261">
        <f>O8/(1+ElecDiscountRate)^1</f>
        <v>6014597.8277153559</v>
      </c>
      <c r="S8" s="259">
        <f>SUM('SF Existing Space Heat {G}'!AM$5:AM$1000)</f>
        <v>6878242.3233665833</v>
      </c>
      <c r="T8" s="259">
        <f>SUM('SF Existing Space Heat {G}'!AD$5:AD$1000)</f>
        <v>1254696.4750121871</v>
      </c>
      <c r="U8" s="133">
        <f t="shared" ref="U8:U20" si="2">IFERROR(S8/Q8,0)</f>
        <v>2.1968626947270291</v>
      </c>
      <c r="V8" s="133">
        <f t="shared" ref="V8:V20" si="3">IFERROR(((S8*1.1)+(T8))/R8,0)</f>
        <v>1.4665590756657449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 x14ac:dyDescent="0.35">
      <c r="B9" s="309" t="s">
        <v>33</v>
      </c>
      <c r="C9" s="510" t="s">
        <v>373</v>
      </c>
      <c r="D9" s="131"/>
      <c r="E9" s="311"/>
      <c r="F9" s="144">
        <f>'SF Existing Water Heat {G}'!A$16</f>
        <v>20.272756823877803</v>
      </c>
      <c r="G9" s="312" t="s">
        <v>270</v>
      </c>
      <c r="H9" s="258">
        <f>'SF Existing Water Heat {G}'!A$10</f>
        <v>55373.940000000395</v>
      </c>
      <c r="I9" s="259">
        <f>'SF Existing Water Heat {G}'!A$8</f>
        <v>109562.40999999997</v>
      </c>
      <c r="J9" s="259">
        <f>'SF Existing Water Heat {G}'!A$12</f>
        <v>255800</v>
      </c>
      <c r="K9" s="259">
        <f>'SF Existing Water Heat {G}'!A$14</f>
        <v>420292.62</v>
      </c>
      <c r="L9" s="259">
        <f>SUM('SF Existing Water Heat {G}'!Q$5:Q$1000)</f>
        <v>676092.62</v>
      </c>
      <c r="M9" s="259"/>
      <c r="N9" s="260">
        <f>'SF Existing Water Heat {G}'!A$18</f>
        <v>364862.41</v>
      </c>
      <c r="O9" s="259">
        <f>'SF Existing Water Heat {G}'!A$20</f>
        <v>785655.03</v>
      </c>
      <c r="P9" s="259">
        <f>SUM('SF Existing Water Heat {G}'!R$5:R$1000)</f>
        <v>90.561499999999995</v>
      </c>
      <c r="Q9" s="261">
        <f t="shared" si="0"/>
        <v>341631.47003745317</v>
      </c>
      <c r="R9" s="261">
        <f t="shared" ref="R9:R20" si="4">O9/(1+ElecDiscountRate)^1</f>
        <v>735632.05056179769</v>
      </c>
      <c r="S9" s="259">
        <f>SUM('SF Existing Water Heat {G}'!AM$5:AM$1000)</f>
        <v>720090.03985976195</v>
      </c>
      <c r="T9" s="259">
        <f>SUM('SF Existing Water Heat {G}'!AD$5:AD$1000)</f>
        <v>178611.82848110003</v>
      </c>
      <c r="U9" s="133">
        <f t="shared" si="2"/>
        <v>2.1077977382494013</v>
      </c>
      <c r="V9" s="133">
        <f t="shared" si="3"/>
        <v>1.3195603312627722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5" x14ac:dyDescent="0.25">
      <c r="B10" s="309" t="s">
        <v>33</v>
      </c>
      <c r="C10" s="146" t="s">
        <v>374</v>
      </c>
      <c r="D10" s="174"/>
      <c r="E10" s="311"/>
      <c r="F10" s="144">
        <v>0</v>
      </c>
      <c r="G10" s="304" t="s">
        <v>368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5" x14ac:dyDescent="0.25">
      <c r="B11" s="309" t="s">
        <v>33</v>
      </c>
      <c r="C11" s="146" t="s">
        <v>375</v>
      </c>
      <c r="D11" s="174"/>
      <c r="E11" s="310"/>
      <c r="F11" s="144">
        <f>'Home Appliances {G}'!A$16</f>
        <v>13.999999999999998</v>
      </c>
      <c r="G11" s="304" t="s">
        <v>368</v>
      </c>
      <c r="H11" s="258">
        <f>'Home Appliances {G}'!A$10</f>
        <v>4487.6000000000804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77.36999999999999</v>
      </c>
      <c r="Q11" s="261">
        <f t="shared" si="0"/>
        <v>0</v>
      </c>
      <c r="R11" s="261">
        <f t="shared" si="4"/>
        <v>0</v>
      </c>
      <c r="S11" s="259">
        <f>SUM('Home Appliances {G}'!AM$5:AM$1000)</f>
        <v>43092.348778544561</v>
      </c>
      <c r="T11" s="259">
        <f>SUM('Home Appliances {G}'!AD$5:AD$1000)</f>
        <v>304162.65680172393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5" x14ac:dyDescent="0.25">
      <c r="B12" s="309" t="s">
        <v>33</v>
      </c>
      <c r="C12" s="146" t="s">
        <v>448</v>
      </c>
      <c r="D12" s="174"/>
      <c r="E12" s="310"/>
      <c r="F12" s="144">
        <f>'Web Enabled Thermostats {G}'!A$16</f>
        <v>11</v>
      </c>
      <c r="G12" s="304" t="s">
        <v>368</v>
      </c>
      <c r="H12" s="258">
        <f>'Web Enabled Thermostats {G}'!A$10</f>
        <v>351351</v>
      </c>
      <c r="I12" s="259">
        <f>'Web Enabled Thermostats {G}'!A$8</f>
        <v>400279.14999999991</v>
      </c>
      <c r="J12" s="259">
        <f>'Web Enabled Thermostats {G}'!A$12</f>
        <v>1125929.97</v>
      </c>
      <c r="K12" s="259">
        <f>'Web Enabled Thermostats {G}'!A$14</f>
        <v>886353.03</v>
      </c>
      <c r="L12" s="259">
        <f>SUM('Web Enabled Thermostats {G}'!Q$5:Q$1000)</f>
        <v>2012283</v>
      </c>
      <c r="M12" s="259"/>
      <c r="N12" s="260">
        <f>'Web Enabled Thermostats {G}'!A$18</f>
        <v>1556488.13</v>
      </c>
      <c r="O12" s="259">
        <f>'Web Enabled Thermostats {G}'!A$20</f>
        <v>2412562.15</v>
      </c>
      <c r="P12" s="259">
        <f>SUM('Web Enabled Thermostats {G}'!R$5:R$1000)</f>
        <v>48.607999999999997</v>
      </c>
      <c r="Q12" s="261">
        <f t="shared" si="0"/>
        <v>1457385.8895131084</v>
      </c>
      <c r="R12" s="261">
        <f t="shared" si="4"/>
        <v>2258953.323970037</v>
      </c>
      <c r="S12" s="259">
        <f>SUM('Web Enabled Thermostats {G}'!AM$5:AM$1000)</f>
        <v>2944836.8915882651</v>
      </c>
      <c r="T12" s="259">
        <f>SUM('Web Enabled Thermostats {G}'!AD$5:AD$1000)</f>
        <v>432213.36865508062</v>
      </c>
      <c r="U12" s="133">
        <f t="shared" si="2"/>
        <v>2.0206294796583304</v>
      </c>
      <c r="V12" s="133">
        <f t="shared" si="3"/>
        <v>1.6253252824850628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 x14ac:dyDescent="0.35">
      <c r="B13" s="309" t="s">
        <v>33</v>
      </c>
      <c r="C13" s="146" t="s">
        <v>378</v>
      </c>
      <c r="D13" s="174"/>
      <c r="E13" s="310"/>
      <c r="F13" s="144">
        <f>'Residential Showerheads {G}'!A$16</f>
        <v>10</v>
      </c>
      <c r="G13" s="312" t="s">
        <v>449</v>
      </c>
      <c r="H13" s="258">
        <f>'Residential Showerheads {G}'!A$10</f>
        <v>16.8</v>
      </c>
      <c r="I13" s="259">
        <f>'Residential Showerheads {G}'!A$8</f>
        <v>-15439.039999999999</v>
      </c>
      <c r="J13" s="259">
        <f>'Residential Showerheads {G}'!A$12</f>
        <v>57</v>
      </c>
      <c r="K13" s="259">
        <f>'Residential Showerheads {G}'!A$14</f>
        <v>144.60000000000002</v>
      </c>
      <c r="L13" s="259">
        <f>SUM('Residential Showerheads {G}'!Q$5:Q$1000)</f>
        <v>201.60000000000002</v>
      </c>
      <c r="M13" s="259"/>
      <c r="N13" s="260">
        <f>'Residential Showerheads {G}'!A$18</f>
        <v>1030.2399999999998</v>
      </c>
      <c r="O13" s="259">
        <f>'Residential Showerheads {G}'!A$20</f>
        <v>-15237.439999999999</v>
      </c>
      <c r="P13" s="259">
        <f>SUM('Residential Showerheads {G}'!R$5:R$1000)</f>
        <v>7.44</v>
      </c>
      <c r="Q13" s="261">
        <f t="shared" si="0"/>
        <v>964.64419475655404</v>
      </c>
      <c r="R13" s="261">
        <f t="shared" si="4"/>
        <v>-14267.265917602994</v>
      </c>
      <c r="S13" s="259">
        <f>SUM('Residential Showerheads {G}'!AM$5:AM$1000)</f>
        <v>120.16943283524444</v>
      </c>
      <c r="T13" s="259">
        <f>SUM('Residential Showerheads {G}'!AD$5:AD$1000)</f>
        <v>632.90386460255104</v>
      </c>
      <c r="U13" s="133">
        <f t="shared" si="2"/>
        <v>0.12457384130691984</v>
      </c>
      <c r="V13" s="133">
        <f t="shared" si="3"/>
        <v>-5.3625568145985798E-2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5" x14ac:dyDescent="0.25">
      <c r="B14" s="309" t="s">
        <v>33</v>
      </c>
      <c r="C14" s="146" t="s">
        <v>379</v>
      </c>
      <c r="D14" s="174"/>
      <c r="E14" s="310"/>
      <c r="F14" s="144">
        <f>'SF Existing Weatherization {G}'!A$16</f>
        <v>36.806521095463346</v>
      </c>
      <c r="G14" s="304" t="s">
        <v>368</v>
      </c>
      <c r="H14" s="258">
        <f>'SF Existing Weatherization {G}'!A$10</f>
        <v>265023.56999999989</v>
      </c>
      <c r="I14" s="259">
        <f>'SF Existing Weatherization {G}'!A$8</f>
        <v>179879.91000000015</v>
      </c>
      <c r="J14" s="259">
        <f>'SF Existing Weatherization {G}'!A$12</f>
        <v>2349763.14</v>
      </c>
      <c r="K14" s="259">
        <f>'SF Existing Weatherization {G}'!A$14</f>
        <v>5590102.5200000005</v>
      </c>
      <c r="L14" s="259">
        <f>SUM('SF Existing Weatherization {G}'!Q$5:Q$1000)</f>
        <v>7939865.6599999974</v>
      </c>
      <c r="M14" s="259"/>
      <c r="N14" s="260">
        <f>'SF Existing Weatherization {G}'!A$18</f>
        <v>2608389.39</v>
      </c>
      <c r="O14" s="259">
        <f>'SF Existing Weatherization {G}'!A$20</f>
        <v>8119745.5699999975</v>
      </c>
      <c r="P14" s="259">
        <f>SUM('SF Existing Weatherization {G}'!R$5:R$1000)</f>
        <v>300.8544</v>
      </c>
      <c r="Q14" s="261">
        <f t="shared" si="0"/>
        <v>2442312.1629213481</v>
      </c>
      <c r="R14" s="261">
        <f t="shared" si="4"/>
        <v>7602758.0243445663</v>
      </c>
      <c r="S14" s="259">
        <f>SUM('SF Existing Weatherization {G}'!AM$5:AM$1000)</f>
        <v>5873265.488227793</v>
      </c>
      <c r="T14" s="259">
        <f>SUM('SF Existing Weatherization {G}'!AD$5:AD$1000)</f>
        <v>1362536.7242419855</v>
      </c>
      <c r="U14" s="133">
        <f t="shared" si="2"/>
        <v>2.4047972152759307</v>
      </c>
      <c r="V14" s="133">
        <f t="shared" si="3"/>
        <v>1.0289856307727208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5" x14ac:dyDescent="0.25">
      <c r="B15" s="309" t="s">
        <v>33</v>
      </c>
      <c r="C15" s="146" t="s">
        <v>380</v>
      </c>
      <c r="D15" s="174"/>
      <c r="E15" s="310"/>
      <c r="F15" s="144">
        <f>'Home Energy Reports {G}'!A$16</f>
        <v>2</v>
      </c>
      <c r="G15" s="304" t="s">
        <v>368</v>
      </c>
      <c r="H15" s="258">
        <f>'Home Energy Reports {G}'!A$10</f>
        <v>1470100.92</v>
      </c>
      <c r="I15" s="259">
        <f>'Home Energy Reports {G}'!A$8</f>
        <v>715427.46</v>
      </c>
      <c r="J15" s="259">
        <f>'Home Energy Reports {G}'!A$12</f>
        <v>752978.52</v>
      </c>
      <c r="K15" s="259">
        <f>'Home Energy Reports {G}'!A$14</f>
        <v>0</v>
      </c>
      <c r="L15" s="259">
        <f>SUM('Home Energy Reports {G}'!Q$5:Q$1000)</f>
        <v>752978.52</v>
      </c>
      <c r="M15" s="259"/>
      <c r="N15" s="260">
        <f>'Home Energy Reports {G}'!A$18</f>
        <v>1377943.46</v>
      </c>
      <c r="O15" s="259">
        <f>'Home Energy Reports {G}'!A$20</f>
        <v>1468405.98</v>
      </c>
      <c r="P15" s="259">
        <f>SUM('Home Energy Reports {G}'!R$5:R$1000)</f>
        <v>0</v>
      </c>
      <c r="Q15" s="261">
        <f t="shared" si="0"/>
        <v>1290209.2322097376</v>
      </c>
      <c r="R15" s="261">
        <f t="shared" si="4"/>
        <v>1374911.9662921347</v>
      </c>
      <c r="S15" s="259">
        <f>SUM('Home Energy Reports {G}'!AM$5:AM$1000)</f>
        <v>2351948.7289628834</v>
      </c>
      <c r="T15" s="259">
        <f>SUM('Home Energy Reports {G}'!AD$5:AD$1000)</f>
        <v>0</v>
      </c>
      <c r="U15" s="133">
        <f t="shared" si="2"/>
        <v>1.8229203994569994</v>
      </c>
      <c r="V15" s="133">
        <f t="shared" si="3"/>
        <v>1.8816794567845574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5" x14ac:dyDescent="0.25">
      <c r="B16" s="309" t="s">
        <v>33</v>
      </c>
      <c r="C16" s="146" t="s">
        <v>544</v>
      </c>
      <c r="D16" s="174"/>
      <c r="E16" s="310"/>
      <c r="F16" s="144">
        <f>IFERROR('Efficiency Boost {G}'!A$16,)</f>
        <v>0</v>
      </c>
      <c r="G16" s="304" t="s">
        <v>368</v>
      </c>
      <c r="H16" s="258">
        <f>IFERROR('Efficiency Boost {G}'!A$10,0)</f>
        <v>0</v>
      </c>
      <c r="I16" s="259">
        <f>'Efficiency Boost {G}'!A$8</f>
        <v>60319.93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60319.93</v>
      </c>
      <c r="O16" s="259">
        <f>'Efficiency Boost {G}'!A$20</f>
        <v>60319.93</v>
      </c>
      <c r="P16" s="259">
        <f>SUM('Efficiency Boost {G}'!R$5:R$1000)</f>
        <v>0</v>
      </c>
      <c r="Q16" s="261">
        <f t="shared" si="0"/>
        <v>56479.335205992509</v>
      </c>
      <c r="R16" s="261">
        <f>O16/(1+ElecDiscountRate)^1</f>
        <v>56479.335205992509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5" x14ac:dyDescent="0.25">
      <c r="A17" s="308"/>
      <c r="B17" s="309" t="s">
        <v>99</v>
      </c>
      <c r="C17" s="174" t="s">
        <v>381</v>
      </c>
      <c r="D17" s="174"/>
      <c r="E17" s="310"/>
      <c r="F17" s="144">
        <f>'SF New Construction {G}'!A$16</f>
        <v>27.149831271091113</v>
      </c>
      <c r="G17" s="304" t="s">
        <v>368</v>
      </c>
      <c r="H17" s="258">
        <f>'SF New Construction {G}'!A$10</f>
        <v>4445</v>
      </c>
      <c r="I17" s="259">
        <f>'SF New Construction {G}'!A$8</f>
        <v>22173.200000000004</v>
      </c>
      <c r="J17" s="259">
        <f>'SF New Construction {G}'!A$12</f>
        <v>26500</v>
      </c>
      <c r="K17" s="259">
        <f>'SF New Construction {G}'!A$14</f>
        <v>67146</v>
      </c>
      <c r="L17" s="259">
        <f>SUM('SF New Construction {G}'!Q$5:Q$1000)</f>
        <v>93646</v>
      </c>
      <c r="M17" s="259"/>
      <c r="N17" s="260">
        <f>'SF New Construction {G}'!A$18</f>
        <v>48673.200000000004</v>
      </c>
      <c r="O17" s="259">
        <f>'SF New Construction {G}'!A$20</f>
        <v>115819.20000000001</v>
      </c>
      <c r="P17" s="259">
        <f>SUM('SF New Construction {G}'!R$5:R$1000)</f>
        <v>54.72</v>
      </c>
      <c r="Q17" s="261">
        <f t="shared" si="0"/>
        <v>45574.15730337079</v>
      </c>
      <c r="R17" s="261">
        <f t="shared" si="4"/>
        <v>108444.94382022473</v>
      </c>
      <c r="S17" s="259">
        <f>SUM('SF New Construction {G}'!AM$5:AM$1000)</f>
        <v>5197.964625990242</v>
      </c>
      <c r="T17" s="259">
        <f>SUM('SF New Construction {G}'!AD$5:AD$1000)</f>
        <v>4162.6831500068147</v>
      </c>
      <c r="U17" s="133">
        <f t="shared" si="2"/>
        <v>0.1140550902870076</v>
      </c>
      <c r="V17" s="133">
        <f t="shared" si="3"/>
        <v>9.111023428603042E-2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5" x14ac:dyDescent="0.25">
      <c r="A18" s="308"/>
      <c r="B18" s="309" t="s">
        <v>99</v>
      </c>
      <c r="C18" s="174" t="s">
        <v>450</v>
      </c>
      <c r="D18" s="174"/>
      <c r="E18" s="310"/>
      <c r="F18" s="144">
        <f>IFERROR('MH New Construction {G}'!A$16,0)</f>
        <v>15</v>
      </c>
      <c r="G18" s="304" t="s">
        <v>368</v>
      </c>
      <c r="H18" s="258">
        <f>'MH New Construction {G}'!A$10</f>
        <v>105.9</v>
      </c>
      <c r="I18" s="259">
        <f>'MH New Construction {G}'!A$8</f>
        <v>21084.170000000002</v>
      </c>
      <c r="J18" s="259">
        <f>'MH New Construction {G}'!A$12</f>
        <v>1000</v>
      </c>
      <c r="K18" s="259">
        <f>'MH New Construction {G}'!A$14</f>
        <v>1514.08</v>
      </c>
      <c r="L18" s="259">
        <f>SUM('MH New Construction {G}'!Q$5:Q$1000)</f>
        <v>2514.08</v>
      </c>
      <c r="M18" s="259"/>
      <c r="N18" s="260">
        <f>'MH New Construction {G}'!A$18</f>
        <v>22084.170000000002</v>
      </c>
      <c r="O18" s="259">
        <f>'MH New Construction {G}'!A$20</f>
        <v>23598.25</v>
      </c>
      <c r="P18" s="259">
        <f>SUM('MH New Construction {G}'!R$5:R$1000)</f>
        <v>0</v>
      </c>
      <c r="Q18" s="261">
        <f t="shared" si="0"/>
        <v>20678.061797752809</v>
      </c>
      <c r="R18" s="261">
        <f>O18/(1+ElecDiscountRate)^1</f>
        <v>22095.739700374532</v>
      </c>
      <c r="S18" s="259">
        <f>SUM('MH New Construction {G}'!AM$5:AM$1000)</f>
        <v>1155.502250846645</v>
      </c>
      <c r="T18" s="259">
        <f>SUM('MH New Construction {G}'!AD$5:AD$1000)</f>
        <v>0</v>
      </c>
      <c r="U18" s="133">
        <f t="shared" si="2"/>
        <v>5.588058794621744E-2</v>
      </c>
      <c r="V18" s="133">
        <f t="shared" si="3"/>
        <v>5.7524775959854592E-2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5" x14ac:dyDescent="0.25">
      <c r="B19" s="309" t="s">
        <v>138</v>
      </c>
      <c r="C19" s="147" t="s">
        <v>451</v>
      </c>
      <c r="D19" s="147"/>
      <c r="E19" s="310"/>
      <c r="F19" s="144">
        <f>'Multi Family Retrofit {G}'!A$16</f>
        <v>41.27247480496829</v>
      </c>
      <c r="G19" s="304" t="s">
        <v>368</v>
      </c>
      <c r="H19" s="258">
        <f>'Multi Family Retrofit {G}'!A$10</f>
        <v>12430.03</v>
      </c>
      <c r="I19" s="259">
        <f>'Multi Family Retrofit {G}'!A$8</f>
        <v>78933.799999999988</v>
      </c>
      <c r="J19" s="259">
        <f>'Multi Family Retrofit {G}'!A$12</f>
        <v>245880.75</v>
      </c>
      <c r="K19" s="259">
        <f>'Multi Family Retrofit {G}'!A$14</f>
        <v>158208.53</v>
      </c>
      <c r="L19" s="259">
        <f>SUM('Multi Family Retrofit {G}'!Q$5:Q$1000)</f>
        <v>404089.28</v>
      </c>
      <c r="M19" s="259"/>
      <c r="N19" s="260">
        <f>'Multi Family Retrofit {G}'!A$18</f>
        <v>324451.55</v>
      </c>
      <c r="O19" s="259">
        <f>'Multi Family Retrofit {G}'!A$20</f>
        <v>483023.08</v>
      </c>
      <c r="P19" s="259">
        <f>SUM('Multi Family Retrofit {G}'!R$5:R$1000)</f>
        <v>57.316400000000002</v>
      </c>
      <c r="Q19" s="261">
        <f t="shared" si="0"/>
        <v>303793.58614232205</v>
      </c>
      <c r="R19" s="261">
        <f t="shared" si="4"/>
        <v>452268.80149812734</v>
      </c>
      <c r="S19" s="259">
        <f>SUM('Multi Family Retrofit {G}'!AM$5:AM$1000)</f>
        <v>304141.81551603647</v>
      </c>
      <c r="T19" s="259">
        <f>SUM('Multi Family Retrofit {G}'!AD$5:AD$1000)</f>
        <v>1309.2999757863984</v>
      </c>
      <c r="U19" s="133">
        <f t="shared" si="2"/>
        <v>1.0011462696699307</v>
      </c>
      <c r="V19" s="133">
        <f t="shared" si="3"/>
        <v>0.74262318322838639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5" x14ac:dyDescent="0.25">
      <c r="B20" s="309" t="s">
        <v>97</v>
      </c>
      <c r="C20" s="174" t="s">
        <v>384</v>
      </c>
      <c r="D20" s="174"/>
      <c r="E20" s="314"/>
      <c r="F20" s="144">
        <f>'MF New Construction {G}'!A$16</f>
        <v>15</v>
      </c>
      <c r="G20" s="304" t="s">
        <v>368</v>
      </c>
      <c r="H20" s="258">
        <f>'MF New Construction {G}'!A$10</f>
        <v>18901</v>
      </c>
      <c r="I20" s="259">
        <f>'MF New Construction {G}'!A$8</f>
        <v>89589.669999999984</v>
      </c>
      <c r="J20" s="259">
        <f>'MF New Construction {G}'!A$12</f>
        <v>96767</v>
      </c>
      <c r="K20" s="259">
        <f>'MF New Construction {G}'!A$14</f>
        <v>0</v>
      </c>
      <c r="L20" s="259">
        <f>SUM('MF New Construction {G}'!Q$5:Q$1000)</f>
        <v>96767</v>
      </c>
      <c r="M20" s="259"/>
      <c r="N20" s="260">
        <f>'MF New Construction {G}'!A$18</f>
        <v>186356.66999999998</v>
      </c>
      <c r="O20" s="259">
        <f>'MF New Construction {G}'!A$20</f>
        <v>186356.66999999998</v>
      </c>
      <c r="P20" s="259">
        <f>SUM('MF New Construction {G}'!R$5:R$1000)</f>
        <v>0</v>
      </c>
      <c r="Q20" s="261">
        <f t="shared" si="0"/>
        <v>174491.26404494379</v>
      </c>
      <c r="R20" s="261">
        <f t="shared" si="4"/>
        <v>174491.26404494379</v>
      </c>
      <c r="S20" s="259">
        <f>SUM('MF New Construction {G}'!AM$5:AM$1000)</f>
        <v>189012.15916088637</v>
      </c>
      <c r="T20" s="259">
        <f>SUM('MF New Construction {G}'!AD$5:AD$1000)</f>
        <v>0</v>
      </c>
      <c r="U20" s="133">
        <f t="shared" si="2"/>
        <v>1.0832184648063665</v>
      </c>
      <c r="V20" s="133">
        <f t="shared" si="3"/>
        <v>1.1915403112870033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3" x14ac:dyDescent="0.3">
      <c r="A21" s="315"/>
      <c r="B21" s="316" t="s">
        <v>452</v>
      </c>
      <c r="C21" s="317"/>
      <c r="D21" s="316"/>
      <c r="E21" s="316"/>
      <c r="F21" s="317"/>
      <c r="G21" s="318"/>
      <c r="H21" s="319">
        <f>SUM(H8:H20,H6)</f>
        <v>2711463.4899999932</v>
      </c>
      <c r="I21" s="319">
        <f>SUM(I8:I20,I6)</f>
        <v>2022767.4399999997</v>
      </c>
      <c r="J21" s="319">
        <f>SUM(J8:J20,J6)</f>
        <v>9190343.879999999</v>
      </c>
      <c r="K21" s="319">
        <f>SUM(K8:K20,K6)</f>
        <v>10588529.529999999</v>
      </c>
      <c r="L21" s="319">
        <f>SUM(L8:L20,L6)</f>
        <v>19778873.409999996</v>
      </c>
      <c r="M21" s="320"/>
      <c r="N21" s="319">
        <f t="shared" ref="N21:T21" si="5">SUM(N8:N20,N6)</f>
        <v>11248623.43</v>
      </c>
      <c r="O21" s="319">
        <f t="shared" si="5"/>
        <v>21801640.849999998</v>
      </c>
      <c r="P21" s="319">
        <f t="shared" si="5"/>
        <v>952.36990000000003</v>
      </c>
      <c r="Q21" s="319">
        <f t="shared" si="5"/>
        <v>10532418.941947564</v>
      </c>
      <c r="R21" s="319">
        <f t="shared" si="5"/>
        <v>20413521.395131081</v>
      </c>
      <c r="S21" s="319">
        <f t="shared" si="5"/>
        <v>19808231.733400267</v>
      </c>
      <c r="T21" s="319">
        <f t="shared" si="5"/>
        <v>3852158.8505831785</v>
      </c>
      <c r="U21" s="506">
        <f>S21/Q21</f>
        <v>1.8806915906572834</v>
      </c>
      <c r="V21" s="506">
        <f>(S21*1.1+T21)/R21</f>
        <v>1.2560896898189879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3" x14ac:dyDescent="0.3">
      <c r="A22" s="315"/>
      <c r="B22" s="323" t="s">
        <v>453</v>
      </c>
      <c r="C22" s="504"/>
      <c r="D22" s="157"/>
      <c r="E22" s="316"/>
      <c r="F22" s="317"/>
      <c r="G22" s="318"/>
      <c r="H22" s="319">
        <f t="shared" ref="H22:T22" si="6">H21-H6</f>
        <v>2683793.5099999933</v>
      </c>
      <c r="I22" s="319">
        <f t="shared" si="6"/>
        <v>1951053.1399999997</v>
      </c>
      <c r="J22" s="319">
        <f t="shared" si="6"/>
        <v>7907876.379999999</v>
      </c>
      <c r="K22" s="319">
        <f t="shared" si="6"/>
        <v>10204909.379999999</v>
      </c>
      <c r="L22" s="319">
        <f t="shared" si="6"/>
        <v>18112785.759999998</v>
      </c>
      <c r="M22" s="320">
        <f t="shared" si="6"/>
        <v>0</v>
      </c>
      <c r="N22" s="319">
        <f t="shared" si="6"/>
        <v>9894441.629999999</v>
      </c>
      <c r="O22" s="319">
        <f t="shared" si="6"/>
        <v>20063838.899999999</v>
      </c>
      <c r="P22" s="319">
        <f t="shared" si="6"/>
        <v>782.13990000000001</v>
      </c>
      <c r="Q22" s="319">
        <f t="shared" si="6"/>
        <v>9264458.4550561793</v>
      </c>
      <c r="R22" s="319">
        <f t="shared" si="6"/>
        <v>18786366.011235949</v>
      </c>
      <c r="S22" s="319">
        <f t="shared" si="6"/>
        <v>19311103.431770429</v>
      </c>
      <c r="T22" s="319">
        <f t="shared" si="6"/>
        <v>3538325.940182473</v>
      </c>
      <c r="U22" s="506">
        <f>S22/Q22</f>
        <v>2.0844287364936247</v>
      </c>
      <c r="V22" s="506">
        <f>(S22*1.1+T22)/R22</f>
        <v>1.319070420554403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5" x14ac:dyDescent="0.25">
      <c r="B23" s="309" t="s">
        <v>134</v>
      </c>
      <c r="C23" s="501" t="s">
        <v>537</v>
      </c>
      <c r="D23" s="508"/>
      <c r="E23" s="324"/>
      <c r="F23" s="144"/>
      <c r="G23" s="325"/>
      <c r="H23" s="258">
        <f>SUM(H24:H26)</f>
        <v>850779</v>
      </c>
      <c r="I23" s="259">
        <f t="shared" ref="I23:T23" si="7">SUM(I24:I26)</f>
        <v>732386.70999999973</v>
      </c>
      <c r="J23" s="259">
        <f t="shared" si="7"/>
        <v>4372799</v>
      </c>
      <c r="K23" s="259">
        <f t="shared" si="7"/>
        <v>9753044.6899999995</v>
      </c>
      <c r="L23" s="259">
        <f t="shared" si="7"/>
        <v>14125843.689999999</v>
      </c>
      <c r="M23" s="259">
        <f t="shared" si="7"/>
        <v>0</v>
      </c>
      <c r="N23" s="260">
        <f t="shared" si="7"/>
        <v>5105304.22</v>
      </c>
      <c r="O23" s="259">
        <f t="shared" si="7"/>
        <v>14858230.4</v>
      </c>
      <c r="P23" s="259">
        <f t="shared" si="7"/>
        <v>0</v>
      </c>
      <c r="Q23" s="261">
        <f t="shared" si="7"/>
        <v>4780247.3970037447</v>
      </c>
      <c r="R23" s="261">
        <f t="shared" si="7"/>
        <v>13912200.749063669</v>
      </c>
      <c r="S23" s="259">
        <f t="shared" si="7"/>
        <v>9681149.722666407</v>
      </c>
      <c r="T23" s="259">
        <f t="shared" si="7"/>
        <v>0</v>
      </c>
      <c r="U23" s="133">
        <f>IFERROR(S23/Q23,0)</f>
        <v>2.0252403105191887</v>
      </c>
      <c r="V23" s="133">
        <f>IFERROR(((S23*1.1)+(T23))/R23,0)</f>
        <v>0.76546226488643609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5" x14ac:dyDescent="0.25">
      <c r="B24" s="309" t="s">
        <v>134</v>
      </c>
      <c r="C24" s="146" t="s">
        <v>387</v>
      </c>
      <c r="D24" s="508"/>
      <c r="E24" s="324"/>
      <c r="F24" s="144">
        <f>'CI Retrofit {G}'!A$16</f>
        <v>18.159279397088685</v>
      </c>
      <c r="G24" s="325" t="s">
        <v>368</v>
      </c>
      <c r="H24" s="258">
        <f>'CI Retrofit {G}'!A$10</f>
        <v>813652</v>
      </c>
      <c r="I24" s="259">
        <f>'CI Retrofit {G}'!A$8</f>
        <v>614156.4299999997</v>
      </c>
      <c r="J24" s="259">
        <f>'CI Retrofit {G}'!A$12</f>
        <v>4312323</v>
      </c>
      <c r="K24" s="259">
        <f>'CI Retrofit {G}'!A$14</f>
        <v>9727426.6899999995</v>
      </c>
      <c r="L24" s="259">
        <f>SUM('CI Retrofit {G}'!Q$5:Q$1000)</f>
        <v>14039749.689999999</v>
      </c>
      <c r="M24" s="259"/>
      <c r="N24" s="260">
        <f>'CI Retrofit {G}'!A$18</f>
        <v>4926479.43</v>
      </c>
      <c r="O24" s="259">
        <f>'CI Retrofit {G}'!A$20</f>
        <v>14653906.119999999</v>
      </c>
      <c r="P24" s="259">
        <f>SUM('CI Retrofit {G}'!R$5:R$1000)</f>
        <v>0</v>
      </c>
      <c r="Q24" s="261">
        <f t="shared" ref="Q24:Q29" si="8">N24/(1+ElecDiscountRate)^1</f>
        <v>4612808.4550561793</v>
      </c>
      <c r="R24" s="261">
        <f t="shared" ref="R24:R29" si="9">O24/(1+ElecDiscountRate)^1</f>
        <v>13720885.880149812</v>
      </c>
      <c r="S24" s="259">
        <f>SUM('CI Retrofit {G}'!AM$5:AM$1000)</f>
        <v>9406008.9421740584</v>
      </c>
      <c r="T24" s="259">
        <f>SUM('CI Retrofit {G}'!AD$5:AD$1000)</f>
        <v>0</v>
      </c>
      <c r="U24" s="133">
        <f t="shared" ref="U24:U29" si="10">IFERROR(S24/Q24,0)</f>
        <v>2.0391067684295385</v>
      </c>
      <c r="V24" s="133">
        <f t="shared" ref="V24:V29" si="11">IFERROR(((S24*1.1)+(T24))/R24,0)</f>
        <v>0.75407739170544696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5" x14ac:dyDescent="0.25">
      <c r="B25" s="309" t="s">
        <v>134</v>
      </c>
      <c r="C25" s="146" t="s">
        <v>322</v>
      </c>
      <c r="D25" s="508"/>
      <c r="E25" s="324"/>
      <c r="F25" s="144">
        <f>'CBA {G}'!A$16</f>
        <v>5</v>
      </c>
      <c r="G25" s="325" t="s">
        <v>368</v>
      </c>
      <c r="H25" s="258">
        <f>'CBA {G}'!A$10</f>
        <v>12811</v>
      </c>
      <c r="I25" s="259">
        <f>'CBA {G}'!A$8</f>
        <v>112727.3</v>
      </c>
      <c r="J25" s="259">
        <f>'CBA {G}'!A$12</f>
        <v>0</v>
      </c>
      <c r="K25" s="259">
        <f>'CBA {G}'!A$14</f>
        <v>0</v>
      </c>
      <c r="L25" s="259">
        <f>SUM('CBA {G}'!Q$5:Q$1000)</f>
        <v>0</v>
      </c>
      <c r="M25" s="259"/>
      <c r="N25" s="260">
        <f>'CBA {G}'!A$18</f>
        <v>112727.3</v>
      </c>
      <c r="O25" s="259">
        <f>'CBA {G}'!A$20</f>
        <v>112727.3</v>
      </c>
      <c r="P25" s="259">
        <f>SUM('CBA {G}'!R$5:R$1000)</f>
        <v>0</v>
      </c>
      <c r="Q25" s="261">
        <f t="shared" si="8"/>
        <v>105549.9063670412</v>
      </c>
      <c r="R25" s="261">
        <f t="shared" si="9"/>
        <v>105549.9063670412</v>
      </c>
      <c r="S25" s="259">
        <f>SUM('CBA {G}'!AM$5:AM$1000)</f>
        <v>47215.131013282524</v>
      </c>
      <c r="T25" s="259">
        <f>SUM('CBA {G}'!AD$5:AD$1000)</f>
        <v>0</v>
      </c>
      <c r="U25" s="133">
        <f>IFERROR(S25/Q25,0)</f>
        <v>0.44732518140845862</v>
      </c>
      <c r="V25" s="133">
        <f>IFERROR(((S25*1.1)+(T25))/R25,0)</f>
        <v>0.49205769954930451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5" x14ac:dyDescent="0.25">
      <c r="B26" s="309" t="s">
        <v>134</v>
      </c>
      <c r="C26" s="146" t="s">
        <v>533</v>
      </c>
      <c r="D26" s="508"/>
      <c r="E26" s="324"/>
      <c r="F26" s="144">
        <f>IFERROR('Industrial EM {G}'!A$16,0)</f>
        <v>14.007649284421779</v>
      </c>
      <c r="G26" s="325" t="s">
        <v>368</v>
      </c>
      <c r="H26" s="258">
        <f>'Industrial EM {G}'!A$10</f>
        <v>24316</v>
      </c>
      <c r="I26" s="259">
        <f>'Industrial EM {G}'!A$8</f>
        <v>5502.9800000000032</v>
      </c>
      <c r="J26" s="259">
        <f>'Industrial EM {G}'!A$12</f>
        <v>60476</v>
      </c>
      <c r="K26" s="259">
        <f>'Industrial EM {G}'!A$14</f>
        <v>25618</v>
      </c>
      <c r="L26" s="259">
        <f>SUM('Industrial EM {G}'!Q$5:Q$1000)</f>
        <v>86094</v>
      </c>
      <c r="M26" s="259"/>
      <c r="N26" s="260">
        <f>'Industrial EM {G}'!A$18</f>
        <v>66097.490000000005</v>
      </c>
      <c r="O26" s="259">
        <f>'Industrial EM {G}'!A$20</f>
        <v>91596.98000000001</v>
      </c>
      <c r="P26" s="259">
        <f>SUM('Industrial EM {G}'!R$5:R$1000)</f>
        <v>0</v>
      </c>
      <c r="Q26" s="261">
        <f t="shared" si="8"/>
        <v>61889.035580524345</v>
      </c>
      <c r="R26" s="261">
        <f t="shared" si="9"/>
        <v>85764.962546816489</v>
      </c>
      <c r="S26" s="259">
        <f>SUM('Industrial EM {G}'!AM$5:AM$1000)</f>
        <v>227925.64947906733</v>
      </c>
      <c r="T26" s="259">
        <f>SUM('Industrial EM {G}'!AD$5:AD$1000)</f>
        <v>0</v>
      </c>
      <c r="U26" s="133">
        <f>IFERROR(S26/Q26,0)</f>
        <v>3.6828114599154054</v>
      </c>
      <c r="V26" s="133">
        <f>IFERROR(((S26*1.1)+(T26))/R26,0)</f>
        <v>2.9233174828253978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5" x14ac:dyDescent="0.25">
      <c r="B27" s="309" t="s">
        <v>117</v>
      </c>
      <c r="C27" s="174" t="s">
        <v>388</v>
      </c>
      <c r="D27" s="174"/>
      <c r="E27" s="324"/>
      <c r="F27" s="144">
        <f>'CI New Construction {G}'!A$16</f>
        <v>19.305251489538588</v>
      </c>
      <c r="G27" s="325" t="s">
        <v>368</v>
      </c>
      <c r="H27" s="258">
        <f>'CI New Construction {G}'!A$10</f>
        <v>43302</v>
      </c>
      <c r="I27" s="259">
        <f>'CI New Construction {G}'!A$8</f>
        <v>67739.580000000016</v>
      </c>
      <c r="J27" s="259">
        <f>'CI New Construction {G}'!A$12</f>
        <v>207366.5</v>
      </c>
      <c r="K27" s="259">
        <f>'CI New Construction {G}'!A$14</f>
        <v>96865</v>
      </c>
      <c r="L27" s="259">
        <f>SUM('CI New Construction {G}'!Q$5:Q$1000)</f>
        <v>304231.5</v>
      </c>
      <c r="M27" s="259"/>
      <c r="N27" s="260">
        <f>'CI New Construction {G}'!A$18</f>
        <v>274087.58</v>
      </c>
      <c r="O27" s="259">
        <f>'CI New Construction {G}'!A$20</f>
        <v>371971.08</v>
      </c>
      <c r="P27" s="259">
        <f>SUM('CI New Construction {G}'!R$5:R$1000)</f>
        <v>0</v>
      </c>
      <c r="Q27" s="261">
        <f t="shared" si="8"/>
        <v>256636.31086142323</v>
      </c>
      <c r="R27" s="261">
        <f t="shared" si="9"/>
        <v>348287.52808988764</v>
      </c>
      <c r="S27" s="259">
        <f>SUM('CI New Construction {G}'!AM$5:AM$1000)</f>
        <v>531760.13061170257</v>
      </c>
      <c r="T27" s="259">
        <f>SUM('CI New Construction {G}'!AD$5:AD$1000)</f>
        <v>0</v>
      </c>
      <c r="U27" s="133">
        <f t="shared" si="10"/>
        <v>2.0720377752735031</v>
      </c>
      <c r="V27" s="133">
        <f t="shared" si="11"/>
        <v>1.6794633643094734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5" x14ac:dyDescent="0.25">
      <c r="B28" s="309" t="s">
        <v>106</v>
      </c>
      <c r="C28" s="174" t="s">
        <v>389</v>
      </c>
      <c r="D28" s="174"/>
      <c r="E28" s="324"/>
      <c r="F28" s="144">
        <f>'Com SEM {G}'!A$16</f>
        <v>3.0000000000000004</v>
      </c>
      <c r="G28" s="325" t="s">
        <v>454</v>
      </c>
      <c r="H28" s="258">
        <f>'Com SEM {G}'!A$10</f>
        <v>196696</v>
      </c>
      <c r="I28" s="259">
        <f>'Com SEM {G}'!A$8</f>
        <v>527505.55999999994</v>
      </c>
      <c r="J28" s="259">
        <f>'Com SEM {G}'!A$12</f>
        <v>58915</v>
      </c>
      <c r="K28" s="259">
        <f>'Com SEM {G}'!A$14</f>
        <v>17362</v>
      </c>
      <c r="L28" s="259">
        <f>SUM('Com SEM {G}'!Q$5:Q$1000)</f>
        <v>76277</v>
      </c>
      <c r="M28" s="259"/>
      <c r="N28" s="260">
        <f>'Com SEM {G}'!A$18</f>
        <v>586420.55999999994</v>
      </c>
      <c r="O28" s="259">
        <f>'Com SEM {G}'!A$20</f>
        <v>603782.55999999994</v>
      </c>
      <c r="P28" s="259">
        <f>SUM('Com SEM {G}'!R$5:R$1000)</f>
        <v>0</v>
      </c>
      <c r="Q28" s="261">
        <f t="shared" si="8"/>
        <v>549082.9213483145</v>
      </c>
      <c r="R28" s="261">
        <f t="shared" si="9"/>
        <v>565339.47565543058</v>
      </c>
      <c r="S28" s="259">
        <f>SUM('Com SEM {G}'!AM$5:AM$1000)</f>
        <v>451045.31226439367</v>
      </c>
      <c r="T28" s="259">
        <f>SUM('Com SEM {G}'!AD$5:AD$1000)</f>
        <v>0</v>
      </c>
      <c r="U28" s="133">
        <f t="shared" si="10"/>
        <v>0.82145208806862524</v>
      </c>
      <c r="V28" s="133">
        <f t="shared" si="11"/>
        <v>0.87761400867260864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 x14ac:dyDescent="0.35">
      <c r="B29" s="313" t="s">
        <v>106</v>
      </c>
      <c r="C29" s="174" t="s">
        <v>390</v>
      </c>
      <c r="D29" s="174"/>
      <c r="E29" s="324"/>
      <c r="F29" s="144">
        <f>IFERROR('P4P {G}'!A$16,0)</f>
        <v>20</v>
      </c>
      <c r="G29" s="325" t="s">
        <v>454</v>
      </c>
      <c r="H29" s="258">
        <f>'P4P {G}'!A$10</f>
        <v>7094</v>
      </c>
      <c r="I29" s="259">
        <f>'P4P {G}'!A$8</f>
        <v>9124.3300000000017</v>
      </c>
      <c r="J29" s="259">
        <f>'P4P {G}'!A$12</f>
        <v>35470</v>
      </c>
      <c r="K29" s="259">
        <f>'P4P {G}'!A$14</f>
        <v>46111</v>
      </c>
      <c r="L29" s="259">
        <f>SUM('P4P {G}'!Q$5:Q$1000)</f>
        <v>81581</v>
      </c>
      <c r="M29" s="259"/>
      <c r="N29" s="260">
        <f>'P4P {G}'!A$18</f>
        <v>44594.33</v>
      </c>
      <c r="O29" s="259">
        <f>'P4P {G}'!A$20</f>
        <v>90705.33</v>
      </c>
      <c r="P29" s="259">
        <f>SUM('P4P {G}'!R$5:R$1000)</f>
        <v>0</v>
      </c>
      <c r="Q29" s="261">
        <f t="shared" si="8"/>
        <v>41754.990636704119</v>
      </c>
      <c r="R29" s="261">
        <f t="shared" si="9"/>
        <v>84930.084269662912</v>
      </c>
      <c r="S29" s="259">
        <f>SUM('P4P {G}'!AM$5:AM$1000)</f>
        <v>89641.407047438115</v>
      </c>
      <c r="T29" s="259">
        <f>SUM('P4P {G}'!AD$5:AD$1000)</f>
        <v>0</v>
      </c>
      <c r="U29" s="133">
        <f t="shared" si="10"/>
        <v>2.1468429445327222</v>
      </c>
      <c r="V29" s="133">
        <f t="shared" si="11"/>
        <v>1.1610202509525109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x14ac:dyDescent="0.35">
      <c r="B30" s="305" t="s">
        <v>31</v>
      </c>
      <c r="C30" s="503" t="s">
        <v>455</v>
      </c>
      <c r="D30" s="306"/>
      <c r="E30" s="326"/>
      <c r="F30" s="305"/>
      <c r="G30" s="305"/>
      <c r="H30" s="327">
        <f>SUM(H31:H34)</f>
        <v>860670.02999999991</v>
      </c>
      <c r="I30" s="328">
        <f>SUM(I31:I34)</f>
        <v>828480.07999999984</v>
      </c>
      <c r="J30" s="305">
        <f>SUM(J31:J34)</f>
        <v>1546239.9</v>
      </c>
      <c r="K30" s="327">
        <f>SUM(K31:K34)</f>
        <v>526046.28999999992</v>
      </c>
      <c r="L30" s="327">
        <f>SUM(L31:L34)</f>
        <v>2072286.19</v>
      </c>
      <c r="M30" s="305"/>
      <c r="N30" s="327">
        <f t="shared" ref="N30:T30" si="12">SUM(N31:N34)</f>
        <v>3532016.2099999995</v>
      </c>
      <c r="O30" s="305">
        <f t="shared" si="12"/>
        <v>2900766.27</v>
      </c>
      <c r="P30" s="330">
        <f>SUM(P31:P34)</f>
        <v>23762.780599999998</v>
      </c>
      <c r="Q30" s="329">
        <f t="shared" si="12"/>
        <v>3307131.2827715348</v>
      </c>
      <c r="R30" s="329">
        <f t="shared" si="12"/>
        <v>2716073.2865168541</v>
      </c>
      <c r="S30" s="305">
        <f t="shared" si="12"/>
        <v>7664868.0330583202</v>
      </c>
      <c r="T30" s="330">
        <f t="shared" si="12"/>
        <v>2538813.3339588651</v>
      </c>
      <c r="U30" s="505">
        <f>S30/Q30</f>
        <v>2.3176787909776575</v>
      </c>
      <c r="V30" s="505">
        <f>(S30*1.1+T30)/R30</f>
        <v>4.0389809158615808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3.5" customHeight="1" x14ac:dyDescent="0.25">
      <c r="A31" s="331"/>
      <c r="B31" s="309" t="s">
        <v>31</v>
      </c>
      <c r="C31" s="146" t="s">
        <v>2194</v>
      </c>
      <c r="D31" s="146"/>
      <c r="E31" s="324"/>
      <c r="F31" s="144">
        <f>'Commercial Kitchen Laundry {G}'!A$16</f>
        <v>12.398568583498427</v>
      </c>
      <c r="G31" s="325" t="s">
        <v>454</v>
      </c>
      <c r="H31" s="258">
        <f>'Commercial Kitchen Laundry {G}'!A$10</f>
        <v>172779.90000000002</v>
      </c>
      <c r="I31" s="259">
        <f>'Commercial Kitchen Laundry {G}'!A$8</f>
        <v>312660.26</v>
      </c>
      <c r="J31" s="259">
        <f>'Commercial Kitchen Laundry {G}'!A$12</f>
        <v>551730</v>
      </c>
      <c r="K31" s="259">
        <f>'Commercial Kitchen Laundry {G}'!A$14</f>
        <v>-33684.76</v>
      </c>
      <c r="L31" s="259">
        <f>SUM('Commercial Kitchen Laundry {G}'!Q$5:Q$999)</f>
        <v>518045.24</v>
      </c>
      <c r="M31" s="259"/>
      <c r="N31" s="260">
        <f>'Commercial Kitchen Laundry {G}'!A$18</f>
        <v>1128349.24</v>
      </c>
      <c r="O31" s="259">
        <f>'Commercial Kitchen Laundry {G}'!A$20</f>
        <v>830705.5</v>
      </c>
      <c r="P31" s="259">
        <f>SUM('Commercial Kitchen Laundry {G}'!R$5:R$999)</f>
        <v>23133.3956</v>
      </c>
      <c r="Q31" s="261">
        <f t="shared" ref="Q31:R34" si="13">N31/(1+ElecDiscountRate)^1</f>
        <v>1056506.7790262171</v>
      </c>
      <c r="R31" s="261">
        <f t="shared" si="13"/>
        <v>777814.13857677893</v>
      </c>
      <c r="S31" s="259">
        <f>SUM('Commercial Kitchen Laundry {G}'!AM$5:AM$999)</f>
        <v>1503412.2075952217</v>
      </c>
      <c r="T31" s="259">
        <f>SUM('Commercial Kitchen Laundry {G}'!AD$5:AD$999)</f>
        <v>2533552.2740892125</v>
      </c>
      <c r="U31" s="133">
        <f>IFERROR(S31/Q31,0)</f>
        <v>1.4230028973225497</v>
      </c>
      <c r="V31" s="133">
        <f>IFERROR(((S31*1.1)+(T31))/R31,0)</f>
        <v>5.3834270872290428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5" x14ac:dyDescent="0.25">
      <c r="A32" s="331"/>
      <c r="B32" s="309" t="s">
        <v>31</v>
      </c>
      <c r="C32" s="146" t="s">
        <v>456</v>
      </c>
      <c r="D32" s="146"/>
      <c r="E32" s="324"/>
      <c r="F32" s="144">
        <f>'Commercial HVAC {G}'!A$16</f>
        <v>14.75042851803642</v>
      </c>
      <c r="G32" s="325" t="s">
        <v>368</v>
      </c>
      <c r="H32" s="258">
        <f>'Commercial HVAC {G}'!A$10</f>
        <v>9311.16</v>
      </c>
      <c r="I32" s="259">
        <f>'Commercial HVAC {G}'!A$8</f>
        <v>39124.39</v>
      </c>
      <c r="J32" s="259">
        <f>'Commercial HVAC {G}'!A$12</f>
        <v>0</v>
      </c>
      <c r="K32" s="259">
        <f>'Commercial HVAC {G}'!A$14</f>
        <v>0</v>
      </c>
      <c r="L32" s="259">
        <f>SUM('Commercial HVAC {G}'!Q$5:Q$999)</f>
        <v>0</v>
      </c>
      <c r="M32" s="259"/>
      <c r="N32" s="260">
        <f>'Commercial HVAC {G}'!A$18</f>
        <v>39124.39</v>
      </c>
      <c r="O32" s="259">
        <f>'Commercial HVAC {G}'!A$20</f>
        <v>39124.39</v>
      </c>
      <c r="P32" s="259">
        <f>SUM('Commercial HVAC {G}'!R$5:R$999)</f>
        <v>0</v>
      </c>
      <c r="Q32" s="261">
        <f t="shared" si="13"/>
        <v>36633.323970037447</v>
      </c>
      <c r="R32" s="261">
        <f t="shared" si="13"/>
        <v>36633.323970037447</v>
      </c>
      <c r="S32" s="259">
        <f>SUM('Commercial HVAC {G}'!AM$5:AM$999)</f>
        <v>92266.840819622943</v>
      </c>
      <c r="T32" s="259">
        <f>SUM('Commercial HVAC {G}'!AD$5:AD$999)</f>
        <v>0</v>
      </c>
      <c r="U32" s="133">
        <f>IFERROR(S32/Q32,0)</f>
        <v>2.5186587189054532</v>
      </c>
      <c r="V32" s="133">
        <f>IFERROR(((S32*1.1)+(T32))/R32,0)</f>
        <v>2.7705245907959988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5" x14ac:dyDescent="0.25">
      <c r="A33" s="331"/>
      <c r="B33" s="309" t="s">
        <v>31</v>
      </c>
      <c r="C33" s="146" t="s">
        <v>396</v>
      </c>
      <c r="D33" s="146"/>
      <c r="E33" s="324"/>
      <c r="F33" s="144">
        <f>'Commercial Midstream {G}'!A$16</f>
        <v>13.000000000000004</v>
      </c>
      <c r="G33" s="325" t="s">
        <v>368</v>
      </c>
      <c r="H33" s="258">
        <f>'Commercial Midstream {G}'!A$10</f>
        <v>678323.96999999986</v>
      </c>
      <c r="I33" s="259">
        <f>'Commercial Midstream {G}'!A$8</f>
        <v>476112.10999999987</v>
      </c>
      <c r="J33" s="259">
        <f>'Commercial Midstream {G}'!A$12</f>
        <v>990585</v>
      </c>
      <c r="K33" s="259">
        <f>'Commercial Midstream {G}'!A$14</f>
        <v>526467.04999999993</v>
      </c>
      <c r="L33" s="259">
        <f>SUM('Commercial Midstream {G}'!Q$5:Q$1000)</f>
        <v>1517052.05</v>
      </c>
      <c r="M33" s="259"/>
      <c r="N33" s="260">
        <f>'Commercial Midstream {G}'!A$18</f>
        <v>2337197.2799999998</v>
      </c>
      <c r="O33" s="259">
        <f>'Commercial Midstream {G}'!A$20</f>
        <v>1993164.16</v>
      </c>
      <c r="P33" s="259">
        <f>SUM('Commercial Midstream {G}'!R$5:R$1000)</f>
        <v>2.4750000000000001</v>
      </c>
      <c r="Q33" s="261">
        <f t="shared" si="13"/>
        <v>2188386.9662921345</v>
      </c>
      <c r="R33" s="261">
        <f t="shared" si="13"/>
        <v>1866258.5767790261</v>
      </c>
      <c r="S33" s="259">
        <f>SUM('Commercial Midstream {G}'!AM$5:AM$1000)</f>
        <v>6068411.5348835895</v>
      </c>
      <c r="T33" s="259">
        <f>SUM('Commercial Midstream {G}'!AD$5:AD$1000)</f>
        <v>1800.5533027739118</v>
      </c>
      <c r="U33" s="133">
        <f>IFERROR(S33/Q33,0)</f>
        <v>2.7730066155372537</v>
      </c>
      <c r="V33" s="133">
        <f>IFERROR(((S33*1.1)+(T33))/R33,0)</f>
        <v>3.577774979712963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5" x14ac:dyDescent="0.25">
      <c r="A34" s="331"/>
      <c r="B34" s="309" t="s">
        <v>31</v>
      </c>
      <c r="C34" s="146" t="s">
        <v>397</v>
      </c>
      <c r="D34" s="146"/>
      <c r="E34" s="324"/>
      <c r="F34" s="144">
        <f>'SBDI {G}'!A$16</f>
        <v>4</v>
      </c>
      <c r="G34" s="325" t="s">
        <v>266</v>
      </c>
      <c r="H34" s="258">
        <f>'SBDI {G}'!A$10</f>
        <v>255</v>
      </c>
      <c r="I34" s="259">
        <f>'SBDI {G}'!A$8</f>
        <v>583.31999999999971</v>
      </c>
      <c r="J34" s="259">
        <f>'SBDI {G}'!A$12</f>
        <v>3924.9</v>
      </c>
      <c r="K34" s="259">
        <f>'SBDI {G}'!A$14</f>
        <v>33264</v>
      </c>
      <c r="L34" s="259">
        <f>SUM('SBDI {G}'!Q$5:Q$999)</f>
        <v>37188.9</v>
      </c>
      <c r="M34" s="259"/>
      <c r="N34" s="260">
        <f>'SBDI {G}'!A$18</f>
        <v>27345.3</v>
      </c>
      <c r="O34" s="259">
        <f>'SBDI {G}'!A$20</f>
        <v>37772.22</v>
      </c>
      <c r="P34" s="259">
        <f>SUM('SBDI {G}'!R$5:R$999)</f>
        <v>626.91</v>
      </c>
      <c r="Q34" s="261">
        <f t="shared" si="13"/>
        <v>25604.213483146064</v>
      </c>
      <c r="R34" s="261">
        <f t="shared" si="13"/>
        <v>35367.247191011236</v>
      </c>
      <c r="S34" s="259">
        <f>SUM('SBDI {G}'!AM$5:AM$999)</f>
        <v>777.4497598869732</v>
      </c>
      <c r="T34" s="259">
        <f>SUM('SBDI {G}'!AD$5:AD$999)</f>
        <v>3460.5065668789844</v>
      </c>
      <c r="U34" s="133">
        <f>IFERROR(S34/Q34,0)</f>
        <v>3.0364133637564315E-2</v>
      </c>
      <c r="V34" s="133">
        <f>IFERROR(((S34*1.1)+(T34))/R34,0)</f>
        <v>0.12202536656150925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3" x14ac:dyDescent="0.3">
      <c r="B35" s="316" t="s">
        <v>457</v>
      </c>
      <c r="C35" s="317"/>
      <c r="D35" s="316"/>
      <c r="E35" s="316"/>
      <c r="F35" s="332"/>
      <c r="G35" s="332"/>
      <c r="H35" s="333">
        <f>SUM(H24:H29,H31:H34)</f>
        <v>1958541.0299999998</v>
      </c>
      <c r="I35" s="334">
        <f>SUM(I24:I29,I31:I34)</f>
        <v>2165236.2599999993</v>
      </c>
      <c r="J35" s="334">
        <f>SUM(J24:J29,J31:J34)</f>
        <v>6220790.4000000004</v>
      </c>
      <c r="K35" s="334">
        <f>SUM(K24:K29,K31:K34)</f>
        <v>10439428.98</v>
      </c>
      <c r="L35" s="334">
        <f>SUM(L24:L29,L31:L34)</f>
        <v>16660219.380000001</v>
      </c>
      <c r="M35" s="335"/>
      <c r="N35" s="333">
        <f>SUM(N24:N29,N31:N34)</f>
        <v>9542422.9000000004</v>
      </c>
      <c r="O35" s="334">
        <f>SUM(O24:O29,O31:O34)</f>
        <v>18825455.640000001</v>
      </c>
      <c r="P35" s="334">
        <f t="shared" ref="P35:T35" si="14">SUM(P24:P28,P31:P34)</f>
        <v>23762.780599999998</v>
      </c>
      <c r="Q35" s="334">
        <f>SUM(Q24:Q29,Q31:Q34)</f>
        <v>8934852.9026217218</v>
      </c>
      <c r="R35" s="334">
        <f>SUM(R24:R29,R31:R34)</f>
        <v>17626831.123595506</v>
      </c>
      <c r="S35" s="334">
        <f>SUM(S24:S29,S31:S34)</f>
        <v>18418464.605648261</v>
      </c>
      <c r="T35" s="334">
        <f t="shared" si="14"/>
        <v>2538813.3339588651</v>
      </c>
      <c r="U35" s="506">
        <f>S35/Q35</f>
        <v>2.0614177766982373</v>
      </c>
      <c r="V35" s="506">
        <f>(S35*1.1+T35)/R35</f>
        <v>1.2934329625279468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 x14ac:dyDescent="0.35">
      <c r="A36" s="308"/>
      <c r="B36" s="309" t="s">
        <v>458</v>
      </c>
      <c r="C36" s="336" t="s">
        <v>459</v>
      </c>
      <c r="D36" s="336"/>
      <c r="E36" s="337"/>
      <c r="F36" s="325">
        <v>5</v>
      </c>
      <c r="G36" s="338" t="s">
        <v>261</v>
      </c>
      <c r="H36" s="339">
        <f>'G245 NEEA GAS'!A$10</f>
        <v>0</v>
      </c>
      <c r="I36" s="259">
        <f>'G245 NEEA GAS'!A$8</f>
        <v>330417.29000000004</v>
      </c>
      <c r="J36" s="259">
        <f>'G245 NEEA GAS'!A$12</f>
        <v>0</v>
      </c>
      <c r="K36" s="259">
        <f>'G245 NEEA GAS'!A$14</f>
        <v>0</v>
      </c>
      <c r="L36" s="259">
        <f>SUM('G245 NEEA GAS'!Q$5:Q$999)</f>
        <v>0</v>
      </c>
      <c r="M36" s="342"/>
      <c r="N36" s="260">
        <f>'G245 NEEA GAS'!A$18</f>
        <v>1100111.73</v>
      </c>
      <c r="O36" s="259">
        <f>'G245 NEEA GAS'!A$20</f>
        <v>330417.29000000004</v>
      </c>
      <c r="P36" s="259">
        <f>SUM('SBDI {G}'!R$5:R$999)</f>
        <v>626.91</v>
      </c>
      <c r="Q36" s="261">
        <f>N36/(1+ElecDiscountRate)^1</f>
        <v>1030067.1629213482</v>
      </c>
      <c r="R36" s="261">
        <f>O36/(1+ElecDiscountRate)^1</f>
        <v>309379.48501872661</v>
      </c>
      <c r="S36" s="259">
        <f>SUM('G245 NEEA GAS'!AM$5:AM$999)</f>
        <v>0</v>
      </c>
      <c r="T36" s="259">
        <f>SUM('G245 NEEA GAS'!AD$5:AD$999)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18230660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322" customFormat="1" x14ac:dyDescent="0.35">
      <c r="A37" s="308"/>
      <c r="B37" s="313" t="s">
        <v>168</v>
      </c>
      <c r="C37" s="336" t="s">
        <v>408</v>
      </c>
      <c r="D37" s="336"/>
      <c r="E37" s="337"/>
      <c r="F37" s="325">
        <f>IFERROR('TDSM {G}'!A$16,0)</f>
        <v>0</v>
      </c>
      <c r="G37" s="338" t="s">
        <v>266</v>
      </c>
      <c r="H37" s="339">
        <f>'TDSM {G}'!A$10</f>
        <v>0</v>
      </c>
      <c r="I37" s="223">
        <f>'TDSM {G}'!A$8</f>
        <v>111824.11000000002</v>
      </c>
      <c r="J37" s="223">
        <f>'TDSM {G}'!A$12</f>
        <v>0</v>
      </c>
      <c r="K37" s="340">
        <f>'TDSM {G}'!A$14</f>
        <v>0</v>
      </c>
      <c r="L37" s="341">
        <f>SUM('TDSM {G}'!Q$5:Q$999)</f>
        <v>0</v>
      </c>
      <c r="M37" s="342"/>
      <c r="N37" s="343">
        <f>'TDSM {G}'!A$18</f>
        <v>111824.11000000002</v>
      </c>
      <c r="O37" s="342">
        <f>'TDSM {G}'!A$20</f>
        <v>111824.11000000002</v>
      </c>
      <c r="P37" s="345">
        <f>SUM('TDSM {G}'!R$5:R$999)</f>
        <v>0</v>
      </c>
      <c r="Q37" s="344">
        <f>N37/(1+ElecDiscountRate)^1</f>
        <v>104704.22284644196</v>
      </c>
      <c r="R37" s="344">
        <f>O37/(1+ElecDiscountRate)^1</f>
        <v>104704.22284644196</v>
      </c>
      <c r="S37" s="344">
        <f>SUM('TDSM {G}'!AM$5:AM$999)</f>
        <v>0</v>
      </c>
      <c r="T37" s="345">
        <f>SUM('TDSM {G}'!AD$5:AD$999)</f>
        <v>0</v>
      </c>
      <c r="U37" s="507">
        <f>S37/Q37</f>
        <v>0</v>
      </c>
      <c r="V37" s="507">
        <f>((S37*1.1)+(T37))/R37</f>
        <v>0</v>
      </c>
      <c r="W37" s="21"/>
      <c r="X37" s="161">
        <v>18230218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 ht="13" x14ac:dyDescent="0.3">
      <c r="B38" s="316" t="s">
        <v>460</v>
      </c>
      <c r="C38" s="317"/>
      <c r="D38" s="316"/>
      <c r="E38" s="316"/>
      <c r="F38" s="332"/>
      <c r="G38" s="332"/>
      <c r="H38" s="346">
        <v>0</v>
      </c>
      <c r="I38" s="347">
        <f t="shared" ref="I38:N38" si="15">SUM(I36:I37)</f>
        <v>442241.4</v>
      </c>
      <c r="J38" s="347">
        <f t="shared" si="15"/>
        <v>0</v>
      </c>
      <c r="K38" s="347">
        <f t="shared" si="15"/>
        <v>0</v>
      </c>
      <c r="L38" s="347">
        <f t="shared" si="15"/>
        <v>0</v>
      </c>
      <c r="M38" s="347">
        <f t="shared" si="15"/>
        <v>0</v>
      </c>
      <c r="N38" s="347">
        <f t="shared" si="15"/>
        <v>1211935.8400000001</v>
      </c>
      <c r="O38" s="347">
        <f t="shared" ref="O38:T38" si="16">SUM(O36:O37)</f>
        <v>442241.4</v>
      </c>
      <c r="P38" s="347">
        <f>SUM(P36:P37)</f>
        <v>626.91</v>
      </c>
      <c r="Q38" s="347">
        <f t="shared" si="16"/>
        <v>1134771.3857677903</v>
      </c>
      <c r="R38" s="347">
        <f t="shared" si="16"/>
        <v>414083.70786516857</v>
      </c>
      <c r="S38" s="347">
        <f t="shared" si="16"/>
        <v>0</v>
      </c>
      <c r="T38" s="347">
        <f t="shared" si="16"/>
        <v>0</v>
      </c>
      <c r="U38" s="506">
        <f>S38/Q38</f>
        <v>0</v>
      </c>
      <c r="V38" s="506">
        <f>(S38*1.1+T38)/R38</f>
        <v>0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21" customFormat="1" x14ac:dyDescent="0.35">
      <c r="A39" s="308"/>
      <c r="B39" s="309" t="s">
        <v>325</v>
      </c>
      <c r="C39" s="131" t="s">
        <v>401</v>
      </c>
      <c r="D39" s="348"/>
      <c r="E39" s="337"/>
      <c r="F39" s="170"/>
      <c r="G39" s="325"/>
      <c r="H39" s="325">
        <f>'G249 Res Gas Pilot'!A10</f>
        <v>0</v>
      </c>
      <c r="I39" s="223">
        <f>'G249 Res Gas Pilot'!A8</f>
        <v>0</v>
      </c>
      <c r="J39" s="223">
        <v>0</v>
      </c>
      <c r="K39" s="223">
        <v>0</v>
      </c>
      <c r="L39" s="349">
        <v>0</v>
      </c>
      <c r="M39" s="342"/>
      <c r="N39" s="350">
        <f>I39</f>
        <v>0</v>
      </c>
      <c r="O39" s="342">
        <f>SUM(I39:K39)</f>
        <v>0</v>
      </c>
      <c r="P39" s="259">
        <f>SUM('G249 Res Gas Pilot'!R$5:R$1000)</f>
        <v>0</v>
      </c>
      <c r="Q39" s="344">
        <f>N39/(1+GasDiscountRate)^1</f>
        <v>0</v>
      </c>
      <c r="R39" s="344">
        <f>O39/(1+GasDiscountRate)^1</f>
        <v>0</v>
      </c>
      <c r="S39" s="259">
        <f>SUM('G249 Res Gas Pilot'!AM$5:AM$1000)</f>
        <v>0</v>
      </c>
      <c r="T39" s="259">
        <f>SUM('G249 Res Gas Pilot'!AD$5:AD$1000)</f>
        <v>0</v>
      </c>
      <c r="U39" s="507">
        <f>IFERROR(S39/Q39,0)</f>
        <v>0</v>
      </c>
      <c r="V39" s="507">
        <f>IFERROR(((S39*1.1)+(T39))/R39,0)</f>
        <v>0</v>
      </c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352" customFormat="1" x14ac:dyDescent="0.35">
      <c r="A40" s="21"/>
      <c r="B40" s="313" t="s">
        <v>325</v>
      </c>
      <c r="C40" s="131" t="s">
        <v>461</v>
      </c>
      <c r="D40" s="348"/>
      <c r="E40" s="337"/>
      <c r="F40" s="170"/>
      <c r="G40" s="351"/>
      <c r="H40" s="325">
        <f>'G249 Com Gas Pilot'!A10</f>
        <v>0</v>
      </c>
      <c r="I40" s="223">
        <f>'G249 Com Gas Pilot'!A8</f>
        <v>151.52000000000001</v>
      </c>
      <c r="J40" s="223">
        <v>0</v>
      </c>
      <c r="K40" s="223">
        <v>0</v>
      </c>
      <c r="L40" s="349">
        <v>0</v>
      </c>
      <c r="M40" s="342"/>
      <c r="N40" s="350">
        <f>I40</f>
        <v>151.52000000000001</v>
      </c>
      <c r="O40" s="342">
        <f>SUM(I40:K40)</f>
        <v>151.52000000000001</v>
      </c>
      <c r="P40" s="259">
        <f>SUM('G249 Com Gas Pilot'!R$5:R$1000)</f>
        <v>0</v>
      </c>
      <c r="Q40" s="344">
        <f>N40/(1+GasDiscountRate)^1</f>
        <v>141.87265917602997</v>
      </c>
      <c r="R40" s="344">
        <f>O40/(1+GasDiscountRate)^1</f>
        <v>141.87265917602997</v>
      </c>
      <c r="S40" s="259">
        <f>SUM('G249 Com Gas Pilot'!AM$5:AM$1000)</f>
        <v>0</v>
      </c>
      <c r="T40" s="259">
        <f>SUM('G249 Com Gas Pilot'!AD$5:AD$1000)</f>
        <v>0</v>
      </c>
      <c r="U40" s="507">
        <f>IFERROR(S40/Q40,0)</f>
        <v>0</v>
      </c>
      <c r="V40" s="507">
        <f>IFERROR(((S40*1.1)+(T40))/R40,0)</f>
        <v>0</v>
      </c>
      <c r="W40" s="2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 ht="13" x14ac:dyDescent="0.3">
      <c r="B41" s="316" t="s">
        <v>403</v>
      </c>
      <c r="C41" s="316"/>
      <c r="D41" s="316"/>
      <c r="E41" s="353"/>
      <c r="F41" s="316"/>
      <c r="G41" s="332"/>
      <c r="H41" s="334">
        <f>SUM(H39:H40)</f>
        <v>0</v>
      </c>
      <c r="I41" s="354">
        <f t="shared" ref="I41:T41" si="17">SUM(I39:I40)</f>
        <v>151.52000000000001</v>
      </c>
      <c r="J41" s="355">
        <f t="shared" si="17"/>
        <v>0</v>
      </c>
      <c r="K41" s="355">
        <f t="shared" si="17"/>
        <v>0</v>
      </c>
      <c r="L41" s="355">
        <f t="shared" si="17"/>
        <v>0</v>
      </c>
      <c r="M41" s="355">
        <f t="shared" si="17"/>
        <v>0</v>
      </c>
      <c r="N41" s="356">
        <f t="shared" si="17"/>
        <v>151.52000000000001</v>
      </c>
      <c r="O41" s="354">
        <f t="shared" si="17"/>
        <v>151.52000000000001</v>
      </c>
      <c r="P41" s="355">
        <f>SUM(P39:P40)</f>
        <v>0</v>
      </c>
      <c r="Q41" s="354">
        <f t="shared" si="17"/>
        <v>141.87265917602997</v>
      </c>
      <c r="R41" s="354">
        <f t="shared" si="17"/>
        <v>141.87265917602997</v>
      </c>
      <c r="S41" s="355">
        <f t="shared" si="17"/>
        <v>0</v>
      </c>
      <c r="T41" s="355">
        <f t="shared" si="17"/>
        <v>0</v>
      </c>
      <c r="U41" s="506">
        <f>S41/Q41</f>
        <v>0</v>
      </c>
      <c r="V41" s="506">
        <f>(S41*1.1+T41)/R41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102" customFormat="1" x14ac:dyDescent="0.35">
      <c r="B42" s="191"/>
      <c r="C42" s="357" t="s">
        <v>410</v>
      </c>
      <c r="D42" s="357"/>
      <c r="E42" s="358"/>
      <c r="F42" s="358"/>
      <c r="G42" s="359"/>
      <c r="H42" s="360"/>
      <c r="I42" s="361"/>
      <c r="J42" s="362"/>
      <c r="K42" s="363"/>
      <c r="L42" s="363"/>
      <c r="M42" s="363"/>
      <c r="N42" s="364"/>
      <c r="O42" s="365"/>
      <c r="P42" s="365"/>
      <c r="Q42" s="365"/>
      <c r="R42" s="365"/>
      <c r="S42" s="366"/>
      <c r="T42" s="367"/>
      <c r="U42" s="368"/>
      <c r="V42" s="368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 x14ac:dyDescent="0.35">
      <c r="B43" s="191"/>
      <c r="C43" s="192" t="s">
        <v>411</v>
      </c>
      <c r="D43" s="191">
        <v>18231005</v>
      </c>
      <c r="E43" s="191"/>
      <c r="F43" s="191"/>
      <c r="G43" s="193"/>
      <c r="H43" s="191"/>
      <c r="I43" s="194">
        <f>SUMIF('Program Costs'!D:D,'Gas CE'!D43,'Program Costs'!N:N)</f>
        <v>146023.1</v>
      </c>
      <c r="J43" s="194"/>
      <c r="K43" s="191"/>
      <c r="L43" s="191"/>
      <c r="M43" s="191"/>
      <c r="N43" s="350">
        <f>I43</f>
        <v>146023.1</v>
      </c>
      <c r="O43" s="194">
        <f t="shared" ref="O43:O54" si="18">I43</f>
        <v>146023.1</v>
      </c>
      <c r="P43" s="195"/>
      <c r="Q43" s="196">
        <f t="shared" ref="Q43:Q54" si="19">N43/(1+ElecDiscountRate)^1</f>
        <v>136725.7490636704</v>
      </c>
      <c r="R43" s="196">
        <f t="shared" ref="R43:R54" si="20">O43/(1+ElecDiscountRate)^1</f>
        <v>136725.7490636704</v>
      </c>
      <c r="S43" s="191"/>
      <c r="T43" s="197"/>
      <c r="U43" s="191"/>
      <c r="V43" s="198"/>
      <c r="W43" s="106"/>
      <c r="X43">
        <v>18231005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 x14ac:dyDescent="0.35">
      <c r="B44" s="191"/>
      <c r="C44" s="199" t="s">
        <v>412</v>
      </c>
      <c r="D44" s="200">
        <v>18230659</v>
      </c>
      <c r="E44" s="201"/>
      <c r="F44" s="201"/>
      <c r="G44" s="202"/>
      <c r="H44" s="203"/>
      <c r="I44" s="194">
        <f>SUMIF('Program Costs'!D:D,'Gas CE'!D44,'Program Costs'!N:N)</f>
        <v>55103.020000000004</v>
      </c>
      <c r="J44" s="194"/>
      <c r="K44" s="204"/>
      <c r="L44" s="204"/>
      <c r="M44" s="204"/>
      <c r="N44" s="350">
        <f t="shared" ref="N44:N54" si="21">I44</f>
        <v>55103.020000000004</v>
      </c>
      <c r="O44" s="194">
        <f t="shared" si="18"/>
        <v>55103.020000000004</v>
      </c>
      <c r="P44" s="205"/>
      <c r="Q44" s="196">
        <f t="shared" si="19"/>
        <v>51594.588014981273</v>
      </c>
      <c r="R44" s="196">
        <f t="shared" si="20"/>
        <v>51594.588014981273</v>
      </c>
      <c r="S44" s="206"/>
      <c r="T44" s="206"/>
      <c r="U44" s="207"/>
      <c r="V44" s="207"/>
      <c r="W44" s="106"/>
      <c r="X44">
        <v>18230659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 x14ac:dyDescent="0.35">
      <c r="B45" s="191"/>
      <c r="C45" s="208" t="s">
        <v>413</v>
      </c>
      <c r="D45" s="209">
        <v>18230668</v>
      </c>
      <c r="E45" s="201"/>
      <c r="F45" s="201"/>
      <c r="G45" s="202"/>
      <c r="H45" s="203"/>
      <c r="I45" s="194">
        <f>SUMIF('Program Costs'!D:D,'Gas CE'!D45,'Program Costs'!N:N)</f>
        <v>50529.45</v>
      </c>
      <c r="J45" s="194"/>
      <c r="K45" s="204"/>
      <c r="L45" s="204"/>
      <c r="M45" s="204"/>
      <c r="N45" s="350">
        <f t="shared" si="21"/>
        <v>50529.45</v>
      </c>
      <c r="O45" s="194">
        <f t="shared" si="18"/>
        <v>50529.45</v>
      </c>
      <c r="P45" s="196"/>
      <c r="Q45" s="196">
        <f t="shared" si="19"/>
        <v>47312.219101123592</v>
      </c>
      <c r="R45" s="196">
        <f t="shared" si="20"/>
        <v>47312.219101123592</v>
      </c>
      <c r="S45" s="206"/>
      <c r="T45" s="206"/>
      <c r="U45" s="207"/>
      <c r="V45" s="207"/>
      <c r="W45" s="106"/>
      <c r="X45">
        <v>18230668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 x14ac:dyDescent="0.35">
      <c r="B46" s="191"/>
      <c r="C46" s="192" t="s">
        <v>414</v>
      </c>
      <c r="D46" s="191">
        <v>18230688</v>
      </c>
      <c r="E46" s="191"/>
      <c r="F46" s="191"/>
      <c r="G46" s="191"/>
      <c r="H46" s="191"/>
      <c r="I46" s="194">
        <f>SUMIF('Program Costs'!D:D,'Gas CE'!D46,'Program Costs'!N:N)</f>
        <v>74836.259999999995</v>
      </c>
      <c r="J46" s="194"/>
      <c r="K46" s="191"/>
      <c r="L46" s="191"/>
      <c r="M46" s="191"/>
      <c r="N46" s="350">
        <f t="shared" si="21"/>
        <v>74836.259999999995</v>
      </c>
      <c r="O46" s="194">
        <f t="shared" si="18"/>
        <v>74836.259999999995</v>
      </c>
      <c r="P46" s="195"/>
      <c r="Q46" s="196">
        <f t="shared" si="19"/>
        <v>70071.404494382019</v>
      </c>
      <c r="R46" s="196">
        <f t="shared" si="20"/>
        <v>70071.404494382019</v>
      </c>
      <c r="S46" s="191"/>
      <c r="T46" s="197"/>
      <c r="U46" s="191"/>
      <c r="V46" s="198"/>
      <c r="W46" s="106"/>
      <c r="X46">
        <v>18230688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214" customFormat="1" x14ac:dyDescent="0.35">
      <c r="A47" s="210"/>
      <c r="B47" s="191"/>
      <c r="C47" s="211" t="s">
        <v>415</v>
      </c>
      <c r="D47" s="212">
        <v>18230698</v>
      </c>
      <c r="E47" s="191"/>
      <c r="F47" s="191"/>
      <c r="G47" s="191"/>
      <c r="H47" s="191"/>
      <c r="I47" s="194">
        <f>SUMIF('Program Costs'!D:D,'Gas CE'!D47,'Program Costs'!N:N)</f>
        <v>30473.97</v>
      </c>
      <c r="J47" s="194"/>
      <c r="K47" s="191"/>
      <c r="L47" s="191"/>
      <c r="M47" s="191"/>
      <c r="N47" s="350">
        <f t="shared" si="21"/>
        <v>30473.97</v>
      </c>
      <c r="O47" s="194">
        <f t="shared" si="18"/>
        <v>30473.97</v>
      </c>
      <c r="P47" s="195"/>
      <c r="Q47" s="196">
        <f t="shared" si="19"/>
        <v>28533.6797752809</v>
      </c>
      <c r="R47" s="196">
        <f t="shared" si="20"/>
        <v>28533.6797752809</v>
      </c>
      <c r="S47" s="191"/>
      <c r="T47" s="197"/>
      <c r="U47" s="191"/>
      <c r="V47" s="198"/>
      <c r="W47" s="213"/>
      <c r="X47">
        <v>18230698</v>
      </c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  <c r="IW47" s="213"/>
      <c r="IX47" s="213"/>
      <c r="IY47" s="213"/>
      <c r="IZ47" s="213"/>
      <c r="JA47" s="213"/>
      <c r="JB47" s="213"/>
      <c r="JC47" s="213"/>
      <c r="JD47" s="213"/>
      <c r="JE47" s="213"/>
      <c r="JF47" s="213"/>
      <c r="JG47" s="213"/>
      <c r="JH47" s="213"/>
      <c r="JI47" s="213"/>
      <c r="JJ47" s="213"/>
      <c r="JK47" s="213"/>
      <c r="JL47" s="213"/>
      <c r="JM47" s="213"/>
      <c r="JN47" s="213"/>
      <c r="JO47" s="213"/>
      <c r="JP47" s="213"/>
      <c r="JQ47" s="213"/>
      <c r="JR47" s="213"/>
      <c r="JS47" s="213"/>
      <c r="JT47" s="213"/>
      <c r="JU47" s="213"/>
      <c r="JV47" s="213"/>
      <c r="JW47" s="213"/>
      <c r="JX47" s="213"/>
      <c r="JY47" s="213"/>
      <c r="JZ47" s="213"/>
      <c r="KA47" s="213"/>
      <c r="KB47" s="213"/>
      <c r="KC47" s="213"/>
      <c r="KD47" s="213"/>
      <c r="KE47" s="213"/>
      <c r="KF47" s="213"/>
      <c r="KG47" s="213"/>
      <c r="KH47" s="213"/>
      <c r="KI47" s="213"/>
      <c r="KJ47" s="213"/>
      <c r="KK47" s="213"/>
      <c r="KL47" s="213"/>
      <c r="KM47" s="213"/>
      <c r="KN47" s="213"/>
      <c r="KO47" s="213"/>
      <c r="KP47" s="213"/>
      <c r="KQ47" s="213"/>
      <c r="KR47" s="213"/>
      <c r="KS47" s="213"/>
      <c r="KT47" s="213"/>
      <c r="KU47" s="213"/>
      <c r="KV47" s="213"/>
      <c r="KW47" s="213"/>
      <c r="KX47" s="213"/>
      <c r="KY47" s="213"/>
      <c r="KZ47" s="213"/>
      <c r="LA47" s="213"/>
      <c r="LB47" s="213"/>
      <c r="LC47" s="213"/>
      <c r="LD47" s="213"/>
      <c r="LE47" s="213"/>
      <c r="LF47" s="213"/>
      <c r="LG47" s="213"/>
      <c r="LH47" s="213"/>
      <c r="LI47" s="213"/>
      <c r="LJ47" s="213"/>
      <c r="LK47" s="213"/>
      <c r="LL47" s="213"/>
      <c r="LM47" s="213"/>
      <c r="LN47" s="213"/>
      <c r="LO47" s="213"/>
      <c r="LP47" s="213"/>
      <c r="LQ47" s="213"/>
      <c r="LR47" s="213"/>
      <c r="LS47" s="213"/>
      <c r="LT47" s="213"/>
      <c r="LU47" s="213"/>
      <c r="LV47" s="213"/>
      <c r="LW47" s="213"/>
      <c r="LX47" s="213"/>
      <c r="LY47" s="213"/>
      <c r="LZ47" s="213"/>
      <c r="MA47" s="213"/>
      <c r="MB47" s="213"/>
      <c r="MC47" s="213"/>
      <c r="MD47" s="213"/>
      <c r="ME47" s="213"/>
      <c r="MF47" s="213"/>
      <c r="MG47" s="213"/>
      <c r="MH47" s="213"/>
      <c r="MI47" s="213"/>
      <c r="MJ47" s="213"/>
      <c r="MK47" s="213"/>
      <c r="ML47" s="213"/>
      <c r="MM47" s="213"/>
      <c r="MN47" s="213"/>
      <c r="MO47" s="213"/>
      <c r="MP47" s="213"/>
      <c r="MQ47" s="213"/>
      <c r="MR47" s="213"/>
      <c r="MS47" s="213"/>
      <c r="MT47" s="213"/>
      <c r="MU47" s="213"/>
      <c r="MV47" s="213"/>
      <c r="MW47" s="213"/>
      <c r="MX47" s="213"/>
      <c r="MY47" s="213"/>
      <c r="MZ47" s="213"/>
      <c r="NA47" s="213"/>
      <c r="NB47" s="213"/>
      <c r="NC47" s="213"/>
      <c r="ND47" s="213"/>
      <c r="NE47" s="213"/>
      <c r="NF47" s="213"/>
      <c r="NG47" s="213"/>
      <c r="NH47" s="213"/>
      <c r="NI47" s="213"/>
      <c r="NJ47" s="213"/>
      <c r="NK47" s="213"/>
      <c r="NL47" s="213"/>
      <c r="NM47" s="213"/>
      <c r="NN47" s="213"/>
      <c r="NO47" s="213"/>
      <c r="NP47" s="213"/>
      <c r="NQ47" s="213"/>
      <c r="NR47" s="213"/>
      <c r="NS47" s="213"/>
      <c r="NT47" s="213"/>
      <c r="NU47" s="213"/>
      <c r="NV47" s="213"/>
      <c r="NW47" s="213"/>
      <c r="NX47" s="213"/>
      <c r="NY47" s="213"/>
      <c r="NZ47" s="213"/>
      <c r="OA47" s="213"/>
      <c r="OB47" s="213"/>
      <c r="OC47" s="213"/>
      <c r="OD47" s="213"/>
      <c r="OE47" s="213"/>
      <c r="OF47" s="213"/>
      <c r="OG47" s="213"/>
      <c r="OH47" s="213"/>
      <c r="OI47" s="213"/>
      <c r="OJ47" s="213"/>
      <c r="OK47" s="213"/>
      <c r="OL47" s="213"/>
      <c r="OM47" s="213"/>
      <c r="ON47" s="213"/>
      <c r="OO47" s="213"/>
      <c r="OP47" s="213"/>
      <c r="OQ47" s="213"/>
      <c r="OR47" s="213"/>
      <c r="OS47" s="213"/>
      <c r="OT47" s="213"/>
      <c r="OU47" s="213"/>
      <c r="OV47" s="213"/>
      <c r="OW47" s="213"/>
      <c r="OX47" s="213"/>
      <c r="OY47" s="213"/>
      <c r="OZ47" s="213"/>
      <c r="PA47" s="213"/>
      <c r="PB47" s="213"/>
      <c r="PC47" s="213"/>
      <c r="PD47" s="213"/>
      <c r="PE47" s="213"/>
      <c r="PF47" s="213"/>
      <c r="PG47" s="213"/>
      <c r="PH47" s="213"/>
      <c r="PI47" s="213"/>
    </row>
    <row r="48" spans="1:916" s="102" customFormat="1" x14ac:dyDescent="0.35">
      <c r="B48" s="191"/>
      <c r="C48" s="211" t="s">
        <v>416</v>
      </c>
      <c r="D48" s="212">
        <v>18231031</v>
      </c>
      <c r="E48" s="191"/>
      <c r="F48" s="191"/>
      <c r="G48" s="191"/>
      <c r="H48" s="191"/>
      <c r="I48" s="194">
        <f>SUMIF('Program Costs'!D:D,'Gas CE'!D48,'Program Costs'!N:N)</f>
        <v>-77101.760000000009</v>
      </c>
      <c r="J48" s="194"/>
      <c r="K48" s="191"/>
      <c r="L48" s="191"/>
      <c r="M48" s="191"/>
      <c r="N48" s="350">
        <f t="shared" si="21"/>
        <v>-77101.760000000009</v>
      </c>
      <c r="O48" s="194">
        <f t="shared" si="18"/>
        <v>-77101.760000000009</v>
      </c>
      <c r="P48" s="195"/>
      <c r="Q48" s="196">
        <f t="shared" si="19"/>
        <v>-72192.659176029963</v>
      </c>
      <c r="R48" s="196">
        <f t="shared" si="20"/>
        <v>-72192.659176029963</v>
      </c>
      <c r="S48" s="191"/>
      <c r="T48" s="197"/>
      <c r="U48" s="191"/>
      <c r="V48" s="198"/>
      <c r="W48" s="106"/>
      <c r="X48">
        <v>18231031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 x14ac:dyDescent="0.35">
      <c r="B49" s="191"/>
      <c r="C49" s="211" t="s">
        <v>417</v>
      </c>
      <c r="D49" s="212">
        <v>18230667</v>
      </c>
      <c r="E49" s="191"/>
      <c r="F49" s="191"/>
      <c r="G49" s="191"/>
      <c r="H49" s="191"/>
      <c r="I49" s="194">
        <f>SUMIF('Program Costs'!D:D,'Gas CE'!D49,'Program Costs'!N:N)</f>
        <v>855347.02999999991</v>
      </c>
      <c r="J49" s="194"/>
      <c r="K49" s="191"/>
      <c r="L49" s="191"/>
      <c r="M49" s="191"/>
      <c r="N49" s="350">
        <f t="shared" si="21"/>
        <v>855347.02999999991</v>
      </c>
      <c r="O49" s="194">
        <f t="shared" si="18"/>
        <v>855347.02999999991</v>
      </c>
      <c r="P49" s="195"/>
      <c r="Q49" s="196">
        <f t="shared" si="19"/>
        <v>800886.73220973765</v>
      </c>
      <c r="R49" s="196">
        <f t="shared" si="20"/>
        <v>800886.73220973765</v>
      </c>
      <c r="S49" s="191"/>
      <c r="T49" s="197"/>
      <c r="U49" s="191"/>
      <c r="V49" s="198"/>
      <c r="W49" s="106"/>
      <c r="X49">
        <v>18230667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 x14ac:dyDescent="0.35">
      <c r="B50" s="191"/>
      <c r="C50" s="215" t="s">
        <v>418</v>
      </c>
      <c r="D50" s="216">
        <v>18230704</v>
      </c>
      <c r="E50" s="201"/>
      <c r="F50" s="201"/>
      <c r="G50" s="202"/>
      <c r="H50" s="203"/>
      <c r="I50" s="194">
        <f>SUMIF('Program Costs'!D:D,'Gas CE'!D50,'Program Costs'!N:N)</f>
        <v>83329.259999999995</v>
      </c>
      <c r="J50" s="194"/>
      <c r="K50" s="204"/>
      <c r="L50" s="204"/>
      <c r="M50" s="204"/>
      <c r="N50" s="350">
        <f t="shared" si="21"/>
        <v>83329.259999999995</v>
      </c>
      <c r="O50" s="194">
        <f t="shared" si="18"/>
        <v>83329.259999999995</v>
      </c>
      <c r="P50" s="196"/>
      <c r="Q50" s="196">
        <f t="shared" si="19"/>
        <v>78023.651685393255</v>
      </c>
      <c r="R50" s="196">
        <f t="shared" si="20"/>
        <v>78023.651685393255</v>
      </c>
      <c r="S50" s="206"/>
      <c r="T50" s="206"/>
      <c r="U50" s="207"/>
      <c r="V50" s="207"/>
      <c r="W50" s="106"/>
      <c r="X50">
        <v>18230704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 x14ac:dyDescent="0.35">
      <c r="A51" s="134"/>
      <c r="B51" s="191"/>
      <c r="C51" s="192" t="s">
        <v>419</v>
      </c>
      <c r="D51" s="191">
        <v>18230657</v>
      </c>
      <c r="E51" s="191"/>
      <c r="F51" s="191"/>
      <c r="G51" s="191"/>
      <c r="H51" s="191"/>
      <c r="I51" s="194">
        <f>SUMIF('Program Costs'!D:D,'Gas CE'!D51,'Program Costs'!N:N)</f>
        <v>138405.71000000002</v>
      </c>
      <c r="J51" s="194"/>
      <c r="K51" s="191"/>
      <c r="L51" s="191"/>
      <c r="M51" s="191"/>
      <c r="N51" s="350">
        <f t="shared" si="21"/>
        <v>138405.71000000002</v>
      </c>
      <c r="O51" s="194">
        <f t="shared" si="18"/>
        <v>138405.71000000002</v>
      </c>
      <c r="P51" s="195"/>
      <c r="Q51" s="196">
        <f t="shared" si="19"/>
        <v>129593.36142322098</v>
      </c>
      <c r="R51" s="196">
        <f t="shared" si="20"/>
        <v>129593.36142322098</v>
      </c>
      <c r="S51" s="191"/>
      <c r="T51" s="197"/>
      <c r="U51" s="191"/>
      <c r="V51" s="198"/>
      <c r="W51" s="106"/>
      <c r="X51">
        <v>18230657</v>
      </c>
      <c r="Y51"/>
      <c r="Z51"/>
      <c r="AA51"/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 x14ac:dyDescent="0.35">
      <c r="B52" s="191"/>
      <c r="C52" s="215" t="s">
        <v>420</v>
      </c>
      <c r="D52" s="369" t="s">
        <v>462</v>
      </c>
      <c r="E52" s="201"/>
      <c r="F52" s="201"/>
      <c r="G52" s="202"/>
      <c r="H52" s="203"/>
      <c r="I52" s="194">
        <f>SUMIF('Program Costs'!D:D,'Gas CE'!X52,'Program Costs'!N:N)+SUMIF('Program Costs'!D:D,'Gas CE'!Y52,'Program Costs'!N:N)+SUMIF('Program Costs'!D:D,'Gas CE'!Z52,'Program Costs'!N:N)+SUMIF('Program Costs'!D:D,'Gas CE'!AA52,'Program Costs'!N:N)</f>
        <v>416972.92999999993</v>
      </c>
      <c r="J52" s="194"/>
      <c r="K52" s="204"/>
      <c r="L52" s="204"/>
      <c r="M52" s="204"/>
      <c r="N52" s="350">
        <f t="shared" si="21"/>
        <v>416972.92999999993</v>
      </c>
      <c r="O52" s="194">
        <f t="shared" si="18"/>
        <v>416972.92999999993</v>
      </c>
      <c r="P52" s="196"/>
      <c r="Q52" s="196">
        <f t="shared" si="19"/>
        <v>390424.09176029952</v>
      </c>
      <c r="R52" s="196">
        <f t="shared" si="20"/>
        <v>390424.09176029952</v>
      </c>
      <c r="S52" s="206"/>
      <c r="T52" s="206"/>
      <c r="U52" s="207"/>
      <c r="V52" s="207"/>
      <c r="W52" s="106"/>
      <c r="X52">
        <v>18230665</v>
      </c>
      <c r="Y52">
        <v>18230737</v>
      </c>
      <c r="Z52">
        <v>18230690</v>
      </c>
      <c r="AA52">
        <v>18230662</v>
      </c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</row>
    <row r="53" spans="1:916" s="102" customFormat="1" x14ac:dyDescent="0.35">
      <c r="B53" s="191"/>
      <c r="C53" s="192" t="s">
        <v>421</v>
      </c>
      <c r="D53" s="191">
        <v>18230732</v>
      </c>
      <c r="E53" s="201"/>
      <c r="F53" s="201"/>
      <c r="G53" s="202"/>
      <c r="H53" s="203"/>
      <c r="I53" s="194">
        <f>SUMIF('Program Costs'!D:D,'Gas CE'!D53,'Program Costs'!N:N)</f>
        <v>174302.67</v>
      </c>
      <c r="J53" s="194"/>
      <c r="K53" s="218"/>
      <c r="L53" s="218"/>
      <c r="M53" s="218"/>
      <c r="N53" s="350">
        <f t="shared" si="21"/>
        <v>174302.67</v>
      </c>
      <c r="O53" s="194">
        <f t="shared" si="18"/>
        <v>174302.67</v>
      </c>
      <c r="P53" s="219"/>
      <c r="Q53" s="196">
        <f t="shared" si="19"/>
        <v>163204.74719101124</v>
      </c>
      <c r="R53" s="196">
        <f t="shared" si="20"/>
        <v>163204.74719101124</v>
      </c>
      <c r="S53" s="219"/>
      <c r="T53" s="194"/>
      <c r="U53" s="207"/>
      <c r="V53" s="207"/>
      <c r="W53" s="106"/>
      <c r="X53">
        <v>18230732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 x14ac:dyDescent="0.35">
      <c r="B54" s="191"/>
      <c r="C54" s="215" t="s">
        <v>422</v>
      </c>
      <c r="D54" s="216">
        <v>18230675</v>
      </c>
      <c r="E54" s="201"/>
      <c r="F54" s="201"/>
      <c r="G54" s="202"/>
      <c r="H54" s="203"/>
      <c r="I54" s="194">
        <f>SUMIF('Program Costs'!D:D,'Gas CE'!D54,'Program Costs'!N:N)</f>
        <v>127854.73999999999</v>
      </c>
      <c r="J54" s="194"/>
      <c r="K54" s="204"/>
      <c r="L54" s="204"/>
      <c r="M54" s="204"/>
      <c r="N54" s="350">
        <f t="shared" si="21"/>
        <v>127854.73999999999</v>
      </c>
      <c r="O54" s="194">
        <f t="shared" si="18"/>
        <v>127854.73999999999</v>
      </c>
      <c r="P54" s="196"/>
      <c r="Q54" s="196">
        <f t="shared" si="19"/>
        <v>119714.17602996253</v>
      </c>
      <c r="R54" s="196">
        <f t="shared" si="20"/>
        <v>119714.17602996253</v>
      </c>
      <c r="S54" s="206"/>
      <c r="T54" s="206"/>
      <c r="U54" s="207"/>
      <c r="V54" s="207"/>
      <c r="W54" s="106"/>
      <c r="X54">
        <v>18230675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 x14ac:dyDescent="0.35">
      <c r="B55" s="137"/>
      <c r="C55" s="137" t="s">
        <v>423</v>
      </c>
      <c r="D55" s="137"/>
      <c r="E55" s="137"/>
      <c r="F55" s="137"/>
      <c r="G55" s="137"/>
      <c r="H55" s="137">
        <f>SUM(H50:H54)</f>
        <v>0</v>
      </c>
      <c r="I55" s="221">
        <f>SUM(I43:I54)</f>
        <v>2076076.3799999997</v>
      </c>
      <c r="J55" s="137">
        <f>SUM(J43:J54)</f>
        <v>0</v>
      </c>
      <c r="K55" s="137">
        <f>SUM(K50:K54)</f>
        <v>0</v>
      </c>
      <c r="L55" s="137">
        <f>SUM(L50:L54)</f>
        <v>0</v>
      </c>
      <c r="M55" s="137">
        <f>SUM(M50:M54)</f>
        <v>0</v>
      </c>
      <c r="N55" s="370">
        <f>SUM(N43:N54)</f>
        <v>2076076.3799999997</v>
      </c>
      <c r="O55" s="221">
        <f>SUM(O43:O54)</f>
        <v>2076076.3799999997</v>
      </c>
      <c r="P55" s="221">
        <f>SUM(P43:P54)</f>
        <v>0</v>
      </c>
      <c r="Q55" s="221">
        <f>SUM(Q43:Q54)</f>
        <v>1943891.7415730332</v>
      </c>
      <c r="R55" s="221">
        <f>SUM(R43:R54)</f>
        <v>1943891.7415730332</v>
      </c>
      <c r="S55" s="137">
        <f>SUM(S50:S54)</f>
        <v>0</v>
      </c>
      <c r="T55" s="137">
        <f>SUM(T50:T54)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 x14ac:dyDescent="0.35">
      <c r="B56" s="371"/>
      <c r="C56" s="208" t="s">
        <v>424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99496.43</v>
      </c>
      <c r="J56" s="265"/>
      <c r="K56" s="375"/>
      <c r="L56" s="375"/>
      <c r="M56" s="375"/>
      <c r="N56" s="376">
        <f>I56</f>
        <v>99496.43</v>
      </c>
      <c r="O56" s="222">
        <f>I56</f>
        <v>99496.43</v>
      </c>
      <c r="P56" s="268"/>
      <c r="Q56" s="377">
        <f t="shared" ref="Q56:R60" si="22">N56/(1+ElecDiscountRate)^1</f>
        <v>93161.451310861405</v>
      </c>
      <c r="R56" s="377">
        <f t="shared" si="22"/>
        <v>93161.451310861405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 x14ac:dyDescent="0.35">
      <c r="A57" s="134"/>
      <c r="B57" s="371"/>
      <c r="C57" s="208" t="s">
        <v>425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71418.52</v>
      </c>
      <c r="J57" s="265"/>
      <c r="K57" s="375"/>
      <c r="L57" s="375"/>
      <c r="M57" s="375"/>
      <c r="N57" s="376">
        <f>I57</f>
        <v>71418.52</v>
      </c>
      <c r="O57" s="222">
        <f>I57</f>
        <v>71418.52</v>
      </c>
      <c r="P57" s="268"/>
      <c r="Q57" s="377">
        <f t="shared" si="22"/>
        <v>66871.273408239707</v>
      </c>
      <c r="R57" s="377">
        <f t="shared" si="22"/>
        <v>66871.273408239707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 x14ac:dyDescent="0.35">
      <c r="A58" s="102"/>
      <c r="B58" s="371"/>
      <c r="C58" s="208" t="s">
        <v>426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24457.33</v>
      </c>
      <c r="J58" s="265"/>
      <c r="K58" s="375"/>
      <c r="L58" s="375"/>
      <c r="M58" s="375"/>
      <c r="N58" s="376">
        <f>I58</f>
        <v>24457.33</v>
      </c>
      <c r="O58" s="222">
        <f>I58</f>
        <v>24457.33</v>
      </c>
      <c r="P58" s="268"/>
      <c r="Q58" s="377">
        <f t="shared" si="22"/>
        <v>22900.121722846441</v>
      </c>
      <c r="R58" s="377">
        <f t="shared" si="22"/>
        <v>22900.121722846441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5" customHeight="1" x14ac:dyDescent="0.35">
      <c r="A59" s="102"/>
      <c r="B59" s="371"/>
      <c r="C59" s="208" t="s">
        <v>427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227544.83000000002</v>
      </c>
      <c r="J59" s="265"/>
      <c r="K59" s="375"/>
      <c r="L59" s="375"/>
      <c r="M59" s="375"/>
      <c r="N59" s="376">
        <f>I59</f>
        <v>227544.83000000002</v>
      </c>
      <c r="O59" s="222">
        <f>I59</f>
        <v>227544.83000000002</v>
      </c>
      <c r="P59" s="268"/>
      <c r="Q59" s="377">
        <f t="shared" si="22"/>
        <v>213056.95692883895</v>
      </c>
      <c r="R59" s="377">
        <f t="shared" si="22"/>
        <v>213056.95692883895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 x14ac:dyDescent="0.35">
      <c r="A60" s="225"/>
      <c r="B60" s="137"/>
      <c r="C60" s="137" t="s">
        <v>429</v>
      </c>
      <c r="D60" s="137"/>
      <c r="E60" s="137"/>
      <c r="F60" s="137"/>
      <c r="G60" s="137"/>
      <c r="H60" s="137">
        <f t="shared" ref="H60:P60" si="23">SUM(H56:H59)</f>
        <v>0</v>
      </c>
      <c r="I60" s="221">
        <f t="shared" si="23"/>
        <v>422917.11000000004</v>
      </c>
      <c r="J60" s="137">
        <f t="shared" si="23"/>
        <v>0</v>
      </c>
      <c r="K60" s="137">
        <f t="shared" si="23"/>
        <v>0</v>
      </c>
      <c r="L60" s="137">
        <f t="shared" si="23"/>
        <v>0</v>
      </c>
      <c r="M60" s="137">
        <f t="shared" si="23"/>
        <v>0</v>
      </c>
      <c r="N60" s="370">
        <f t="shared" si="23"/>
        <v>422917.11000000004</v>
      </c>
      <c r="O60" s="221">
        <f t="shared" si="23"/>
        <v>422917.11000000004</v>
      </c>
      <c r="P60" s="221">
        <f t="shared" si="23"/>
        <v>0</v>
      </c>
      <c r="Q60" s="221">
        <f t="shared" si="22"/>
        <v>395989.80337078654</v>
      </c>
      <c r="R60" s="221">
        <f t="shared" si="22"/>
        <v>395989.80337078654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3" x14ac:dyDescent="0.3">
      <c r="B61" s="316" t="s">
        <v>463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2498993.4899999998</v>
      </c>
      <c r="J61" s="321">
        <f t="shared" ref="J61:T61" si="24">J55+J60</f>
        <v>0</v>
      </c>
      <c r="K61" s="321">
        <f t="shared" si="24"/>
        <v>0</v>
      </c>
      <c r="L61" s="321">
        <f t="shared" si="24"/>
        <v>0</v>
      </c>
      <c r="M61" s="321">
        <f t="shared" si="24"/>
        <v>0</v>
      </c>
      <c r="N61" s="347">
        <f t="shared" si="24"/>
        <v>2498993.4899999998</v>
      </c>
      <c r="O61" s="321">
        <f t="shared" si="24"/>
        <v>2498993.4899999998</v>
      </c>
      <c r="P61" s="321">
        <f t="shared" si="24"/>
        <v>0</v>
      </c>
      <c r="Q61" s="321">
        <f t="shared" si="24"/>
        <v>2339881.5449438198</v>
      </c>
      <c r="R61" s="321">
        <f t="shared" si="24"/>
        <v>2339881.5449438198</v>
      </c>
      <c r="S61" s="321">
        <f t="shared" si="24"/>
        <v>0</v>
      </c>
      <c r="T61" s="321">
        <f t="shared" si="24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 ht="14" x14ac:dyDescent="0.3">
      <c r="A62" s="230"/>
      <c r="B62" s="382" t="s">
        <v>464</v>
      </c>
      <c r="C62" s="382"/>
      <c r="D62" s="382"/>
      <c r="E62" s="382"/>
      <c r="F62" s="382"/>
      <c r="G62" s="382"/>
      <c r="H62" s="383">
        <f t="shared" ref="H62:T62" si="25">SUM(H22,H35,H38,H41,H61)</f>
        <v>4642334.5399999935</v>
      </c>
      <c r="I62" s="383">
        <f t="shared" si="25"/>
        <v>7057675.8099999987</v>
      </c>
      <c r="J62" s="383">
        <f t="shared" si="25"/>
        <v>14128666.779999999</v>
      </c>
      <c r="K62" s="383">
        <f t="shared" si="25"/>
        <v>20644338.359999999</v>
      </c>
      <c r="L62" s="383">
        <f t="shared" si="25"/>
        <v>34773005.140000001</v>
      </c>
      <c r="M62" s="383">
        <f t="shared" si="25"/>
        <v>0</v>
      </c>
      <c r="N62" s="384">
        <f t="shared" si="25"/>
        <v>23147945.379999999</v>
      </c>
      <c r="O62" s="383">
        <f t="shared" si="25"/>
        <v>41830680.950000003</v>
      </c>
      <c r="P62" s="383">
        <f t="shared" si="25"/>
        <v>25171.830499999996</v>
      </c>
      <c r="Q62" s="383">
        <f t="shared" si="25"/>
        <v>21674106.161048688</v>
      </c>
      <c r="R62" s="383">
        <f t="shared" si="25"/>
        <v>39167304.260299623</v>
      </c>
      <c r="S62" s="383">
        <f t="shared" si="25"/>
        <v>37729568.037418693</v>
      </c>
      <c r="T62" s="383">
        <f t="shared" si="25"/>
        <v>6077139.2741413377</v>
      </c>
      <c r="U62" s="385">
        <f>S62/Q62</f>
        <v>1.7407669666776779</v>
      </c>
      <c r="V62" s="385">
        <f>(S62*1.1+T62)/R62</f>
        <v>1.2147801594691094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 x14ac:dyDescent="0.35">
      <c r="B63" s="182"/>
      <c r="C63" s="183" t="s">
        <v>431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 x14ac:dyDescent="0.35">
      <c r="A64" s="102"/>
      <c r="B64" s="191"/>
      <c r="C64" s="245" t="s">
        <v>432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300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 x14ac:dyDescent="0.35">
      <c r="B65" s="191"/>
      <c r="C65" s="245" t="s">
        <v>433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194">
        <f>SUMIF('Program Costs'!D:D,'Gas CE'!D65,'Program Costs'!N:N)</f>
        <v>5100</v>
      </c>
      <c r="O65" s="223">
        <f>I65</f>
        <v>0</v>
      </c>
      <c r="P65" s="196"/>
      <c r="Q65" s="196">
        <f>N65/(1+ElecDiscountRate)^1</f>
        <v>4775.2808988764045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5" x14ac:dyDescent="0.35">
      <c r="A66" s="249"/>
      <c r="B66" s="226"/>
      <c r="C66" s="226" t="s">
        <v>465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5100</v>
      </c>
      <c r="O66" s="228">
        <f>SUM(O64:O65)</f>
        <v>0</v>
      </c>
      <c r="P66" s="228">
        <f>SUM(P64:P64)</f>
        <v>0</v>
      </c>
      <c r="Q66" s="228">
        <f>SUM(Q64:Q65)</f>
        <v>4775.2808988764045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 x14ac:dyDescent="0.35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 x14ac:dyDescent="0.35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 x14ac:dyDescent="0.35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 x14ac:dyDescent="0.35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 x14ac:dyDescent="0.35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 x14ac:dyDescent="0.35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 x14ac:dyDescent="0.35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 x14ac:dyDescent="0.35">
      <c r="I75" s="387"/>
      <c r="O75" s="387"/>
      <c r="W75" s="106"/>
      <c r="AIE75" s="248"/>
      <c r="AIF75" s="248"/>
    </row>
    <row r="76" spans="1:916" x14ac:dyDescent="0.35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 x14ac:dyDescent="0.35">
      <c r="O90" s="387"/>
    </row>
  </sheetData>
  <mergeCells count="1">
    <mergeCell ref="A5:A6"/>
  </mergeCells>
  <conditionalFormatting sqref="G40">
    <cfRule type="containsBlanks" dxfId="337" priority="3">
      <formula>LEN(TRIM(G40))=0</formula>
    </cfRule>
    <cfRule type="notContainsBlanks" dxfId="336" priority="4">
      <formula>LEN(TRIM(G40))&gt;0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H New Construction {G}'!A1" display="Manufactured Home New Construction"/>
    <hyperlink ref="C19" location="'Multi Family Retrofit {G}'!A1" display="Multi-Family Retrofit"/>
    <hyperlink ref="C20" location="'MF New Construction {G}'!A1" display="Multi-Family New Construction"/>
    <hyperlink ref="C24" location="'CI Retrofit {G}'!A1" display="Commercial/Industrial Retrofit"/>
    <hyperlink ref="C25" location="'CBA {G}'!A1" display="Clean Buildiings Accellerator"/>
    <hyperlink ref="C26" location="'Industrial EM {G}'!A1" display="Industrial Energy Management"/>
    <hyperlink ref="C27" location="'CI New Construction {G}'!A1" display="Commercial/Industrial New Construction"/>
    <hyperlink ref="C28" location="'Com SEM {G}'!A1" display="Commercial Strategic Energy Management"/>
    <hyperlink ref="C29" location="'P4P {G}'!A1" display="Pay for Performance"/>
    <hyperlink ref="C31" location="'Commercial Kitchen Laundry {G}'!A1" display="Commercial Kitchen &amp; Laundry"/>
    <hyperlink ref="C32" location="'Commercial HVAC {G}'!A1" display="Commercial HVAC"/>
    <hyperlink ref="C33" location="'Commercial Midstream {G}'!A1" display="Commercial Midstream"/>
    <hyperlink ref="C34" location="'SBDI {G}'!A1" display="Small Business Direct Install"/>
    <hyperlink ref="C36" location="'G245 NEEA GAS'!A1" display="NEEA Gas Market Transformation Study"/>
    <hyperlink ref="C37" location="'TDSM {G}'!A1" display="Targeted DSM Pilot"/>
    <hyperlink ref="C39" location="'G249 Res Gas Pilot'!A1" display="Residential Pilots"/>
    <hyperlink ref="C40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C1" zoomScale="85" zoomScaleNormal="85" workbookViewId="0">
      <selection activeCell="M12" sqref="M12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18230720</v>
      </c>
      <c r="D2" s="20" t="s">
        <v>127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126</v>
      </c>
      <c r="C5" s="98">
        <v>18230720</v>
      </c>
      <c r="D5" s="61" t="s">
        <v>127</v>
      </c>
      <c r="E5" s="38" t="s">
        <v>1114</v>
      </c>
      <c r="F5" s="39" t="s">
        <v>1115</v>
      </c>
      <c r="G5" s="39">
        <v>20</v>
      </c>
      <c r="H5" s="39"/>
      <c r="I5" s="40" t="s">
        <v>266</v>
      </c>
      <c r="J5" s="41">
        <v>1</v>
      </c>
      <c r="K5" s="41">
        <v>96499</v>
      </c>
      <c r="L5" s="41"/>
      <c r="M5" s="42">
        <v>48250</v>
      </c>
      <c r="N5" s="42">
        <v>172617</v>
      </c>
      <c r="O5" s="43">
        <v>96499</v>
      </c>
      <c r="P5" s="44">
        <v>48250</v>
      </c>
      <c r="Q5" s="44">
        <v>172617</v>
      </c>
      <c r="R5" s="45"/>
      <c r="S5" s="46"/>
      <c r="T5" s="39">
        <f t="shared" ref="T5:T24" si="0">G5+H5</f>
        <v>20</v>
      </c>
      <c r="U5" s="47">
        <f t="shared" ref="U5:U24" si="1">(O5/$A$10)*T5</f>
        <v>0.15585218922105398</v>
      </c>
      <c r="V5" s="48">
        <f t="shared" ref="V5:V24" si="2">N5-M5</f>
        <v>124367</v>
      </c>
      <c r="W5" s="49">
        <f t="shared" ref="W5:W24" si="3">(O5/A$10)</f>
        <v>7.7926094610526993E-3</v>
      </c>
      <c r="X5" s="44">
        <f t="shared" ref="X5:X24" si="4">W5*A$8</f>
        <v>1800.4525702819897</v>
      </c>
      <c r="Y5" s="44">
        <f t="shared" ref="Y5:Y24" si="5">Q5-P5</f>
        <v>124367</v>
      </c>
      <c r="Z5" s="44">
        <f t="shared" ref="Z5:Z24" si="6">X5+(A$6*W5)</f>
        <v>37015.204540374201</v>
      </c>
      <c r="AA5" s="50">
        <f t="shared" ref="AA5:AA24" si="7">Q5+X5</f>
        <v>174417.45257028198</v>
      </c>
      <c r="AB5" s="51">
        <f t="shared" ref="AB5:AC20" si="8">Z5/(1+ElecDiscountRate)^1</f>
        <v>34658.431217578836</v>
      </c>
      <c r="AC5" s="44">
        <f t="shared" si="8"/>
        <v>163312.22150775464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1.6018928111000572</v>
      </c>
      <c r="AG5" s="44">
        <f t="shared" ref="AG5:AG24" si="10">AF5*J5*K5</f>
        <v>154581.05437834442</v>
      </c>
      <c r="AH5" s="52">
        <f>HLOOKUP(I5,ElecAvoidedCostsWOCC!$A$5:$Q$50,T5+1,FALSE)</f>
        <v>1.6018928111000572</v>
      </c>
      <c r="AI5" s="44">
        <f t="shared" ref="AI5:AI24" si="11">AH5*J5*L5</f>
        <v>0</v>
      </c>
      <c r="AJ5" s="44">
        <f>AG5+AI5</f>
        <v>154581.05437834442</v>
      </c>
      <c r="AK5" s="44">
        <f>HLOOKUP(I5,ElecAvoidedCostsWOCC!$A$5:$Q$50,G5+1,FALSE)*J5*L5</f>
        <v>0</v>
      </c>
      <c r="AL5" s="44">
        <f>AG5+AI5-AK5</f>
        <v>154581.05437834442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154581.05437834442</v>
      </c>
      <c r="AN5" s="48">
        <f>AM5*1.1+AD5+AE5</f>
        <v>170039.15981617887</v>
      </c>
      <c r="AO5" s="47">
        <f>IFERROR(AM5/AB5,0)</f>
        <v>4.460128429008078</v>
      </c>
      <c r="AP5" s="47">
        <f>AN5/AC5</f>
        <v>1.0411906607253201</v>
      </c>
    </row>
    <row r="6" spans="1:42" ht="13.5" customHeight="1" x14ac:dyDescent="0.35">
      <c r="A6" s="53">
        <f>SUMIF('Program Costs'!C:C,D2,'Program Costs'!L:L)</f>
        <v>4518993.5599999996</v>
      </c>
      <c r="B6" s="97" t="s">
        <v>126</v>
      </c>
      <c r="C6" s="98">
        <v>18230720</v>
      </c>
      <c r="D6" s="61" t="s">
        <v>127</v>
      </c>
      <c r="E6" s="38" t="s">
        <v>1238</v>
      </c>
      <c r="F6" s="39" t="s">
        <v>1239</v>
      </c>
      <c r="G6" s="39">
        <v>15</v>
      </c>
      <c r="H6" s="39"/>
      <c r="I6" s="40" t="s">
        <v>261</v>
      </c>
      <c r="J6" s="41">
        <v>1</v>
      </c>
      <c r="K6" s="41">
        <v>574117</v>
      </c>
      <c r="L6" s="41"/>
      <c r="M6" s="42">
        <v>182736</v>
      </c>
      <c r="N6" s="42">
        <v>182736</v>
      </c>
      <c r="O6" s="43">
        <v>574117</v>
      </c>
      <c r="P6" s="44">
        <v>182736</v>
      </c>
      <c r="Q6" s="44">
        <v>182736</v>
      </c>
      <c r="R6" s="45"/>
      <c r="S6" s="46"/>
      <c r="T6" s="39">
        <f t="shared" si="0"/>
        <v>15</v>
      </c>
      <c r="U6" s="47">
        <f t="shared" si="1"/>
        <v>0.69542734628615732</v>
      </c>
      <c r="V6" s="48">
        <f t="shared" si="2"/>
        <v>0</v>
      </c>
      <c r="W6" s="49">
        <f t="shared" si="3"/>
        <v>4.6361823085743818E-2</v>
      </c>
      <c r="X6" s="44">
        <f t="shared" si="4"/>
        <v>10711.721658178687</v>
      </c>
      <c r="Y6" s="44">
        <f t="shared" si="5"/>
        <v>0</v>
      </c>
      <c r="Z6" s="44">
        <f t="shared" si="6"/>
        <v>220220.50161251432</v>
      </c>
      <c r="AA6" s="50">
        <f t="shared" si="7"/>
        <v>193447.72165817869</v>
      </c>
      <c r="AB6" s="51">
        <f t="shared" si="8"/>
        <v>206198.97154729805</v>
      </c>
      <c r="AC6" s="44">
        <f t="shared" si="8"/>
        <v>181130.82552263921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617960.50897013908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617960.50897013908</v>
      </c>
      <c r="AK6" s="44">
        <f>HLOOKUP(I6,ElecAvoidedCostsWOCC!$A$5:$Q$50,G6+1,FALSE)*J6*L6</f>
        <v>0</v>
      </c>
      <c r="AL6" s="44">
        <f t="shared" ref="AL6:AL24" si="13">AG6+AI6-AK6</f>
        <v>617960.50897013908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617960.50897013908</v>
      </c>
      <c r="AN6" s="48">
        <f t="shared" ref="AN6:AN24" si="14">AM6*1.1+AD6+AE6</f>
        <v>679756.55986715306</v>
      </c>
      <c r="AO6" s="47">
        <f t="shared" ref="AO6:AO24" si="15">IFERROR(AM6/AB6,0)</f>
        <v>2.9969136331428836</v>
      </c>
      <c r="AP6" s="47">
        <f t="shared" ref="AP6:AP24" si="16">AN6/AC6</f>
        <v>3.7528485717754956</v>
      </c>
    </row>
    <row r="7" spans="1:42" ht="13.5" customHeight="1" x14ac:dyDescent="0.35">
      <c r="A7" s="36" t="s">
        <v>240</v>
      </c>
      <c r="B7" s="97" t="s">
        <v>126</v>
      </c>
      <c r="C7" s="98">
        <v>18230720</v>
      </c>
      <c r="D7" s="61" t="s">
        <v>127</v>
      </c>
      <c r="E7" s="38" t="s">
        <v>1122</v>
      </c>
      <c r="F7" s="39" t="s">
        <v>1123</v>
      </c>
      <c r="G7" s="39">
        <v>15</v>
      </c>
      <c r="H7" s="39"/>
      <c r="I7" s="40" t="s">
        <v>261</v>
      </c>
      <c r="J7" s="41">
        <v>1</v>
      </c>
      <c r="K7" s="41">
        <v>3050468</v>
      </c>
      <c r="L7" s="41"/>
      <c r="M7" s="42">
        <v>1525234</v>
      </c>
      <c r="N7" s="42">
        <v>1525234</v>
      </c>
      <c r="O7" s="43">
        <v>3050468</v>
      </c>
      <c r="P7" s="44">
        <v>1525234</v>
      </c>
      <c r="Q7" s="44">
        <v>1525234</v>
      </c>
      <c r="R7" s="45"/>
      <c r="S7" s="46"/>
      <c r="T7" s="39">
        <f t="shared" si="0"/>
        <v>15</v>
      </c>
      <c r="U7" s="47">
        <f t="shared" si="1"/>
        <v>3.6950288289161297</v>
      </c>
      <c r="V7" s="48">
        <f t="shared" si="2"/>
        <v>0</v>
      </c>
      <c r="W7" s="49">
        <f t="shared" si="3"/>
        <v>0.2463352552610753</v>
      </c>
      <c r="X7" s="44">
        <f t="shared" si="4"/>
        <v>56914.817264043777</v>
      </c>
      <c r="Y7" s="44">
        <f t="shared" si="5"/>
        <v>0</v>
      </c>
      <c r="Z7" s="44">
        <f t="shared" si="6"/>
        <v>1170102.2493897991</v>
      </c>
      <c r="AA7" s="50">
        <f t="shared" si="7"/>
        <v>1582148.8172640437</v>
      </c>
      <c r="AB7" s="51">
        <f t="shared" si="8"/>
        <v>1095601.3571065534</v>
      </c>
      <c r="AC7" s="44">
        <f t="shared" si="8"/>
        <v>1481412.7502472319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3283422.6436024751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3283422.6436024751</v>
      </c>
      <c r="AK7" s="44">
        <f>HLOOKUP(I7,ElecAvoidedCostsWOCC!$A$5:$Q$50,G7+1,FALSE)*J7*L7</f>
        <v>0</v>
      </c>
      <c r="AL7" s="44">
        <f t="shared" si="13"/>
        <v>3283422.6436024751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3283422.6436024751</v>
      </c>
      <c r="AN7" s="48">
        <f t="shared" si="14"/>
        <v>3611764.9079627227</v>
      </c>
      <c r="AO7" s="47">
        <f t="shared" si="15"/>
        <v>2.9969136331428841</v>
      </c>
      <c r="AP7" s="47">
        <f t="shared" si="16"/>
        <v>2.4380544229553567</v>
      </c>
    </row>
    <row r="8" spans="1:42" ht="13.5" customHeight="1" x14ac:dyDescent="0.35">
      <c r="A8" s="53">
        <f>SUMIF('Program Costs'!C:C,D2,'Program Costs'!O:O)</f>
        <v>231046.16999999993</v>
      </c>
      <c r="B8" s="97" t="s">
        <v>126</v>
      </c>
      <c r="C8" s="98">
        <v>18230720</v>
      </c>
      <c r="D8" s="61" t="s">
        <v>127</v>
      </c>
      <c r="E8" s="38" t="s">
        <v>1128</v>
      </c>
      <c r="F8" s="39" t="s">
        <v>1129</v>
      </c>
      <c r="G8" s="39">
        <v>15</v>
      </c>
      <c r="H8" s="39"/>
      <c r="I8" s="40" t="s">
        <v>261</v>
      </c>
      <c r="J8" s="41">
        <v>1</v>
      </c>
      <c r="K8" s="41">
        <v>295625</v>
      </c>
      <c r="L8" s="41"/>
      <c r="M8" s="42">
        <v>147813</v>
      </c>
      <c r="N8" s="42">
        <v>271535.49</v>
      </c>
      <c r="O8" s="43">
        <v>295625</v>
      </c>
      <c r="P8" s="44">
        <v>147813</v>
      </c>
      <c r="Q8" s="44">
        <v>271535.49</v>
      </c>
      <c r="R8" s="45"/>
      <c r="S8" s="46"/>
      <c r="T8" s="39">
        <f t="shared" si="0"/>
        <v>15</v>
      </c>
      <c r="U8" s="47">
        <f t="shared" si="1"/>
        <v>0.35809026600125976</v>
      </c>
      <c r="V8" s="48">
        <f t="shared" si="2"/>
        <v>123722.48999999999</v>
      </c>
      <c r="W8" s="49">
        <f t="shared" si="3"/>
        <v>2.3872684400083985E-2</v>
      </c>
      <c r="X8" s="44">
        <f t="shared" si="4"/>
        <v>5515.6922982581509</v>
      </c>
      <c r="Y8" s="44">
        <f t="shared" si="5"/>
        <v>123722.48999999999</v>
      </c>
      <c r="Z8" s="44">
        <f t="shared" si="6"/>
        <v>113396.19936215013</v>
      </c>
      <c r="AA8" s="50">
        <f t="shared" si="7"/>
        <v>277051.18229825812</v>
      </c>
      <c r="AB8" s="51">
        <f t="shared" si="8"/>
        <v>106176.21663122671</v>
      </c>
      <c r="AC8" s="44">
        <f t="shared" si="8"/>
        <v>259411.21938039147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318200.95113765547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318200.95113765547</v>
      </c>
      <c r="AK8" s="44">
        <f>HLOOKUP(I8,ElecAvoidedCostsWOCC!$A$5:$Q$50,G8+1,FALSE)*J8*L8</f>
        <v>0</v>
      </c>
      <c r="AL8" s="44">
        <f t="shared" si="13"/>
        <v>318200.95113765547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318200.95113765547</v>
      </c>
      <c r="AN8" s="48">
        <f t="shared" si="14"/>
        <v>350021.04625142104</v>
      </c>
      <c r="AO8" s="47">
        <f t="shared" si="15"/>
        <v>2.9969136331428836</v>
      </c>
      <c r="AP8" s="47">
        <f t="shared" si="16"/>
        <v>1.3492903163072623</v>
      </c>
    </row>
    <row r="9" spans="1:42" ht="13.5" customHeight="1" x14ac:dyDescent="0.35">
      <c r="A9" s="36" t="s">
        <v>242</v>
      </c>
      <c r="B9" s="97" t="s">
        <v>126</v>
      </c>
      <c r="C9" s="98">
        <v>18230720</v>
      </c>
      <c r="D9" s="61" t="s">
        <v>127</v>
      </c>
      <c r="E9" s="38" t="s">
        <v>1130</v>
      </c>
      <c r="F9" s="39" t="s">
        <v>1131</v>
      </c>
      <c r="G9" s="39">
        <v>20</v>
      </c>
      <c r="H9" s="39"/>
      <c r="I9" s="40" t="s">
        <v>262</v>
      </c>
      <c r="J9" s="41">
        <v>1</v>
      </c>
      <c r="K9" s="41">
        <v>65181</v>
      </c>
      <c r="L9" s="41"/>
      <c r="M9" s="42">
        <v>32591</v>
      </c>
      <c r="N9" s="42">
        <v>129847</v>
      </c>
      <c r="O9" s="43">
        <v>65181</v>
      </c>
      <c r="P9" s="44">
        <v>32591</v>
      </c>
      <c r="Q9" s="44">
        <v>129847</v>
      </c>
      <c r="R9" s="45"/>
      <c r="S9" s="46"/>
      <c r="T9" s="39">
        <f t="shared" si="0"/>
        <v>20</v>
      </c>
      <c r="U9" s="47">
        <f t="shared" si="1"/>
        <v>0.10527157323513736</v>
      </c>
      <c r="V9" s="48">
        <f t="shared" si="2"/>
        <v>97256</v>
      </c>
      <c r="W9" s="49">
        <f t="shared" si="3"/>
        <v>5.2635786617568677E-3</v>
      </c>
      <c r="X9" s="44">
        <f t="shared" si="4"/>
        <v>1216.1296902926495</v>
      </c>
      <c r="Y9" s="44">
        <f t="shared" si="5"/>
        <v>97256</v>
      </c>
      <c r="Z9" s="44">
        <f t="shared" si="6"/>
        <v>25002.207765325351</v>
      </c>
      <c r="AA9" s="50">
        <f t="shared" si="7"/>
        <v>131063.12969029266</v>
      </c>
      <c r="AB9" s="51">
        <f t="shared" si="8"/>
        <v>23410.306896372051</v>
      </c>
      <c r="AC9" s="44">
        <f t="shared" si="8"/>
        <v>122718.28622686578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1.3695735240203228</v>
      </c>
      <c r="AG9" s="44">
        <f t="shared" si="10"/>
        <v>89270.171869168669</v>
      </c>
      <c r="AH9" s="52">
        <f>HLOOKUP(I9,ElecAvoidedCostsWOCC!$A$5:$Q$50,T9+1,FALSE)</f>
        <v>1.3695735240203228</v>
      </c>
      <c r="AI9" s="44">
        <f t="shared" si="11"/>
        <v>0</v>
      </c>
      <c r="AJ9" s="44">
        <f t="shared" si="12"/>
        <v>89270.171869168669</v>
      </c>
      <c r="AK9" s="44">
        <f>HLOOKUP(I9,ElecAvoidedCostsWOCC!$A$5:$Q$50,G9+1,FALSE)*J9*L9</f>
        <v>0</v>
      </c>
      <c r="AL9" s="44">
        <f t="shared" si="13"/>
        <v>89270.171869168669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89270.171869168669</v>
      </c>
      <c r="AN9" s="48">
        <f t="shared" si="14"/>
        <v>98197.189056085539</v>
      </c>
      <c r="AO9" s="47">
        <f t="shared" si="15"/>
        <v>3.8132849887159348</v>
      </c>
      <c r="AP9" s="47">
        <f t="shared" si="16"/>
        <v>0.800183836291123</v>
      </c>
    </row>
    <row r="10" spans="1:42" ht="13.5" customHeight="1" x14ac:dyDescent="0.35">
      <c r="A10" s="54">
        <f>SUM(O5:O999)</f>
        <v>12383400</v>
      </c>
      <c r="B10" s="97" t="s">
        <v>126</v>
      </c>
      <c r="C10" s="98">
        <v>18230720</v>
      </c>
      <c r="D10" s="61" t="s">
        <v>127</v>
      </c>
      <c r="E10" s="38" t="s">
        <v>1130</v>
      </c>
      <c r="F10" s="39" t="s">
        <v>1131</v>
      </c>
      <c r="G10" s="39">
        <v>20</v>
      </c>
      <c r="H10" s="39"/>
      <c r="I10" s="40" t="s">
        <v>262</v>
      </c>
      <c r="J10" s="41">
        <v>1</v>
      </c>
      <c r="K10" s="41">
        <v>726924</v>
      </c>
      <c r="L10" s="41"/>
      <c r="M10" s="42">
        <v>352014</v>
      </c>
      <c r="N10" s="42">
        <v>352014</v>
      </c>
      <c r="O10" s="43">
        <v>726924</v>
      </c>
      <c r="P10" s="44">
        <v>352014</v>
      </c>
      <c r="Q10" s="44">
        <v>352014</v>
      </c>
      <c r="R10" s="45"/>
      <c r="S10" s="46"/>
      <c r="T10" s="39">
        <f t="shared" si="0"/>
        <v>20</v>
      </c>
      <c r="U10" s="47">
        <f t="shared" si="1"/>
        <v>1.1740297495033674</v>
      </c>
      <c r="V10" s="48">
        <f t="shared" si="2"/>
        <v>0</v>
      </c>
      <c r="W10" s="49">
        <f t="shared" si="3"/>
        <v>5.8701487475168374E-2</v>
      </c>
      <c r="X10" s="44">
        <f t="shared" si="4"/>
        <v>13562.753854440618</v>
      </c>
      <c r="Y10" s="44">
        <f t="shared" si="5"/>
        <v>0</v>
      </c>
      <c r="Z10" s="44">
        <f t="shared" si="6"/>
        <v>278834.39771714713</v>
      </c>
      <c r="AA10" s="50">
        <f t="shared" si="7"/>
        <v>365576.75385444064</v>
      </c>
      <c r="AB10" s="51">
        <f t="shared" si="8"/>
        <v>261080.89673890179</v>
      </c>
      <c r="AC10" s="44">
        <f t="shared" si="8"/>
        <v>342300.33132438263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1.3695735240203228</v>
      </c>
      <c r="AG10" s="44">
        <f t="shared" si="10"/>
        <v>995575.86437494913</v>
      </c>
      <c r="AH10" s="52">
        <f>HLOOKUP(I10,ElecAvoidedCostsWOCC!$A$5:$Q$50,T10+1,FALSE)</f>
        <v>1.3695735240203228</v>
      </c>
      <c r="AI10" s="44">
        <f t="shared" si="11"/>
        <v>0</v>
      </c>
      <c r="AJ10" s="44">
        <f t="shared" si="12"/>
        <v>995575.86437494913</v>
      </c>
      <c r="AK10" s="44">
        <f>HLOOKUP(I10,ElecAvoidedCostsWOCC!$A$5:$Q$50,G10+1,FALSE)*J10*L10</f>
        <v>0</v>
      </c>
      <c r="AL10" s="44">
        <f t="shared" si="13"/>
        <v>995575.86437494913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995575.86437494913</v>
      </c>
      <c r="AN10" s="48">
        <f t="shared" si="14"/>
        <v>1095133.4508124441</v>
      </c>
      <c r="AO10" s="47">
        <f t="shared" si="15"/>
        <v>3.8132849887159344</v>
      </c>
      <c r="AP10" s="47">
        <f t="shared" si="16"/>
        <v>3.1993350592893099</v>
      </c>
    </row>
    <row r="11" spans="1:42" ht="13.5" customHeight="1" x14ac:dyDescent="0.35">
      <c r="A11" s="36" t="s">
        <v>243</v>
      </c>
      <c r="B11" s="97" t="s">
        <v>126</v>
      </c>
      <c r="C11" s="98">
        <v>18230720</v>
      </c>
      <c r="D11" s="61" t="s">
        <v>127</v>
      </c>
      <c r="E11" s="38" t="s">
        <v>1130</v>
      </c>
      <c r="F11" s="39" t="s">
        <v>1131</v>
      </c>
      <c r="G11" s="39">
        <v>20</v>
      </c>
      <c r="H11" s="39"/>
      <c r="I11" s="40" t="s">
        <v>262</v>
      </c>
      <c r="J11" s="41">
        <v>1</v>
      </c>
      <c r="K11" s="41">
        <v>6596058</v>
      </c>
      <c r="L11" s="41"/>
      <c r="M11" s="42">
        <v>1759933</v>
      </c>
      <c r="N11" s="42">
        <v>2524941.85</v>
      </c>
      <c r="O11" s="43">
        <v>6596058</v>
      </c>
      <c r="P11" s="44">
        <v>1759933</v>
      </c>
      <c r="Q11" s="44">
        <v>2524941.85</v>
      </c>
      <c r="R11" s="45"/>
      <c r="S11" s="46"/>
      <c r="T11" s="39">
        <f t="shared" si="0"/>
        <v>20</v>
      </c>
      <c r="U11" s="47">
        <f t="shared" si="1"/>
        <v>10.653064586462522</v>
      </c>
      <c r="V11" s="48">
        <f t="shared" si="2"/>
        <v>765008.85000000009</v>
      </c>
      <c r="W11" s="49">
        <f t="shared" si="3"/>
        <v>0.53265322932312609</v>
      </c>
      <c r="X11" s="44">
        <f t="shared" si="4"/>
        <v>123067.48857323994</v>
      </c>
      <c r="Y11" s="44">
        <f t="shared" si="5"/>
        <v>765008.85000000009</v>
      </c>
      <c r="Z11" s="44">
        <f t="shared" si="6"/>
        <v>2530124.0015976499</v>
      </c>
      <c r="AA11" s="50">
        <f t="shared" si="7"/>
        <v>2648009.3385732402</v>
      </c>
      <c r="AB11" s="51">
        <f t="shared" si="8"/>
        <v>2369029.9640427432</v>
      </c>
      <c r="AC11" s="44">
        <f t="shared" si="8"/>
        <v>2479409.4930461049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1.3695735240203228</v>
      </c>
      <c r="AG11" s="44">
        <f t="shared" si="10"/>
        <v>9033786.3997024428</v>
      </c>
      <c r="AH11" s="52">
        <f>HLOOKUP(I11,ElecAvoidedCostsWOCC!$A$5:$Q$50,T11+1,FALSE)</f>
        <v>1.3695735240203228</v>
      </c>
      <c r="AI11" s="44">
        <f t="shared" si="11"/>
        <v>0</v>
      </c>
      <c r="AJ11" s="44">
        <f t="shared" si="12"/>
        <v>9033786.3997024428</v>
      </c>
      <c r="AK11" s="44">
        <f>HLOOKUP(I11,ElecAvoidedCostsWOCC!$A$5:$Q$50,G11+1,FALSE)*J11*L11</f>
        <v>0</v>
      </c>
      <c r="AL11" s="44">
        <f t="shared" si="13"/>
        <v>9033786.3997024428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9033786.3997024428</v>
      </c>
      <c r="AN11" s="48">
        <f t="shared" si="14"/>
        <v>9937165.0396726876</v>
      </c>
      <c r="AO11" s="47">
        <f t="shared" si="15"/>
        <v>3.8132849887159344</v>
      </c>
      <c r="AP11" s="47">
        <f t="shared" si="16"/>
        <v>4.0078756927982386</v>
      </c>
    </row>
    <row r="12" spans="1:42" ht="13.5" customHeight="1" x14ac:dyDescent="0.35">
      <c r="A12" s="55">
        <f>SUM(P5:P1000)</f>
        <v>4244408</v>
      </c>
      <c r="B12" s="97" t="s">
        <v>126</v>
      </c>
      <c r="C12" s="98">
        <v>18230720</v>
      </c>
      <c r="D12" s="61" t="s">
        <v>127</v>
      </c>
      <c r="E12" s="38" t="s">
        <v>1240</v>
      </c>
      <c r="F12" s="39" t="s">
        <v>1241</v>
      </c>
      <c r="G12" s="39">
        <v>15</v>
      </c>
      <c r="H12" s="39"/>
      <c r="I12" s="40" t="s">
        <v>261</v>
      </c>
      <c r="J12" s="41">
        <v>1</v>
      </c>
      <c r="K12" s="41">
        <v>51872</v>
      </c>
      <c r="L12" s="41"/>
      <c r="M12" s="42">
        <v>45381</v>
      </c>
      <c r="N12" s="42">
        <v>95590</v>
      </c>
      <c r="O12" s="43">
        <v>51872</v>
      </c>
      <c r="P12" s="44">
        <v>45381</v>
      </c>
      <c r="Q12" s="44">
        <v>95590</v>
      </c>
      <c r="R12" s="45"/>
      <c r="S12" s="46"/>
      <c r="T12" s="39">
        <f t="shared" si="0"/>
        <v>15</v>
      </c>
      <c r="U12" s="47">
        <f t="shared" si="1"/>
        <v>6.2832501574688698E-2</v>
      </c>
      <c r="V12" s="48">
        <f t="shared" si="2"/>
        <v>50209</v>
      </c>
      <c r="W12" s="49">
        <f t="shared" si="3"/>
        <v>4.1888334383125801E-3</v>
      </c>
      <c r="X12" s="44">
        <f t="shared" si="4"/>
        <v>967.81392269005255</v>
      </c>
      <c r="Y12" s="44">
        <f t="shared" si="5"/>
        <v>50209</v>
      </c>
      <c r="Z12" s="44">
        <f t="shared" si="6"/>
        <v>19897.125254337258</v>
      </c>
      <c r="AA12" s="50">
        <f t="shared" si="7"/>
        <v>96557.813922690053</v>
      </c>
      <c r="AB12" s="51">
        <f t="shared" si="8"/>
        <v>18630.267092076083</v>
      </c>
      <c r="AC12" s="44">
        <f t="shared" si="8"/>
        <v>90409.938129859598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1.0763668537425979</v>
      </c>
      <c r="AG12" s="44">
        <f t="shared" si="10"/>
        <v>55833.301437336035</v>
      </c>
      <c r="AH12" s="52">
        <f>HLOOKUP(I12,ElecAvoidedCostsWOCC!$A$5:$Q$50,T12+1,FALSE)</f>
        <v>1.0763668537425979</v>
      </c>
      <c r="AI12" s="44">
        <f t="shared" si="11"/>
        <v>0</v>
      </c>
      <c r="AJ12" s="44">
        <f t="shared" si="12"/>
        <v>55833.301437336035</v>
      </c>
      <c r="AK12" s="44">
        <f>HLOOKUP(I12,ElecAvoidedCostsWOCC!$A$5:$Q$50,G12+1,FALSE)*J12*L12</f>
        <v>0</v>
      </c>
      <c r="AL12" s="44">
        <f t="shared" si="13"/>
        <v>55833.301437336035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55833.301437336035</v>
      </c>
      <c r="AN12" s="48">
        <f t="shared" si="14"/>
        <v>61416.63158106964</v>
      </c>
      <c r="AO12" s="47">
        <f t="shared" si="15"/>
        <v>2.9969136331428832</v>
      </c>
      <c r="AP12" s="47">
        <f t="shared" si="16"/>
        <v>0.67931283718891999</v>
      </c>
    </row>
    <row r="13" spans="1:42" ht="13.5" customHeight="1" x14ac:dyDescent="0.35">
      <c r="A13" s="56" t="s">
        <v>246</v>
      </c>
      <c r="B13" s="97" t="s">
        <v>126</v>
      </c>
      <c r="C13" s="98">
        <v>18230720</v>
      </c>
      <c r="D13" s="61" t="s">
        <v>127</v>
      </c>
      <c r="E13" s="38" t="s">
        <v>1242</v>
      </c>
      <c r="F13" s="39" t="s">
        <v>1243</v>
      </c>
      <c r="G13" s="39">
        <v>4</v>
      </c>
      <c r="H13" s="39"/>
      <c r="I13" s="40" t="s">
        <v>261</v>
      </c>
      <c r="J13" s="41">
        <v>1</v>
      </c>
      <c r="K13" s="41">
        <v>926656</v>
      </c>
      <c r="L13" s="41"/>
      <c r="M13" s="42">
        <v>150456</v>
      </c>
      <c r="N13" s="42">
        <v>679212</v>
      </c>
      <c r="O13" s="43">
        <v>926656</v>
      </c>
      <c r="P13" s="44">
        <v>150456</v>
      </c>
      <c r="Q13" s="44">
        <v>679212</v>
      </c>
      <c r="R13" s="45"/>
      <c r="S13" s="46"/>
      <c r="T13" s="39">
        <f t="shared" si="0"/>
        <v>4</v>
      </c>
      <c r="U13" s="47">
        <f t="shared" si="1"/>
        <v>0.299321995574721</v>
      </c>
      <c r="V13" s="48">
        <f t="shared" si="2"/>
        <v>528756</v>
      </c>
      <c r="W13" s="49">
        <f t="shared" si="3"/>
        <v>7.483049889368025E-2</v>
      </c>
      <c r="X13" s="44">
        <f t="shared" si="4"/>
        <v>17289.300168574053</v>
      </c>
      <c r="Y13" s="44">
        <f t="shared" si="5"/>
        <v>528756</v>
      </c>
      <c r="Z13" s="44">
        <f t="shared" si="6"/>
        <v>355447.84276070219</v>
      </c>
      <c r="AA13" s="50">
        <f t="shared" si="7"/>
        <v>696501.30016857409</v>
      </c>
      <c r="AB13" s="51">
        <f t="shared" si="8"/>
        <v>332816.33217294211</v>
      </c>
      <c r="AC13" s="44">
        <f t="shared" si="8"/>
        <v>652154.7754387398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0.3249158312175201</v>
      </c>
      <c r="AG13" s="44">
        <f t="shared" si="10"/>
        <v>301085.20449270232</v>
      </c>
      <c r="AH13" s="52">
        <f>HLOOKUP(I13,ElecAvoidedCostsWOCC!$A$5:$Q$50,T13+1,FALSE)</f>
        <v>0.3249158312175201</v>
      </c>
      <c r="AI13" s="44">
        <f t="shared" si="11"/>
        <v>0</v>
      </c>
      <c r="AJ13" s="44">
        <f t="shared" si="12"/>
        <v>301085.20449270232</v>
      </c>
      <c r="AK13" s="44">
        <f>HLOOKUP(I13,ElecAvoidedCostsWOCC!$A$5:$Q$50,G13+1,FALSE)*J13*L13</f>
        <v>0</v>
      </c>
      <c r="AL13" s="44">
        <f t="shared" si="13"/>
        <v>301085.20449270232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301085.20449270232</v>
      </c>
      <c r="AN13" s="48">
        <f t="shared" si="14"/>
        <v>331193.72494197258</v>
      </c>
      <c r="AO13" s="47">
        <f t="shared" si="15"/>
        <v>0.90465874233674548</v>
      </c>
      <c r="AP13" s="47">
        <f t="shared" si="16"/>
        <v>0.50784528062247281</v>
      </c>
    </row>
    <row r="14" spans="1:42" ht="13.5" customHeight="1" x14ac:dyDescent="0.35">
      <c r="A14" s="55">
        <f>SUM(Y5:Y1000)</f>
        <v>1689319.34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17.198919036775038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4750039.7299999995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6164773.5099999998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3.3388135039373346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2.8298600826032834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11" sqref="M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.453125" customWidth="1"/>
    <col min="13" max="13" width="13.453125" customWidth="1"/>
    <col min="14" max="14" width="13.81640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18230721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126</v>
      </c>
      <c r="C5" s="98">
        <v>18230721</v>
      </c>
      <c r="D5" s="61" t="s">
        <v>128</v>
      </c>
      <c r="E5" s="38" t="s">
        <v>1244</v>
      </c>
      <c r="F5" s="39" t="s">
        <v>1245</v>
      </c>
      <c r="G5" s="39">
        <v>15</v>
      </c>
      <c r="H5" s="39"/>
      <c r="I5" s="40" t="s">
        <v>266</v>
      </c>
      <c r="J5" s="41">
        <v>1</v>
      </c>
      <c r="K5" s="41">
        <v>34371</v>
      </c>
      <c r="L5" s="41"/>
      <c r="M5" s="42">
        <v>17186</v>
      </c>
      <c r="N5" s="42">
        <v>24640</v>
      </c>
      <c r="O5" s="43">
        <v>34371</v>
      </c>
      <c r="P5" s="44">
        <v>17186</v>
      </c>
      <c r="Q5" s="44">
        <v>24640</v>
      </c>
      <c r="R5" s="45"/>
      <c r="S5" s="46"/>
      <c r="T5" s="39">
        <f t="shared" ref="T5:T24" si="0">G5+H5</f>
        <v>15</v>
      </c>
      <c r="U5" s="47">
        <f t="shared" ref="U5:U24" si="1">(O5/$A$10)*T5</f>
        <v>0.10444185550432372</v>
      </c>
      <c r="V5" s="48">
        <f t="shared" ref="V5:V24" si="2">N5-M5</f>
        <v>7454</v>
      </c>
      <c r="W5" s="49">
        <f t="shared" ref="W5:W24" si="3">(O5/A$10)</f>
        <v>6.9627903669549143E-3</v>
      </c>
      <c r="X5" s="44">
        <f t="shared" ref="X5:X24" si="4">W5*A$8</f>
        <v>1289.4922045189776</v>
      </c>
      <c r="Y5" s="44">
        <f t="shared" ref="Y5:Y24" si="5">Q5-P5</f>
        <v>7454</v>
      </c>
      <c r="Z5" s="44">
        <f t="shared" ref="Z5:Z24" si="6">X5+(A$6*W5)</f>
        <v>18966.390020620362</v>
      </c>
      <c r="AA5" s="50">
        <f t="shared" ref="AA5:AA24" si="7">Q5+X5</f>
        <v>25929.492204518978</v>
      </c>
      <c r="AB5" s="51">
        <f t="shared" ref="AB5:AC20" si="8">Z5/(1+ElecDiscountRate)^1</f>
        <v>17758.792154138915</v>
      </c>
      <c r="AC5" s="44">
        <f t="shared" si="8"/>
        <v>24278.550753294923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1.2903205727715383</v>
      </c>
      <c r="AG5" s="44">
        <f t="shared" ref="AG5:AG24" si="10">AF5*J5*K5</f>
        <v>44349.608406730542</v>
      </c>
      <c r="AH5" s="52">
        <f>HLOOKUP(I5,ElecAvoidedCostsWOCC!$A$5:$Q$50,T5+1,FALSE)</f>
        <v>1.2903205727715383</v>
      </c>
      <c r="AI5" s="44">
        <f t="shared" ref="AI5:AI24" si="11">AH5*J5*L5</f>
        <v>0</v>
      </c>
      <c r="AJ5" s="44">
        <f>AG5+AI5</f>
        <v>44349.608406730542</v>
      </c>
      <c r="AK5" s="44">
        <f>HLOOKUP(I5,ElecAvoidedCostsWOCC!$A$5:$Q$50,G5+1,FALSE)*J5*L5</f>
        <v>0</v>
      </c>
      <c r="AL5" s="44">
        <f>AG5+AI5-AK5</f>
        <v>44349.608406730542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44349.608406730542</v>
      </c>
      <c r="AN5" s="48">
        <f>AM5*1.1+AD5+AE5</f>
        <v>48784.569247403597</v>
      </c>
      <c r="AO5" s="47">
        <f>IFERROR(AM5/AB5,0)</f>
        <v>2.4973324774452239</v>
      </c>
      <c r="AP5" s="47">
        <f>AN5/AC5</f>
        <v>2.0093690823280661</v>
      </c>
    </row>
    <row r="6" spans="1:42" ht="13.5" customHeight="1" x14ac:dyDescent="0.35">
      <c r="A6" s="53">
        <f>SUMIF('Program Costs'!D:D,C2,'Program Costs'!L:L)</f>
        <v>2538766.34</v>
      </c>
      <c r="B6" s="97" t="s">
        <v>126</v>
      </c>
      <c r="C6" s="98">
        <v>18230721</v>
      </c>
      <c r="D6" s="61" t="s">
        <v>128</v>
      </c>
      <c r="E6" s="38" t="s">
        <v>1116</v>
      </c>
      <c r="F6" s="39" t="s">
        <v>1117</v>
      </c>
      <c r="G6" s="39">
        <v>15</v>
      </c>
      <c r="H6" s="39"/>
      <c r="I6" s="40" t="s">
        <v>261</v>
      </c>
      <c r="J6" s="41">
        <v>1</v>
      </c>
      <c r="K6" s="41">
        <v>650312</v>
      </c>
      <c r="L6" s="41"/>
      <c r="M6" s="42">
        <v>325157</v>
      </c>
      <c r="N6" s="42">
        <v>799802</v>
      </c>
      <c r="O6" s="43">
        <v>650312</v>
      </c>
      <c r="P6" s="44">
        <v>325157</v>
      </c>
      <c r="Q6" s="44">
        <v>799802</v>
      </c>
      <c r="R6" s="45"/>
      <c r="S6" s="46"/>
      <c r="T6" s="39">
        <f t="shared" si="0"/>
        <v>15</v>
      </c>
      <c r="U6" s="47">
        <f t="shared" si="1"/>
        <v>1.976078436377404</v>
      </c>
      <c r="V6" s="48">
        <f t="shared" si="2"/>
        <v>474645</v>
      </c>
      <c r="W6" s="49">
        <f t="shared" si="3"/>
        <v>0.13173856242516027</v>
      </c>
      <c r="X6" s="44">
        <f t="shared" si="4"/>
        <v>24397.668223361125</v>
      </c>
      <c r="Y6" s="44">
        <f t="shared" si="5"/>
        <v>474645</v>
      </c>
      <c r="Z6" s="44">
        <f t="shared" si="6"/>
        <v>358851.0961883468</v>
      </c>
      <c r="AA6" s="50">
        <f t="shared" si="7"/>
        <v>824199.66822336114</v>
      </c>
      <c r="AB6" s="51">
        <f t="shared" si="8"/>
        <v>336002.89905275917</v>
      </c>
      <c r="AC6" s="44">
        <f t="shared" si="8"/>
        <v>771722.5357896639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699974.28139105637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699974.28139105637</v>
      </c>
      <c r="AK6" s="44">
        <f>HLOOKUP(I6,ElecAvoidedCostsWOCC!$A$5:$Q$50,G6+1,FALSE)*J6*L6</f>
        <v>0</v>
      </c>
      <c r="AL6" s="44">
        <f t="shared" ref="AL6:AL24" si="13">AG6+AI6-AK6</f>
        <v>699974.28139105637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699974.28139105637</v>
      </c>
      <c r="AN6" s="48">
        <f t="shared" ref="AN6:AN24" si="14">AM6*1.1+AD6+AE6</f>
        <v>769971.70953016204</v>
      </c>
      <c r="AO6" s="47">
        <f t="shared" ref="AO6:AO24" si="15">IFERROR(AM6/AB6,0)</f>
        <v>2.0832388153923231</v>
      </c>
      <c r="AP6" s="47">
        <f t="shared" ref="AP6:AP24" si="16">AN6/AC6</f>
        <v>0.99773127493586755</v>
      </c>
    </row>
    <row r="7" spans="1:42" ht="13.5" customHeight="1" x14ac:dyDescent="0.35">
      <c r="A7" s="36" t="s">
        <v>240</v>
      </c>
      <c r="B7" s="97" t="s">
        <v>126</v>
      </c>
      <c r="C7" s="98">
        <v>18230721</v>
      </c>
      <c r="D7" s="61" t="s">
        <v>128</v>
      </c>
      <c r="E7" s="38" t="s">
        <v>1126</v>
      </c>
      <c r="F7" s="39" t="s">
        <v>1127</v>
      </c>
      <c r="G7" s="39">
        <v>10</v>
      </c>
      <c r="H7" s="39"/>
      <c r="I7" s="40" t="s">
        <v>261</v>
      </c>
      <c r="J7" s="41">
        <v>1</v>
      </c>
      <c r="K7" s="41">
        <v>258414</v>
      </c>
      <c r="L7" s="41"/>
      <c r="M7" s="42">
        <v>102707</v>
      </c>
      <c r="N7" s="42">
        <v>436295</v>
      </c>
      <c r="O7" s="43">
        <v>258414</v>
      </c>
      <c r="P7" s="44">
        <v>102707</v>
      </c>
      <c r="Q7" s="44">
        <v>436295</v>
      </c>
      <c r="R7" s="45"/>
      <c r="S7" s="46"/>
      <c r="T7" s="39">
        <f t="shared" si="0"/>
        <v>10</v>
      </c>
      <c r="U7" s="47">
        <f t="shared" si="1"/>
        <v>0.52348855427141694</v>
      </c>
      <c r="V7" s="48">
        <f t="shared" si="2"/>
        <v>333588</v>
      </c>
      <c r="W7" s="49">
        <f t="shared" si="3"/>
        <v>5.2348855427141697E-2</v>
      </c>
      <c r="X7" s="44">
        <f t="shared" si="4"/>
        <v>9694.8834348307319</v>
      </c>
      <c r="Y7" s="44">
        <f t="shared" si="5"/>
        <v>333588</v>
      </c>
      <c r="Z7" s="44">
        <f t="shared" si="6"/>
        <v>142596.39553078439</v>
      </c>
      <c r="AA7" s="50">
        <f t="shared" si="7"/>
        <v>445989.88343483076</v>
      </c>
      <c r="AB7" s="51">
        <f t="shared" si="8"/>
        <v>133517.22427976065</v>
      </c>
      <c r="AC7" s="44">
        <f t="shared" si="8"/>
        <v>417593.5238153846</v>
      </c>
      <c r="AD7" s="44">
        <f t="shared" si="9"/>
        <v>0</v>
      </c>
      <c r="AE7" s="44">
        <v>0</v>
      </c>
      <c r="AF7" s="52">
        <f>HLOOKUP(I7,ElecAvoidedCostsWOCC!$A$5:$Q$50,G7+1,FALSE)</f>
        <v>0.76241877163232408</v>
      </c>
      <c r="AG7" s="44">
        <f t="shared" si="10"/>
        <v>197019.68445259539</v>
      </c>
      <c r="AH7" s="52">
        <f>HLOOKUP(I7,ElecAvoidedCostsWOCC!$A$5:$Q$50,T7+1,FALSE)</f>
        <v>0.76241877163232408</v>
      </c>
      <c r="AI7" s="44">
        <f t="shared" si="11"/>
        <v>0</v>
      </c>
      <c r="AJ7" s="44">
        <f t="shared" si="12"/>
        <v>197019.68445259539</v>
      </c>
      <c r="AK7" s="44">
        <f>HLOOKUP(I7,ElecAvoidedCostsWOCC!$A$5:$Q$50,G7+1,FALSE)*J7*L7</f>
        <v>0</v>
      </c>
      <c r="AL7" s="44">
        <f t="shared" si="13"/>
        <v>197019.68445259539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197019.68445259539</v>
      </c>
      <c r="AN7" s="48">
        <f t="shared" si="14"/>
        <v>216721.65289785495</v>
      </c>
      <c r="AO7" s="47">
        <f t="shared" si="15"/>
        <v>1.475612495057395</v>
      </c>
      <c r="AP7" s="47">
        <f t="shared" si="16"/>
        <v>0.51897752368800187</v>
      </c>
    </row>
    <row r="8" spans="1:42" ht="13.5" customHeight="1" x14ac:dyDescent="0.35">
      <c r="A8" s="53">
        <f>SUMIF('Program Costs'!D:D,C2,'Program Costs'!O:O)</f>
        <v>185197.62000000011</v>
      </c>
      <c r="B8" s="97" t="s">
        <v>126</v>
      </c>
      <c r="C8" s="98">
        <v>18230721</v>
      </c>
      <c r="D8" s="61" t="s">
        <v>128</v>
      </c>
      <c r="E8" s="38" t="s">
        <v>1128</v>
      </c>
      <c r="F8" s="39" t="s">
        <v>1129</v>
      </c>
      <c r="G8" s="39">
        <v>15</v>
      </c>
      <c r="H8" s="39"/>
      <c r="I8" s="40" t="s">
        <v>261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0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126</v>
      </c>
      <c r="C9" s="98">
        <v>18230721</v>
      </c>
      <c r="D9" s="61" t="s">
        <v>128</v>
      </c>
      <c r="E9" s="38" t="s">
        <v>1130</v>
      </c>
      <c r="F9" s="39" t="s">
        <v>1131</v>
      </c>
      <c r="G9" s="39">
        <v>10</v>
      </c>
      <c r="H9" s="39"/>
      <c r="I9" s="40" t="s">
        <v>262</v>
      </c>
      <c r="J9" s="41">
        <v>1</v>
      </c>
      <c r="K9" s="41">
        <v>552200</v>
      </c>
      <c r="L9" s="41"/>
      <c r="M9" s="42">
        <v>228510</v>
      </c>
      <c r="N9" s="42">
        <v>304057</v>
      </c>
      <c r="O9" s="43">
        <v>552200</v>
      </c>
      <c r="P9" s="44">
        <v>228510</v>
      </c>
      <c r="Q9" s="44">
        <v>304057</v>
      </c>
      <c r="R9" s="45"/>
      <c r="S9" s="46"/>
      <c r="T9" s="39">
        <f t="shared" si="0"/>
        <v>10</v>
      </c>
      <c r="U9" s="47">
        <f t="shared" si="1"/>
        <v>1.1186328127294822</v>
      </c>
      <c r="V9" s="48">
        <f t="shared" si="2"/>
        <v>75547</v>
      </c>
      <c r="W9" s="49">
        <f t="shared" si="3"/>
        <v>0.11186328127294823</v>
      </c>
      <c r="X9" s="44">
        <f t="shared" si="4"/>
        <v>20716.813457140594</v>
      </c>
      <c r="Y9" s="44">
        <f t="shared" si="5"/>
        <v>75547</v>
      </c>
      <c r="Z9" s="44">
        <f t="shared" si="6"/>
        <v>304711.54663485388</v>
      </c>
      <c r="AA9" s="50">
        <f t="shared" si="7"/>
        <v>324773.81345714058</v>
      </c>
      <c r="AB9" s="51">
        <f t="shared" si="8"/>
        <v>285310.43692402047</v>
      </c>
      <c r="AC9" s="44">
        <f t="shared" si="8"/>
        <v>304095.3309523788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0.77460416073684046</v>
      </c>
      <c r="AG9" s="44">
        <f t="shared" si="10"/>
        <v>427736.41755888332</v>
      </c>
      <c r="AH9" s="52">
        <f>HLOOKUP(I9,ElecAvoidedCostsWOCC!$A$5:$Q$50,T9+1,FALSE)</f>
        <v>0.77460416073684046</v>
      </c>
      <c r="AI9" s="44">
        <f t="shared" si="11"/>
        <v>0</v>
      </c>
      <c r="AJ9" s="44">
        <f t="shared" si="12"/>
        <v>427736.41755888332</v>
      </c>
      <c r="AK9" s="44">
        <f>HLOOKUP(I9,ElecAvoidedCostsWOCC!$A$5:$Q$50,G9+1,FALSE)*J9*L9</f>
        <v>0</v>
      </c>
      <c r="AL9" s="44">
        <f t="shared" si="13"/>
        <v>427736.41755888332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427736.41755888332</v>
      </c>
      <c r="AN9" s="48">
        <f t="shared" si="14"/>
        <v>470510.05931477167</v>
      </c>
      <c r="AO9" s="47">
        <f t="shared" si="15"/>
        <v>1.4991965319263507</v>
      </c>
      <c r="AP9" s="47">
        <f t="shared" si="16"/>
        <v>1.5472452597059221</v>
      </c>
    </row>
    <row r="10" spans="1:42" ht="13.5" customHeight="1" x14ac:dyDescent="0.35">
      <c r="A10" s="54">
        <f>SUM(O5:O999)</f>
        <v>4936383</v>
      </c>
      <c r="B10" s="97" t="s">
        <v>126</v>
      </c>
      <c r="C10" s="98">
        <v>18230721</v>
      </c>
      <c r="D10" s="61" t="s">
        <v>128</v>
      </c>
      <c r="E10" s="38" t="s">
        <v>1130</v>
      </c>
      <c r="F10" s="39" t="s">
        <v>1131</v>
      </c>
      <c r="G10" s="39">
        <v>13</v>
      </c>
      <c r="H10" s="39"/>
      <c r="I10" s="40" t="s">
        <v>262</v>
      </c>
      <c r="J10" s="41">
        <v>1</v>
      </c>
      <c r="K10" s="41">
        <v>48530</v>
      </c>
      <c r="L10" s="41"/>
      <c r="M10" s="42">
        <v>24265</v>
      </c>
      <c r="N10" s="42">
        <v>44203</v>
      </c>
      <c r="O10" s="43">
        <v>48530</v>
      </c>
      <c r="P10" s="44">
        <v>24265</v>
      </c>
      <c r="Q10" s="44">
        <v>44203</v>
      </c>
      <c r="R10" s="45"/>
      <c r="S10" s="46"/>
      <c r="T10" s="39">
        <f t="shared" si="0"/>
        <v>13</v>
      </c>
      <c r="U10" s="47">
        <f t="shared" si="1"/>
        <v>0.1278041027205547</v>
      </c>
      <c r="V10" s="48">
        <f t="shared" si="2"/>
        <v>19938</v>
      </c>
      <c r="W10" s="49">
        <f t="shared" si="3"/>
        <v>9.831084824658054E-3</v>
      </c>
      <c r="X10" s="44">
        <f t="shared" si="4"/>
        <v>1820.69351154479</v>
      </c>
      <c r="Y10" s="44">
        <f t="shared" si="5"/>
        <v>19938</v>
      </c>
      <c r="Z10" s="44">
        <f t="shared" si="6"/>
        <v>26779.520750071457</v>
      </c>
      <c r="AA10" s="50">
        <f t="shared" si="7"/>
        <v>46023.693511544792</v>
      </c>
      <c r="AB10" s="51">
        <f t="shared" si="8"/>
        <v>25074.457631153047</v>
      </c>
      <c r="AC10" s="44">
        <f t="shared" si="8"/>
        <v>43093.345984592503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0.9745097192212081</v>
      </c>
      <c r="AG10" s="44">
        <f t="shared" si="10"/>
        <v>47292.956673805231</v>
      </c>
      <c r="AH10" s="52">
        <f>HLOOKUP(I10,ElecAvoidedCostsWOCC!$A$5:$Q$50,T10+1,FALSE)</f>
        <v>0.9745097192212081</v>
      </c>
      <c r="AI10" s="44">
        <f t="shared" si="11"/>
        <v>0</v>
      </c>
      <c r="AJ10" s="44">
        <f t="shared" si="12"/>
        <v>47292.956673805231</v>
      </c>
      <c r="AK10" s="44">
        <f>HLOOKUP(I10,ElecAvoidedCostsWOCC!$A$5:$Q$50,G10+1,FALSE)*J10*L10</f>
        <v>0</v>
      </c>
      <c r="AL10" s="44">
        <f t="shared" si="13"/>
        <v>47292.956673805231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47292.956673805231</v>
      </c>
      <c r="AN10" s="48">
        <f t="shared" si="14"/>
        <v>52022.252341185755</v>
      </c>
      <c r="AO10" s="47">
        <f t="shared" si="15"/>
        <v>1.8861008827982562</v>
      </c>
      <c r="AP10" s="47">
        <f t="shared" si="16"/>
        <v>1.2071991894012053</v>
      </c>
    </row>
    <row r="11" spans="1:42" ht="13.5" customHeight="1" x14ac:dyDescent="0.35">
      <c r="A11" s="36" t="s">
        <v>243</v>
      </c>
      <c r="B11" s="97" t="s">
        <v>126</v>
      </c>
      <c r="C11" s="98">
        <v>18230721</v>
      </c>
      <c r="D11" s="61" t="s">
        <v>128</v>
      </c>
      <c r="E11" s="38" t="s">
        <v>1130</v>
      </c>
      <c r="F11" s="39" t="s">
        <v>1131</v>
      </c>
      <c r="G11" s="39">
        <v>13</v>
      </c>
      <c r="H11" s="39"/>
      <c r="I11" s="40" t="s">
        <v>262</v>
      </c>
      <c r="J11" s="41">
        <v>1</v>
      </c>
      <c r="K11" s="41">
        <v>1451342</v>
      </c>
      <c r="L11" s="41"/>
      <c r="M11" s="42">
        <v>728300</v>
      </c>
      <c r="N11" s="42">
        <v>767099.83</v>
      </c>
      <c r="O11" s="43">
        <v>1451342</v>
      </c>
      <c r="P11" s="44">
        <v>728300</v>
      </c>
      <c r="Q11" s="44">
        <v>767099.83</v>
      </c>
      <c r="R11" s="45"/>
      <c r="S11" s="46"/>
      <c r="T11" s="39">
        <f t="shared" si="0"/>
        <v>13</v>
      </c>
      <c r="U11" s="47">
        <f t="shared" si="1"/>
        <v>3.8221195559582792</v>
      </c>
      <c r="V11" s="48">
        <f t="shared" si="2"/>
        <v>38799.829999999958</v>
      </c>
      <c r="W11" s="49">
        <f t="shared" si="3"/>
        <v>0.29400919661217534</v>
      </c>
      <c r="X11" s="44">
        <f t="shared" si="4"/>
        <v>54449.803470686966</v>
      </c>
      <c r="Y11" s="44">
        <f t="shared" si="5"/>
        <v>38799.829999999958</v>
      </c>
      <c r="Z11" s="44">
        <f t="shared" si="6"/>
        <v>800870.4554801198</v>
      </c>
      <c r="AA11" s="50">
        <f t="shared" si="7"/>
        <v>821549.63347068697</v>
      </c>
      <c r="AB11" s="51">
        <f t="shared" si="8"/>
        <v>749878.70363307092</v>
      </c>
      <c r="AC11" s="44">
        <f t="shared" si="8"/>
        <v>769241.22984146711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0.9745097192212081</v>
      </c>
      <c r="AG11" s="44">
        <f t="shared" si="10"/>
        <v>1414346.8849139465</v>
      </c>
      <c r="AH11" s="52">
        <f>HLOOKUP(I11,ElecAvoidedCostsWOCC!$A$5:$Q$50,T11+1,FALSE)</f>
        <v>0.9745097192212081</v>
      </c>
      <c r="AI11" s="44">
        <f t="shared" si="11"/>
        <v>0</v>
      </c>
      <c r="AJ11" s="44">
        <f t="shared" si="12"/>
        <v>1414346.8849139465</v>
      </c>
      <c r="AK11" s="44">
        <f>HLOOKUP(I11,ElecAvoidedCostsWOCC!$A$5:$Q$50,G11+1,FALSE)*J11*L11</f>
        <v>0</v>
      </c>
      <c r="AL11" s="44">
        <f t="shared" si="13"/>
        <v>1414346.8849139465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1414346.8849139465</v>
      </c>
      <c r="AN11" s="48">
        <f t="shared" si="14"/>
        <v>1555781.5734053412</v>
      </c>
      <c r="AO11" s="47">
        <f t="shared" si="15"/>
        <v>1.8861008827982555</v>
      </c>
      <c r="AP11" s="47">
        <f t="shared" si="16"/>
        <v>2.0224885420220811</v>
      </c>
    </row>
    <row r="12" spans="1:42" ht="13.5" customHeight="1" x14ac:dyDescent="0.35">
      <c r="A12" s="55">
        <f>SUM(P5:P1000)</f>
        <v>2572089.1800000002</v>
      </c>
      <c r="B12" s="97" t="s">
        <v>126</v>
      </c>
      <c r="C12" s="98">
        <v>18230721</v>
      </c>
      <c r="D12" s="61" t="s">
        <v>128</v>
      </c>
      <c r="E12" s="38" t="s">
        <v>1130</v>
      </c>
      <c r="F12" s="39" t="s">
        <v>1131</v>
      </c>
      <c r="G12" s="39">
        <v>20</v>
      </c>
      <c r="H12" s="39"/>
      <c r="I12" s="40" t="s">
        <v>262</v>
      </c>
      <c r="J12" s="41">
        <v>1</v>
      </c>
      <c r="K12" s="41">
        <v>602435</v>
      </c>
      <c r="L12" s="41"/>
      <c r="M12" s="42">
        <v>283045</v>
      </c>
      <c r="N12" s="42">
        <v>514594</v>
      </c>
      <c r="O12" s="43">
        <v>602435</v>
      </c>
      <c r="P12" s="44">
        <v>283045</v>
      </c>
      <c r="Q12" s="44">
        <v>514594</v>
      </c>
      <c r="R12" s="45"/>
      <c r="S12" s="46"/>
      <c r="T12" s="39">
        <f t="shared" si="0"/>
        <v>20</v>
      </c>
      <c r="U12" s="47">
        <f t="shared" si="1"/>
        <v>2.4407952138235629</v>
      </c>
      <c r="V12" s="48">
        <f t="shared" si="2"/>
        <v>231549</v>
      </c>
      <c r="W12" s="49">
        <f t="shared" si="3"/>
        <v>0.12203976069117814</v>
      </c>
      <c r="X12" s="44">
        <f t="shared" si="4"/>
        <v>22601.473225375761</v>
      </c>
      <c r="Y12" s="44">
        <f t="shared" si="5"/>
        <v>231549</v>
      </c>
      <c r="Z12" s="44">
        <f t="shared" si="6"/>
        <v>332431.90980979393</v>
      </c>
      <c r="AA12" s="50">
        <f t="shared" si="7"/>
        <v>537195.47322537575</v>
      </c>
      <c r="AB12" s="51">
        <f t="shared" si="8"/>
        <v>311265.83315523772</v>
      </c>
      <c r="AC12" s="44">
        <f t="shared" si="8"/>
        <v>502992.01612862898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1.3695735240203228</v>
      </c>
      <c r="AG12" s="44">
        <f t="shared" si="10"/>
        <v>825079.02594318322</v>
      </c>
      <c r="AH12" s="52">
        <f>HLOOKUP(I12,ElecAvoidedCostsWOCC!$A$5:$Q$50,T12+1,FALSE)</f>
        <v>1.3695735240203228</v>
      </c>
      <c r="AI12" s="44">
        <f t="shared" si="11"/>
        <v>0</v>
      </c>
      <c r="AJ12" s="44">
        <f t="shared" si="12"/>
        <v>825079.02594318322</v>
      </c>
      <c r="AK12" s="44">
        <f>HLOOKUP(I12,ElecAvoidedCostsWOCC!$A$5:$Q$50,G12+1,FALSE)*J12*L12</f>
        <v>0</v>
      </c>
      <c r="AL12" s="44">
        <f t="shared" si="13"/>
        <v>825079.02594318322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825079.02594318322</v>
      </c>
      <c r="AN12" s="48">
        <f t="shared" si="14"/>
        <v>907586.9285375016</v>
      </c>
      <c r="AO12" s="47">
        <f t="shared" si="15"/>
        <v>2.6507214671765507</v>
      </c>
      <c r="AP12" s="47">
        <f t="shared" si="16"/>
        <v>1.8043764104307503</v>
      </c>
    </row>
    <row r="13" spans="1:42" ht="13.5" customHeight="1" x14ac:dyDescent="0.35">
      <c r="A13" s="56" t="s">
        <v>246</v>
      </c>
      <c r="B13" s="97" t="s">
        <v>126</v>
      </c>
      <c r="C13" s="98">
        <v>18230721</v>
      </c>
      <c r="D13" s="61" t="s">
        <v>128</v>
      </c>
      <c r="E13" s="38" t="s">
        <v>1240</v>
      </c>
      <c r="F13" s="39" t="s">
        <v>1241</v>
      </c>
      <c r="G13" s="39">
        <v>15</v>
      </c>
      <c r="H13" s="39"/>
      <c r="I13" s="40" t="s">
        <v>261</v>
      </c>
      <c r="J13" s="41">
        <v>1</v>
      </c>
      <c r="K13" s="41">
        <v>154685</v>
      </c>
      <c r="L13" s="41"/>
      <c r="M13" s="42">
        <v>77343</v>
      </c>
      <c r="N13" s="42">
        <v>159195</v>
      </c>
      <c r="O13" s="43">
        <v>154685</v>
      </c>
      <c r="P13" s="44">
        <v>77343</v>
      </c>
      <c r="Q13" s="44">
        <v>159195</v>
      </c>
      <c r="R13" s="45"/>
      <c r="S13" s="46"/>
      <c r="T13" s="39">
        <f t="shared" si="0"/>
        <v>15</v>
      </c>
      <c r="U13" s="47">
        <f t="shared" si="1"/>
        <v>0.4700354490322165</v>
      </c>
      <c r="V13" s="48">
        <f t="shared" si="2"/>
        <v>81852</v>
      </c>
      <c r="W13" s="49">
        <f t="shared" si="3"/>
        <v>3.1335696602147765E-2</v>
      </c>
      <c r="X13" s="44">
        <f t="shared" si="4"/>
        <v>5803.2964317598562</v>
      </c>
      <c r="Y13" s="44">
        <f t="shared" si="5"/>
        <v>81852</v>
      </c>
      <c r="Z13" s="44">
        <f t="shared" si="6"/>
        <v>85357.308205744965</v>
      </c>
      <c r="AA13" s="50">
        <f t="shared" si="7"/>
        <v>164998.29643175987</v>
      </c>
      <c r="AB13" s="51">
        <f t="shared" si="8"/>
        <v>79922.573226352964</v>
      </c>
      <c r="AC13" s="44">
        <f t="shared" si="8"/>
        <v>154492.78692112345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1.0763668537425979</v>
      </c>
      <c r="AG13" s="44">
        <f t="shared" si="10"/>
        <v>166497.80677117375</v>
      </c>
      <c r="AH13" s="52">
        <f>HLOOKUP(I13,ElecAvoidedCostsWOCC!$A$5:$Q$50,T13+1,FALSE)</f>
        <v>1.0763668537425979</v>
      </c>
      <c r="AI13" s="44">
        <f t="shared" si="11"/>
        <v>0</v>
      </c>
      <c r="AJ13" s="44">
        <f t="shared" si="12"/>
        <v>166497.80677117375</v>
      </c>
      <c r="AK13" s="44">
        <f>HLOOKUP(I13,ElecAvoidedCostsWOCC!$A$5:$Q$50,G13+1,FALSE)*J13*L13</f>
        <v>0</v>
      </c>
      <c r="AL13" s="44">
        <f t="shared" si="13"/>
        <v>166497.80677117375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166497.80677117375</v>
      </c>
      <c r="AN13" s="48">
        <f t="shared" si="14"/>
        <v>183147.58744829113</v>
      </c>
      <c r="AO13" s="47">
        <f t="shared" si="15"/>
        <v>2.0832388153923231</v>
      </c>
      <c r="AP13" s="47">
        <f t="shared" si="16"/>
        <v>1.1854766238490955</v>
      </c>
    </row>
    <row r="14" spans="1:42" ht="13.5" customHeight="1" x14ac:dyDescent="0.35">
      <c r="A14" s="55">
        <f>SUM(Y5:Y1000)</f>
        <v>1404987.6800000002</v>
      </c>
      <c r="B14" s="37"/>
      <c r="E14" s="38" t="s">
        <v>1240</v>
      </c>
      <c r="F14" s="39" t="s">
        <v>1241</v>
      </c>
      <c r="G14" s="39">
        <v>15</v>
      </c>
      <c r="H14" s="39"/>
      <c r="I14" s="40" t="s">
        <v>261</v>
      </c>
      <c r="J14" s="41">
        <v>1</v>
      </c>
      <c r="K14" s="41">
        <v>102267</v>
      </c>
      <c r="L14" s="41"/>
      <c r="M14" s="42">
        <v>24705.57</v>
      </c>
      <c r="N14" s="42">
        <v>24705.57</v>
      </c>
      <c r="O14" s="43">
        <v>102267</v>
      </c>
      <c r="P14" s="44">
        <v>24705.57</v>
      </c>
      <c r="Q14" s="44">
        <v>24705.57</v>
      </c>
      <c r="R14" s="45"/>
      <c r="S14" s="46"/>
      <c r="T14" s="39">
        <f t="shared" si="0"/>
        <v>15</v>
      </c>
      <c r="U14" s="47">
        <f t="shared" si="1"/>
        <v>0.31075485836492023</v>
      </c>
      <c r="V14" s="48">
        <f t="shared" si="2"/>
        <v>0</v>
      </c>
      <c r="W14" s="49">
        <f t="shared" si="3"/>
        <v>2.0716990557661349E-2</v>
      </c>
      <c r="X14" s="44">
        <f t="shared" si="4"/>
        <v>3836.7373448413568</v>
      </c>
      <c r="Y14" s="44">
        <f t="shared" si="5"/>
        <v>0</v>
      </c>
      <c r="Z14" s="44">
        <f t="shared" si="6"/>
        <v>56432.335638729812</v>
      </c>
      <c r="AA14" s="50">
        <f t="shared" si="7"/>
        <v>28542.307344841356</v>
      </c>
      <c r="AB14" s="51">
        <f t="shared" si="8"/>
        <v>52839.265579335028</v>
      </c>
      <c r="AC14" s="44">
        <f t="shared" si="8"/>
        <v>26725.006877192278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1.0763668537425979</v>
      </c>
      <c r="AG14" s="44">
        <f t="shared" si="10"/>
        <v>110076.80903169425</v>
      </c>
      <c r="AH14" s="52">
        <f>HLOOKUP(I14,ElecAvoidedCostsWOCC!$A$5:$Q$50,T14+1,FALSE)</f>
        <v>1.0763668537425979</v>
      </c>
      <c r="AI14" s="44">
        <f t="shared" si="11"/>
        <v>0</v>
      </c>
      <c r="AJ14" s="44">
        <f t="shared" si="12"/>
        <v>110076.80903169425</v>
      </c>
      <c r="AK14" s="44">
        <f>HLOOKUP(I14,ElecAvoidedCostsWOCC!$A$5:$Q$50,G14+1,FALSE)*J14*L14</f>
        <v>0</v>
      </c>
      <c r="AL14" s="44">
        <f t="shared" si="13"/>
        <v>110076.80903169425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110076.80903169425</v>
      </c>
      <c r="AN14" s="48">
        <f t="shared" si="14"/>
        <v>121084.48993486368</v>
      </c>
      <c r="AO14" s="47">
        <f t="shared" si="15"/>
        <v>2.0832388153923231</v>
      </c>
      <c r="AP14" s="47">
        <f t="shared" si="16"/>
        <v>4.530756174966597</v>
      </c>
    </row>
    <row r="15" spans="1:42" ht="13.5" customHeight="1" x14ac:dyDescent="0.35">
      <c r="A15" s="57" t="s">
        <v>249</v>
      </c>
      <c r="B15" s="37"/>
      <c r="E15" s="38" t="s">
        <v>1144</v>
      </c>
      <c r="F15" s="39" t="s">
        <v>1145</v>
      </c>
      <c r="G15" s="39">
        <v>15</v>
      </c>
      <c r="H15" s="39"/>
      <c r="I15" s="40" t="s">
        <v>261</v>
      </c>
      <c r="J15" s="41">
        <v>1</v>
      </c>
      <c r="K15" s="41">
        <v>1081827</v>
      </c>
      <c r="L15" s="41"/>
      <c r="M15" s="42">
        <v>418532</v>
      </c>
      <c r="N15" s="42">
        <v>539246</v>
      </c>
      <c r="O15" s="43">
        <v>1081827</v>
      </c>
      <c r="P15" s="44">
        <v>418532</v>
      </c>
      <c r="Q15" s="44">
        <v>539246</v>
      </c>
      <c r="R15" s="45"/>
      <c r="S15" s="46"/>
      <c r="T15" s="39">
        <f t="shared" si="0"/>
        <v>15</v>
      </c>
      <c r="U15" s="47">
        <f t="shared" si="1"/>
        <v>3.2873067182996132</v>
      </c>
      <c r="V15" s="48">
        <f t="shared" si="2"/>
        <v>120714</v>
      </c>
      <c r="W15" s="49">
        <f t="shared" si="3"/>
        <v>0.21915378121997423</v>
      </c>
      <c r="X15" s="44">
        <f t="shared" si="4"/>
        <v>40586.758695939949</v>
      </c>
      <c r="Y15" s="44">
        <f t="shared" si="5"/>
        <v>120714</v>
      </c>
      <c r="Z15" s="44">
        <f t="shared" si="6"/>
        <v>596967.00174093456</v>
      </c>
      <c r="AA15" s="50">
        <f t="shared" si="7"/>
        <v>579832.75869593991</v>
      </c>
      <c r="AB15" s="51">
        <f t="shared" si="8"/>
        <v>558957.86679862789</v>
      </c>
      <c r="AC15" s="44">
        <f t="shared" si="8"/>
        <v>542914.56806735939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1.0763668537425979</v>
      </c>
      <c r="AG15" s="44">
        <f t="shared" si="10"/>
        <v>1164442.7242837935</v>
      </c>
      <c r="AH15" s="52">
        <f>HLOOKUP(I15,ElecAvoidedCostsWOCC!$A$5:$Q$50,T15+1,FALSE)</f>
        <v>1.0763668537425979</v>
      </c>
      <c r="AI15" s="44">
        <f t="shared" si="11"/>
        <v>0</v>
      </c>
      <c r="AJ15" s="44">
        <f t="shared" si="12"/>
        <v>1164442.7242837935</v>
      </c>
      <c r="AK15" s="44">
        <f>HLOOKUP(I15,ElecAvoidedCostsWOCC!$A$5:$Q$50,G15+1,FALSE)*J15*L15</f>
        <v>0</v>
      </c>
      <c r="AL15" s="44">
        <f t="shared" si="13"/>
        <v>1164442.7242837935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1164442.7242837935</v>
      </c>
      <c r="AN15" s="48">
        <f t="shared" si="14"/>
        <v>1280886.9967121729</v>
      </c>
      <c r="AO15" s="47">
        <f t="shared" si="15"/>
        <v>2.0832388153923231</v>
      </c>
      <c r="AP15" s="47">
        <f t="shared" si="16"/>
        <v>2.3592791058670821</v>
      </c>
    </row>
    <row r="16" spans="1:42" ht="13.5" customHeight="1" x14ac:dyDescent="0.35">
      <c r="A16" s="54">
        <f>SUM(U5:U999)</f>
        <v>14.181457557081773</v>
      </c>
      <c r="B16" s="37"/>
      <c r="E16" s="38" t="s">
        <v>1246</v>
      </c>
      <c r="F16" s="39" t="s">
        <v>1247</v>
      </c>
      <c r="G16" s="39">
        <v>5</v>
      </c>
      <c r="H16" s="39"/>
      <c r="I16" s="40" t="s">
        <v>261</v>
      </c>
      <c r="J16" s="41">
        <v>1</v>
      </c>
      <c r="K16" s="41"/>
      <c r="L16" s="41"/>
      <c r="M16" s="42">
        <v>342338.61</v>
      </c>
      <c r="N16" s="42">
        <v>363239.46</v>
      </c>
      <c r="O16" s="43">
        <v>0</v>
      </c>
      <c r="P16" s="44">
        <v>342338.61</v>
      </c>
      <c r="Q16" s="44">
        <v>363239.46</v>
      </c>
      <c r="R16" s="45"/>
      <c r="S16" s="46"/>
      <c r="T16" s="39">
        <f t="shared" si="0"/>
        <v>5</v>
      </c>
      <c r="U16" s="47">
        <f t="shared" si="1"/>
        <v>0</v>
      </c>
      <c r="V16" s="48">
        <f t="shared" si="2"/>
        <v>20900.850000000035</v>
      </c>
      <c r="W16" s="49">
        <f t="shared" si="3"/>
        <v>0</v>
      </c>
      <c r="X16" s="44">
        <f t="shared" si="4"/>
        <v>0</v>
      </c>
      <c r="Y16" s="44">
        <f t="shared" si="5"/>
        <v>20900.850000000035</v>
      </c>
      <c r="Z16" s="44">
        <f t="shared" si="6"/>
        <v>0</v>
      </c>
      <c r="AA16" s="50">
        <f t="shared" si="7"/>
        <v>363239.46</v>
      </c>
      <c r="AB16" s="51">
        <f t="shared" si="8"/>
        <v>0</v>
      </c>
      <c r="AC16" s="44">
        <f t="shared" si="8"/>
        <v>340111.85393258429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0.39886803421791017</v>
      </c>
      <c r="AG16" s="44">
        <f t="shared" si="10"/>
        <v>0</v>
      </c>
      <c r="AH16" s="52">
        <f>HLOOKUP(I16,ElecAvoidedCostsWOCC!$A$5:$Q$50,T16+1,FALSE)</f>
        <v>0.39886803421791017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2723963.96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4162274.48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1.9983376362247791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1.4385739575460863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N17" sqref="N1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18230714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18230714</v>
      </c>
      <c r="D5" s="61" t="s">
        <v>122</v>
      </c>
      <c r="E5" s="38" t="s">
        <v>1248</v>
      </c>
      <c r="F5" s="39" t="s">
        <v>1249</v>
      </c>
      <c r="G5" s="39">
        <v>12</v>
      </c>
      <c r="H5" s="39"/>
      <c r="I5" s="40" t="s">
        <v>262</v>
      </c>
      <c r="J5" s="41">
        <v>104105</v>
      </c>
      <c r="K5" s="41">
        <v>79.2</v>
      </c>
      <c r="L5" s="41"/>
      <c r="M5" s="42">
        <v>4</v>
      </c>
      <c r="N5" s="42">
        <v>4</v>
      </c>
      <c r="O5" s="43">
        <v>8245116</v>
      </c>
      <c r="P5" s="44">
        <v>413451.17</v>
      </c>
      <c r="Q5" s="44">
        <v>416420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5.3336677026220745</v>
      </c>
      <c r="V5" s="48">
        <f t="shared" ref="V5:V24" si="2">N5-M5</f>
        <v>0</v>
      </c>
      <c r="W5" s="49">
        <f t="shared" ref="W5:W24" si="3">(O5/A$10)</f>
        <v>0.44447230855183956</v>
      </c>
      <c r="X5" s="44">
        <f t="shared" ref="X5:X24" si="4">W5*A$8</f>
        <v>164294.70413059427</v>
      </c>
      <c r="Y5" s="44">
        <f t="shared" ref="Y5:Y24" si="5">Q5-P5</f>
        <v>2968.8300000000163</v>
      </c>
      <c r="Z5" s="44">
        <f t="shared" ref="Z5:Z24" si="6">X5+(A$6*W5)</f>
        <v>1287419.4642825676</v>
      </c>
      <c r="AA5" s="50">
        <f t="shared" ref="AA5:AA24" si="7">Q5+X5</f>
        <v>580714.70413059427</v>
      </c>
      <c r="AB5" s="51">
        <f t="shared" ref="AB5:AC20" si="8">Z5/(1+ElecDiscountRate)^1</f>
        <v>1205448.9365941645</v>
      </c>
      <c r="AC5" s="44">
        <f t="shared" si="8"/>
        <v>543740.35967284103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0.91128284670075355</v>
      </c>
      <c r="AG5" s="44">
        <f t="shared" ref="AG5:AG24" si="10">AF5*J5*K5</f>
        <v>7513632.7798579307</v>
      </c>
      <c r="AH5" s="52">
        <f>HLOOKUP(I5,ElecAvoidedCostsWOCC!$A$5:$Q$50,T5+1,FALSE)</f>
        <v>0.91128284670075355</v>
      </c>
      <c r="AI5" s="44">
        <f t="shared" ref="AI5:AI24" si="11">AH5*J5*L5</f>
        <v>0</v>
      </c>
      <c r="AJ5" s="44">
        <f>AG5+AI5</f>
        <v>7513632.7798579307</v>
      </c>
      <c r="AK5" s="44">
        <f>HLOOKUP(I5,ElecAvoidedCostsWOCC!$A$5:$Q$50,G5+1,FALSE)*J5*L5</f>
        <v>0</v>
      </c>
      <c r="AL5" s="44">
        <f>AG5+AI5-AK5</f>
        <v>7513632.7798579307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7513632.7798579298</v>
      </c>
      <c r="AN5" s="48">
        <f>AM5*1.1+AD5+AE5</f>
        <v>8264996.0578437233</v>
      </c>
      <c r="AO5" s="47">
        <f>IFERROR(AM5/AB5,0)</f>
        <v>6.233057703038587</v>
      </c>
      <c r="AP5" s="47">
        <f>AN5/AC5</f>
        <v>15.200262240633794</v>
      </c>
    </row>
    <row r="6" spans="1:42" ht="13.5" customHeight="1" x14ac:dyDescent="0.35">
      <c r="A6" s="53">
        <f>SUMIF('Program Costs'!C:C,D2,'Program Costs'!L:L)</f>
        <v>2526872.29</v>
      </c>
      <c r="B6" s="97" t="s">
        <v>67</v>
      </c>
      <c r="C6" s="98">
        <v>18230714</v>
      </c>
      <c r="D6" s="61" t="s">
        <v>122</v>
      </c>
      <c r="E6" s="38" t="s">
        <v>1250</v>
      </c>
      <c r="F6" s="39" t="s">
        <v>1251</v>
      </c>
      <c r="G6" s="39">
        <v>10</v>
      </c>
      <c r="H6" s="39"/>
      <c r="I6" s="40" t="s">
        <v>262</v>
      </c>
      <c r="J6" s="41">
        <v>86</v>
      </c>
      <c r="K6" s="41">
        <v>679.3</v>
      </c>
      <c r="L6" s="41"/>
      <c r="M6" s="42">
        <v>150</v>
      </c>
      <c r="N6" s="42">
        <v>206.89</v>
      </c>
      <c r="O6" s="43">
        <v>58419.8</v>
      </c>
      <c r="P6" s="44">
        <v>9555.36</v>
      </c>
      <c r="Q6" s="44">
        <v>17792.54</v>
      </c>
      <c r="R6" s="45">
        <v>0</v>
      </c>
      <c r="S6" s="46">
        <v>0</v>
      </c>
      <c r="T6" s="39">
        <f t="shared" si="0"/>
        <v>10</v>
      </c>
      <c r="U6" s="47">
        <f t="shared" si="1"/>
        <v>3.1492562834939807E-2</v>
      </c>
      <c r="V6" s="48">
        <f t="shared" si="2"/>
        <v>56.889999999999986</v>
      </c>
      <c r="W6" s="49">
        <f t="shared" si="3"/>
        <v>3.1492562834939809E-3</v>
      </c>
      <c r="X6" s="44">
        <f t="shared" si="4"/>
        <v>1164.0908091976501</v>
      </c>
      <c r="Y6" s="44">
        <f t="shared" si="5"/>
        <v>8237.18</v>
      </c>
      <c r="Z6" s="44">
        <f t="shared" si="6"/>
        <v>9121.8592460669752</v>
      </c>
      <c r="AA6" s="50">
        <f t="shared" si="7"/>
        <v>18956.63080919765</v>
      </c>
      <c r="AB6" s="51">
        <f t="shared" si="8"/>
        <v>8541.0667098005379</v>
      </c>
      <c r="AC6" s="44">
        <f t="shared" si="8"/>
        <v>17749.654315728134</v>
      </c>
      <c r="AD6" s="44">
        <f t="shared" si="9"/>
        <v>0</v>
      </c>
      <c r="AE6" s="44">
        <v>0</v>
      </c>
      <c r="AF6" s="52">
        <f>HLOOKUP(I6,ElecAvoidedCostsWOCC!$A$5:$Q$50,G6+1,FALSE)</f>
        <v>0.77460416073684046</v>
      </c>
      <c r="AG6" s="44">
        <f t="shared" si="10"/>
        <v>45252.220149414068</v>
      </c>
      <c r="AH6" s="52">
        <f>HLOOKUP(I6,ElecAvoidedCostsWOCC!$A$5:$Q$50,T6+1,FALSE)</f>
        <v>0.77460416073684046</v>
      </c>
      <c r="AI6" s="44">
        <f t="shared" si="11"/>
        <v>0</v>
      </c>
      <c r="AJ6" s="44">
        <f t="shared" ref="AJ6:AJ24" si="12">AG6+AI6</f>
        <v>45252.220149414068</v>
      </c>
      <c r="AK6" s="44">
        <f>HLOOKUP(I6,ElecAvoidedCostsWOCC!$A$5:$Q$50,G6+1,FALSE)*J6*L6</f>
        <v>0</v>
      </c>
      <c r="AL6" s="44">
        <f t="shared" ref="AL6:AL24" si="13">AG6+AI6-AK6</f>
        <v>45252.220149414068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45252.220149414075</v>
      </c>
      <c r="AN6" s="48">
        <f t="shared" ref="AN6:AN24" si="14">AM6*1.1+AD6+AE6</f>
        <v>49777.442164355489</v>
      </c>
      <c r="AO6" s="47">
        <f t="shared" ref="AO6:AO24" si="15">IFERROR(AM6/AB6,0)</f>
        <v>5.2981930345408657</v>
      </c>
      <c r="AP6" s="47">
        <f t="shared" ref="AP6:AP24" si="16">AN6/AC6</f>
        <v>2.80441755534626</v>
      </c>
    </row>
    <row r="7" spans="1:42" ht="13.5" customHeight="1" x14ac:dyDescent="0.35">
      <c r="A7" s="36" t="s">
        <v>240</v>
      </c>
      <c r="B7" s="97" t="s">
        <v>67</v>
      </c>
      <c r="C7" s="98">
        <v>18230714</v>
      </c>
      <c r="D7" s="61" t="s">
        <v>122</v>
      </c>
      <c r="E7" s="38" t="s">
        <v>1252</v>
      </c>
      <c r="F7" s="39" t="s">
        <v>1251</v>
      </c>
      <c r="G7" s="39">
        <v>10</v>
      </c>
      <c r="H7" s="39"/>
      <c r="I7" s="40" t="s">
        <v>262</v>
      </c>
      <c r="J7" s="41">
        <v>629</v>
      </c>
      <c r="K7" s="41">
        <v>679.3</v>
      </c>
      <c r="L7" s="41"/>
      <c r="M7" s="42">
        <v>150</v>
      </c>
      <c r="N7" s="42">
        <v>206.89</v>
      </c>
      <c r="O7" s="43">
        <v>427279.7</v>
      </c>
      <c r="P7" s="44">
        <v>89340.3</v>
      </c>
      <c r="Q7" s="44">
        <v>130133.81</v>
      </c>
      <c r="R7" s="45">
        <v>22.946999999999999</v>
      </c>
      <c r="S7" s="46">
        <v>0</v>
      </c>
      <c r="T7" s="39">
        <f t="shared" si="0"/>
        <v>10</v>
      </c>
      <c r="U7" s="47">
        <f t="shared" si="1"/>
        <v>0.23033513980438536</v>
      </c>
      <c r="V7" s="48">
        <f t="shared" si="2"/>
        <v>56.889999999999986</v>
      </c>
      <c r="W7" s="49">
        <f t="shared" si="3"/>
        <v>2.3033513980438534E-2</v>
      </c>
      <c r="X7" s="44">
        <f t="shared" si="4"/>
        <v>8514.1060347130442</v>
      </c>
      <c r="Y7" s="44">
        <f t="shared" si="5"/>
        <v>40793.509999999995</v>
      </c>
      <c r="Z7" s="44">
        <f t="shared" si="6"/>
        <v>66716.854253210782</v>
      </c>
      <c r="AA7" s="50">
        <f t="shared" si="7"/>
        <v>138647.91603471304</v>
      </c>
      <c r="AB7" s="51">
        <f t="shared" si="8"/>
        <v>62468.9646565644</v>
      </c>
      <c r="AC7" s="44">
        <f t="shared" si="8"/>
        <v>129820.14609991857</v>
      </c>
      <c r="AD7" s="44">
        <f t="shared" si="9"/>
        <v>102319.90471629535</v>
      </c>
      <c r="AE7" s="44">
        <v>0</v>
      </c>
      <c r="AF7" s="52">
        <f>HLOOKUP(I7,ElecAvoidedCostsWOCC!$A$5:$Q$50,G7+1,FALSE)</f>
        <v>0.77460416073684046</v>
      </c>
      <c r="AG7" s="44">
        <f t="shared" si="10"/>
        <v>330972.63341838896</v>
      </c>
      <c r="AH7" s="52">
        <f>HLOOKUP(I7,ElecAvoidedCostsWOCC!$A$5:$Q$50,T7+1,FALSE)</f>
        <v>0.77460416073684046</v>
      </c>
      <c r="AI7" s="44">
        <f t="shared" si="11"/>
        <v>0</v>
      </c>
      <c r="AJ7" s="44">
        <f t="shared" si="12"/>
        <v>330972.63341838896</v>
      </c>
      <c r="AK7" s="44">
        <f>HLOOKUP(I7,ElecAvoidedCostsWOCC!$A$5:$Q$50,G7+1,FALSE)*J7*L7</f>
        <v>0</v>
      </c>
      <c r="AL7" s="44">
        <f t="shared" si="13"/>
        <v>330972.63341838896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330972.63341838896</v>
      </c>
      <c r="AN7" s="48">
        <f t="shared" si="14"/>
        <v>466389.80147652322</v>
      </c>
      <c r="AO7" s="47">
        <f t="shared" si="15"/>
        <v>5.2981930345408648</v>
      </c>
      <c r="AP7" s="47">
        <f t="shared" si="16"/>
        <v>3.5925841673106529</v>
      </c>
    </row>
    <row r="8" spans="1:42" ht="13.5" customHeight="1" x14ac:dyDescent="0.35">
      <c r="A8" s="53">
        <f>SUMIF('Program Costs'!C:C,D2,'Program Costs'!O:O)</f>
        <v>369639.91000000015</v>
      </c>
      <c r="B8" s="97" t="s">
        <v>67</v>
      </c>
      <c r="C8" s="98">
        <v>18230714</v>
      </c>
      <c r="D8" s="61" t="s">
        <v>122</v>
      </c>
      <c r="E8" s="38" t="s">
        <v>1253</v>
      </c>
      <c r="F8" s="39" t="s">
        <v>1254</v>
      </c>
      <c r="G8" s="39">
        <v>10</v>
      </c>
      <c r="H8" s="39"/>
      <c r="I8" s="40" t="s">
        <v>262</v>
      </c>
      <c r="J8" s="41">
        <v>99</v>
      </c>
      <c r="K8" s="41">
        <v>2817.8</v>
      </c>
      <c r="L8" s="41"/>
      <c r="M8" s="42">
        <v>300</v>
      </c>
      <c r="N8" s="42">
        <v>693.27</v>
      </c>
      <c r="O8" s="43">
        <v>278962.2</v>
      </c>
      <c r="P8" s="44">
        <v>29700</v>
      </c>
      <c r="Q8" s="44">
        <v>68633.73</v>
      </c>
      <c r="R8" s="45">
        <v>95.185000000000002</v>
      </c>
      <c r="S8" s="46">
        <v>0</v>
      </c>
      <c r="T8" s="39">
        <f t="shared" si="0"/>
        <v>10</v>
      </c>
      <c r="U8" s="47">
        <f t="shared" si="1"/>
        <v>0.15038111414405811</v>
      </c>
      <c r="V8" s="48">
        <f t="shared" si="2"/>
        <v>393.27</v>
      </c>
      <c r="W8" s="49">
        <f t="shared" si="3"/>
        <v>1.5038111414405812E-2</v>
      </c>
      <c r="X8" s="44">
        <f t="shared" si="4"/>
        <v>5558.6861497909395</v>
      </c>
      <c r="Y8" s="44">
        <f t="shared" si="5"/>
        <v>38933.729999999996</v>
      </c>
      <c r="Z8" s="44">
        <f t="shared" si="6"/>
        <v>43558.073176785692</v>
      </c>
      <c r="AA8" s="50">
        <f t="shared" si="7"/>
        <v>74192.416149790937</v>
      </c>
      <c r="AB8" s="51">
        <f t="shared" si="8"/>
        <v>40784.712712346154</v>
      </c>
      <c r="AC8" s="44">
        <f t="shared" si="8"/>
        <v>69468.554447369781</v>
      </c>
      <c r="AD8" s="44">
        <f t="shared" si="9"/>
        <v>66801.663092150411</v>
      </c>
      <c r="AE8" s="44">
        <v>0</v>
      </c>
      <c r="AF8" s="52">
        <f>HLOOKUP(I8,ElecAvoidedCostsWOCC!$A$5:$Q$50,G8+1,FALSE)</f>
        <v>0.77460416073684046</v>
      </c>
      <c r="AG8" s="44">
        <f t="shared" si="10"/>
        <v>216085.28080830263</v>
      </c>
      <c r="AH8" s="52">
        <f>HLOOKUP(I8,ElecAvoidedCostsWOCC!$A$5:$Q$50,T8+1,FALSE)</f>
        <v>0.77460416073684046</v>
      </c>
      <c r="AI8" s="44">
        <f t="shared" si="11"/>
        <v>0</v>
      </c>
      <c r="AJ8" s="44">
        <f t="shared" si="12"/>
        <v>216085.28080830263</v>
      </c>
      <c r="AK8" s="44">
        <f>HLOOKUP(I8,ElecAvoidedCostsWOCC!$A$5:$Q$50,G8+1,FALSE)*J8*L8</f>
        <v>0</v>
      </c>
      <c r="AL8" s="44">
        <f t="shared" si="13"/>
        <v>216085.28080830263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216085.28080830266</v>
      </c>
      <c r="AN8" s="48">
        <f t="shared" si="14"/>
        <v>304495.47198128339</v>
      </c>
      <c r="AO8" s="47">
        <f t="shared" si="15"/>
        <v>5.2981930345408648</v>
      </c>
      <c r="AP8" s="47">
        <f t="shared" si="16"/>
        <v>4.3832130149184669</v>
      </c>
    </row>
    <row r="9" spans="1:42" ht="13.5" customHeight="1" x14ac:dyDescent="0.35">
      <c r="A9" s="36" t="s">
        <v>242</v>
      </c>
      <c r="B9" s="97" t="s">
        <v>67</v>
      </c>
      <c r="C9" s="98">
        <v>18230714</v>
      </c>
      <c r="D9" s="61" t="s">
        <v>122</v>
      </c>
      <c r="E9" s="38" t="s">
        <v>1255</v>
      </c>
      <c r="F9" s="39" t="s">
        <v>1256</v>
      </c>
      <c r="G9" s="39">
        <v>10</v>
      </c>
      <c r="H9" s="39"/>
      <c r="I9" s="40" t="s">
        <v>262</v>
      </c>
      <c r="J9" s="41">
        <v>42</v>
      </c>
      <c r="K9" s="41">
        <v>232.3</v>
      </c>
      <c r="L9" s="41"/>
      <c r="M9" s="42">
        <v>40</v>
      </c>
      <c r="N9" s="42">
        <v>131.18</v>
      </c>
      <c r="O9" s="43">
        <v>9756.6</v>
      </c>
      <c r="P9" s="44">
        <v>1680</v>
      </c>
      <c r="Q9" s="44">
        <v>5509.56</v>
      </c>
      <c r="R9" s="45">
        <v>0</v>
      </c>
      <c r="S9" s="46">
        <v>0</v>
      </c>
      <c r="T9" s="39">
        <f t="shared" si="0"/>
        <v>10</v>
      </c>
      <c r="U9" s="47">
        <f t="shared" si="1"/>
        <v>5.2595239722726499E-3</v>
      </c>
      <c r="V9" s="48">
        <f t="shared" si="2"/>
        <v>91.18</v>
      </c>
      <c r="W9" s="49">
        <f t="shared" si="3"/>
        <v>5.2595239722726496E-4</v>
      </c>
      <c r="X9" s="44">
        <f t="shared" si="4"/>
        <v>194.41299677537054</v>
      </c>
      <c r="Y9" s="44">
        <f t="shared" si="5"/>
        <v>3829.5600000000004</v>
      </c>
      <c r="Z9" s="44">
        <f t="shared" si="6"/>
        <v>1523.4275351880194</v>
      </c>
      <c r="AA9" s="50">
        <f t="shared" si="7"/>
        <v>5703.972996775371</v>
      </c>
      <c r="AB9" s="51">
        <f t="shared" si="8"/>
        <v>1426.4302763932765</v>
      </c>
      <c r="AC9" s="44">
        <f t="shared" si="8"/>
        <v>5340.7986861192612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0.77460416073684046</v>
      </c>
      <c r="AG9" s="44">
        <f t="shared" si="10"/>
        <v>7557.5029546450587</v>
      </c>
      <c r="AH9" s="52">
        <f>HLOOKUP(I9,ElecAvoidedCostsWOCC!$A$5:$Q$50,T9+1,FALSE)</f>
        <v>0.77460416073684046</v>
      </c>
      <c r="AI9" s="44">
        <f t="shared" si="11"/>
        <v>0</v>
      </c>
      <c r="AJ9" s="44">
        <f t="shared" si="12"/>
        <v>7557.5029546450587</v>
      </c>
      <c r="AK9" s="44">
        <f>HLOOKUP(I9,ElecAvoidedCostsWOCC!$A$5:$Q$50,G9+1,FALSE)*J9*L9</f>
        <v>0</v>
      </c>
      <c r="AL9" s="44">
        <f t="shared" si="13"/>
        <v>7557.5029546450587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7557.5029546450587</v>
      </c>
      <c r="AN9" s="48">
        <f t="shared" si="14"/>
        <v>8313.2532501095648</v>
      </c>
      <c r="AO9" s="47">
        <f t="shared" si="15"/>
        <v>5.2981930345408657</v>
      </c>
      <c r="AP9" s="47">
        <f t="shared" si="16"/>
        <v>1.5565561891923982</v>
      </c>
    </row>
    <row r="10" spans="1:42" ht="13.5" customHeight="1" x14ac:dyDescent="0.35">
      <c r="A10" s="54">
        <f>SUM(O5:O999)</f>
        <v>18550348</v>
      </c>
      <c r="B10" s="97" t="s">
        <v>67</v>
      </c>
      <c r="C10" s="98">
        <v>18230714</v>
      </c>
      <c r="D10" s="61" t="s">
        <v>122</v>
      </c>
      <c r="E10" s="38" t="s">
        <v>1257</v>
      </c>
      <c r="F10" s="39" t="s">
        <v>1256</v>
      </c>
      <c r="G10" s="39">
        <v>10</v>
      </c>
      <c r="H10" s="39"/>
      <c r="I10" s="40" t="s">
        <v>262</v>
      </c>
      <c r="J10" s="41">
        <v>129</v>
      </c>
      <c r="K10" s="41">
        <v>232.3</v>
      </c>
      <c r="L10" s="41"/>
      <c r="M10" s="42">
        <v>40</v>
      </c>
      <c r="N10" s="42">
        <v>131.18</v>
      </c>
      <c r="O10" s="43">
        <v>29966.7</v>
      </c>
      <c r="P10" s="44">
        <v>4852.7700000000004</v>
      </c>
      <c r="Q10" s="44">
        <v>16922.22</v>
      </c>
      <c r="R10" s="45">
        <v>7.8470000000000004</v>
      </c>
      <c r="S10" s="46">
        <v>0</v>
      </c>
      <c r="T10" s="39">
        <f t="shared" si="0"/>
        <v>10</v>
      </c>
      <c r="U10" s="47">
        <f t="shared" si="1"/>
        <v>1.6154252200551708E-2</v>
      </c>
      <c r="V10" s="48">
        <f t="shared" si="2"/>
        <v>91.18</v>
      </c>
      <c r="W10" s="49">
        <f t="shared" si="3"/>
        <v>1.6154252200551709E-3</v>
      </c>
      <c r="X10" s="44">
        <f t="shared" si="4"/>
        <v>597.12563295292375</v>
      </c>
      <c r="Y10" s="44">
        <f t="shared" si="5"/>
        <v>12069.45</v>
      </c>
      <c r="Z10" s="44">
        <f t="shared" si="6"/>
        <v>4679.0988580774874</v>
      </c>
      <c r="AA10" s="50">
        <f t="shared" si="7"/>
        <v>17519.345632952925</v>
      </c>
      <c r="AB10" s="51">
        <f t="shared" si="8"/>
        <v>4381.1787060650631</v>
      </c>
      <c r="AC10" s="44">
        <f t="shared" si="8"/>
        <v>16403.881678794874</v>
      </c>
      <c r="AD10" s="44">
        <f t="shared" si="9"/>
        <v>7175.909102757304</v>
      </c>
      <c r="AE10" s="44">
        <f t="shared" si="17"/>
        <v>0</v>
      </c>
      <c r="AF10" s="52">
        <f>HLOOKUP(I10,ElecAvoidedCostsWOCC!$A$5:$Q$50,G10+1,FALSE)</f>
        <v>0.77460416073684046</v>
      </c>
      <c r="AG10" s="44">
        <f t="shared" si="10"/>
        <v>23212.330503552679</v>
      </c>
      <c r="AH10" s="52">
        <f>HLOOKUP(I10,ElecAvoidedCostsWOCC!$A$5:$Q$50,T10+1,FALSE)</f>
        <v>0.77460416073684046</v>
      </c>
      <c r="AI10" s="44">
        <f t="shared" si="11"/>
        <v>0</v>
      </c>
      <c r="AJ10" s="44">
        <f t="shared" si="12"/>
        <v>23212.330503552679</v>
      </c>
      <c r="AK10" s="44">
        <f>HLOOKUP(I10,ElecAvoidedCostsWOCC!$A$5:$Q$50,G10+1,FALSE)*J10*L10</f>
        <v>0</v>
      </c>
      <c r="AL10" s="44">
        <f t="shared" si="13"/>
        <v>23212.330503552679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23212.330503552679</v>
      </c>
      <c r="AN10" s="48">
        <f t="shared" si="14"/>
        <v>32709.472656665253</v>
      </c>
      <c r="AO10" s="47">
        <f t="shared" si="15"/>
        <v>5.2981930345408657</v>
      </c>
      <c r="AP10" s="47">
        <f t="shared" si="16"/>
        <v>1.9940080827910656</v>
      </c>
    </row>
    <row r="11" spans="1:42" ht="13.5" customHeight="1" x14ac:dyDescent="0.35">
      <c r="A11" s="36" t="s">
        <v>243</v>
      </c>
      <c r="B11" s="97" t="s">
        <v>67</v>
      </c>
      <c r="C11" s="98">
        <v>18230714</v>
      </c>
      <c r="D11" s="61" t="s">
        <v>122</v>
      </c>
      <c r="E11" s="38" t="s">
        <v>1258</v>
      </c>
      <c r="F11" s="39" t="s">
        <v>1259</v>
      </c>
      <c r="G11" s="39">
        <v>10</v>
      </c>
      <c r="H11" s="39"/>
      <c r="I11" s="40" t="s">
        <v>262</v>
      </c>
      <c r="J11" s="41">
        <v>61</v>
      </c>
      <c r="K11" s="41">
        <v>502.4</v>
      </c>
      <c r="L11" s="41"/>
      <c r="M11" s="42">
        <v>90</v>
      </c>
      <c r="N11" s="42">
        <v>215.58</v>
      </c>
      <c r="O11" s="43">
        <v>30646.400000000001</v>
      </c>
      <c r="P11" s="44">
        <v>3427.74</v>
      </c>
      <c r="Q11" s="44">
        <v>13150.38</v>
      </c>
      <c r="R11" s="45">
        <v>0</v>
      </c>
      <c r="S11" s="46">
        <v>0</v>
      </c>
      <c r="T11" s="39">
        <f t="shared" si="0"/>
        <v>10</v>
      </c>
      <c r="U11" s="47">
        <f t="shared" si="1"/>
        <v>1.652066042103361E-2</v>
      </c>
      <c r="V11" s="48">
        <f t="shared" si="2"/>
        <v>125.58000000000001</v>
      </c>
      <c r="W11" s="49">
        <f t="shared" si="3"/>
        <v>1.6520660421033612E-3</v>
      </c>
      <c r="X11" s="44">
        <f t="shared" si="4"/>
        <v>610.66954311714289</v>
      </c>
      <c r="Y11" s="44">
        <f t="shared" si="5"/>
        <v>9722.64</v>
      </c>
      <c r="Z11" s="44">
        <f t="shared" si="6"/>
        <v>4785.2294461580996</v>
      </c>
      <c r="AA11" s="50">
        <f t="shared" si="7"/>
        <v>13761.049543117142</v>
      </c>
      <c r="AB11" s="51">
        <f t="shared" si="8"/>
        <v>4480.55191587837</v>
      </c>
      <c r="AC11" s="44">
        <f t="shared" si="8"/>
        <v>12884.877849360619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0.77460416073684046</v>
      </c>
      <c r="AG11" s="44">
        <f t="shared" si="10"/>
        <v>23738.828951605508</v>
      </c>
      <c r="AH11" s="52">
        <f>HLOOKUP(I11,ElecAvoidedCostsWOCC!$A$5:$Q$50,T11+1,FALSE)</f>
        <v>0.77460416073684046</v>
      </c>
      <c r="AI11" s="44">
        <f t="shared" si="11"/>
        <v>0</v>
      </c>
      <c r="AJ11" s="44">
        <f t="shared" si="12"/>
        <v>23738.828951605508</v>
      </c>
      <c r="AK11" s="44">
        <f>HLOOKUP(I11,ElecAvoidedCostsWOCC!$A$5:$Q$50,G11+1,FALSE)*J11*L11</f>
        <v>0</v>
      </c>
      <c r="AL11" s="44">
        <f t="shared" si="13"/>
        <v>23738.828951605508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23738.828951605505</v>
      </c>
      <c r="AN11" s="48">
        <f t="shared" si="14"/>
        <v>26112.711846766058</v>
      </c>
      <c r="AO11" s="47">
        <f t="shared" si="15"/>
        <v>5.2981930345408648</v>
      </c>
      <c r="AP11" s="47">
        <f t="shared" si="16"/>
        <v>2.0266169498891942</v>
      </c>
    </row>
    <row r="12" spans="1:42" ht="13.5" customHeight="1" x14ac:dyDescent="0.35">
      <c r="A12" s="55">
        <f>SUM(P5:P1000)</f>
        <v>1863628.44</v>
      </c>
      <c r="B12" s="97" t="s">
        <v>67</v>
      </c>
      <c r="C12" s="98">
        <v>18230714</v>
      </c>
      <c r="D12" s="61" t="s">
        <v>122</v>
      </c>
      <c r="E12" s="38" t="s">
        <v>1260</v>
      </c>
      <c r="F12" s="39" t="s">
        <v>1259</v>
      </c>
      <c r="G12" s="39">
        <v>10</v>
      </c>
      <c r="H12" s="39"/>
      <c r="I12" s="40" t="s">
        <v>262</v>
      </c>
      <c r="J12" s="41">
        <v>368</v>
      </c>
      <c r="K12" s="41">
        <v>502.4</v>
      </c>
      <c r="L12" s="41"/>
      <c r="M12" s="42">
        <v>90</v>
      </c>
      <c r="N12" s="42">
        <v>215.58</v>
      </c>
      <c r="O12" s="43">
        <v>184883.20000000001</v>
      </c>
      <c r="P12" s="44">
        <v>26498.93</v>
      </c>
      <c r="Q12" s="44">
        <v>79333.440000000002</v>
      </c>
      <c r="R12" s="45">
        <v>16.971</v>
      </c>
      <c r="S12" s="46">
        <v>0</v>
      </c>
      <c r="T12" s="39">
        <f t="shared" si="0"/>
        <v>10</v>
      </c>
      <c r="U12" s="47">
        <f t="shared" si="1"/>
        <v>9.966562352361262E-2</v>
      </c>
      <c r="V12" s="48">
        <f t="shared" si="2"/>
        <v>125.58000000000001</v>
      </c>
      <c r="W12" s="49">
        <f t="shared" si="3"/>
        <v>9.9665623523612617E-3</v>
      </c>
      <c r="X12" s="44">
        <f t="shared" si="4"/>
        <v>3684.0392109362065</v>
      </c>
      <c r="Y12" s="44">
        <f t="shared" si="5"/>
        <v>52834.51</v>
      </c>
      <c r="Z12" s="44">
        <f t="shared" si="6"/>
        <v>28868.269445675094</v>
      </c>
      <c r="AA12" s="50">
        <f t="shared" si="7"/>
        <v>83017.479210936202</v>
      </c>
      <c r="AB12" s="51">
        <f t="shared" si="8"/>
        <v>27030.21483677443</v>
      </c>
      <c r="AC12" s="44">
        <f t="shared" si="8"/>
        <v>77731.722107618159</v>
      </c>
      <c r="AD12" s="44">
        <f t="shared" si="9"/>
        <v>44272.986412528233</v>
      </c>
      <c r="AE12" s="44">
        <f t="shared" si="17"/>
        <v>0</v>
      </c>
      <c r="AF12" s="52">
        <f>HLOOKUP(I12,ElecAvoidedCostsWOCC!$A$5:$Q$50,G12+1,FALSE)</f>
        <v>0.77460416073684046</v>
      </c>
      <c r="AG12" s="44">
        <f t="shared" si="10"/>
        <v>143211.29597034139</v>
      </c>
      <c r="AH12" s="52">
        <f>HLOOKUP(I12,ElecAvoidedCostsWOCC!$A$5:$Q$50,T12+1,FALSE)</f>
        <v>0.77460416073684046</v>
      </c>
      <c r="AI12" s="44">
        <f t="shared" si="11"/>
        <v>0</v>
      </c>
      <c r="AJ12" s="44">
        <f t="shared" si="12"/>
        <v>143211.29597034139</v>
      </c>
      <c r="AK12" s="44">
        <f>HLOOKUP(I12,ElecAvoidedCostsWOCC!$A$5:$Q$50,G12+1,FALSE)*J12*L12</f>
        <v>0</v>
      </c>
      <c r="AL12" s="44">
        <f t="shared" si="13"/>
        <v>143211.29597034139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143211.29597034142</v>
      </c>
      <c r="AN12" s="48">
        <f t="shared" si="14"/>
        <v>201805.41197990382</v>
      </c>
      <c r="AO12" s="47">
        <f t="shared" si="15"/>
        <v>5.2981930345408648</v>
      </c>
      <c r="AP12" s="47">
        <f t="shared" si="16"/>
        <v>2.5961783234457085</v>
      </c>
    </row>
    <row r="13" spans="1:42" ht="13.5" customHeight="1" x14ac:dyDescent="0.35">
      <c r="A13" s="56" t="s">
        <v>246</v>
      </c>
      <c r="B13" s="97" t="s">
        <v>67</v>
      </c>
      <c r="C13" s="98">
        <v>18230714</v>
      </c>
      <c r="D13" s="61" t="s">
        <v>122</v>
      </c>
      <c r="E13" s="38" t="s">
        <v>1261</v>
      </c>
      <c r="F13" s="39" t="s">
        <v>1262</v>
      </c>
      <c r="G13" s="39">
        <v>10</v>
      </c>
      <c r="H13" s="39"/>
      <c r="I13" s="40" t="s">
        <v>262</v>
      </c>
      <c r="J13" s="41">
        <v>148</v>
      </c>
      <c r="K13" s="41">
        <v>652</v>
      </c>
      <c r="L13" s="41"/>
      <c r="M13" s="42">
        <v>100</v>
      </c>
      <c r="N13" s="42">
        <v>241.93</v>
      </c>
      <c r="O13" s="43">
        <v>96496</v>
      </c>
      <c r="P13" s="44">
        <v>14560</v>
      </c>
      <c r="Q13" s="44">
        <v>35805.64</v>
      </c>
      <c r="R13" s="45">
        <v>0</v>
      </c>
      <c r="S13" s="46">
        <v>0</v>
      </c>
      <c r="T13" s="39">
        <f t="shared" si="0"/>
        <v>10</v>
      </c>
      <c r="U13" s="47">
        <f t="shared" si="1"/>
        <v>5.2018431136709668E-2</v>
      </c>
      <c r="V13" s="48">
        <f t="shared" si="2"/>
        <v>141.93</v>
      </c>
      <c r="W13" s="49">
        <f t="shared" si="3"/>
        <v>5.201843113670967E-3</v>
      </c>
      <c r="X13" s="44">
        <f t="shared" si="4"/>
        <v>1922.8088203714567</v>
      </c>
      <c r="Y13" s="44">
        <f t="shared" si="5"/>
        <v>21245.64</v>
      </c>
      <c r="Z13" s="44">
        <f t="shared" si="6"/>
        <v>15067.202041233943</v>
      </c>
      <c r="AA13" s="50">
        <f t="shared" si="7"/>
        <v>37728.448820371457</v>
      </c>
      <c r="AB13" s="51">
        <f t="shared" si="8"/>
        <v>14107.867079807062</v>
      </c>
      <c r="AC13" s="44">
        <f t="shared" si="8"/>
        <v>35326.262940422712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0.77460416073684046</v>
      </c>
      <c r="AG13" s="44">
        <f t="shared" si="10"/>
        <v>74746.203094462151</v>
      </c>
      <c r="AH13" s="52">
        <f>HLOOKUP(I13,ElecAvoidedCostsWOCC!$A$5:$Q$50,T13+1,FALSE)</f>
        <v>0.77460416073684046</v>
      </c>
      <c r="AI13" s="44">
        <f t="shared" si="11"/>
        <v>0</v>
      </c>
      <c r="AJ13" s="44">
        <f t="shared" si="12"/>
        <v>74746.203094462151</v>
      </c>
      <c r="AK13" s="44">
        <f>HLOOKUP(I13,ElecAvoidedCostsWOCC!$A$5:$Q$50,G13+1,FALSE)*J13*L13</f>
        <v>0</v>
      </c>
      <c r="AL13" s="44">
        <f t="shared" si="13"/>
        <v>74746.203094462151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74746.203094462166</v>
      </c>
      <c r="AN13" s="48">
        <f t="shared" si="14"/>
        <v>82220.823403908391</v>
      </c>
      <c r="AO13" s="47">
        <f t="shared" si="15"/>
        <v>5.2981930345408665</v>
      </c>
      <c r="AP13" s="47">
        <f t="shared" si="16"/>
        <v>2.327470175449148</v>
      </c>
    </row>
    <row r="14" spans="1:42" ht="13.5" customHeight="1" x14ac:dyDescent="0.35">
      <c r="A14" s="55">
        <f>SUM(Y5:Y1000)</f>
        <v>2340033.79</v>
      </c>
      <c r="B14" s="97" t="s">
        <v>67</v>
      </c>
      <c r="C14" s="98">
        <v>18230714</v>
      </c>
      <c r="D14" s="61" t="s">
        <v>122</v>
      </c>
      <c r="E14" s="38" t="s">
        <v>1263</v>
      </c>
      <c r="F14" s="39" t="s">
        <v>1262</v>
      </c>
      <c r="G14" s="39">
        <v>10</v>
      </c>
      <c r="H14" s="39"/>
      <c r="I14" s="40" t="s">
        <v>262</v>
      </c>
      <c r="J14" s="41">
        <v>387</v>
      </c>
      <c r="K14" s="41">
        <v>652</v>
      </c>
      <c r="L14" s="41"/>
      <c r="M14" s="42">
        <v>100</v>
      </c>
      <c r="N14" s="42">
        <v>241.93</v>
      </c>
      <c r="O14" s="43">
        <v>252324</v>
      </c>
      <c r="P14" s="44">
        <v>37565.32</v>
      </c>
      <c r="Q14" s="44">
        <v>93626.91</v>
      </c>
      <c r="R14" s="45">
        <v>22.024000000000001</v>
      </c>
      <c r="S14" s="46">
        <v>0</v>
      </c>
      <c r="T14" s="39">
        <f t="shared" si="0"/>
        <v>10</v>
      </c>
      <c r="U14" s="47">
        <f t="shared" si="1"/>
        <v>0.13602116790477461</v>
      </c>
      <c r="V14" s="48">
        <f t="shared" si="2"/>
        <v>141.93</v>
      </c>
      <c r="W14" s="49">
        <f t="shared" si="3"/>
        <v>1.3602116790477462E-2</v>
      </c>
      <c r="X14" s="44">
        <f t="shared" si="4"/>
        <v>5027.8852262415803</v>
      </c>
      <c r="Y14" s="44">
        <f t="shared" si="5"/>
        <v>56061.590000000004</v>
      </c>
      <c r="Z14" s="44">
        <f t="shared" si="6"/>
        <v>39398.69722944282</v>
      </c>
      <c r="AA14" s="50">
        <f t="shared" si="7"/>
        <v>98654.795226241578</v>
      </c>
      <c r="AB14" s="51">
        <f t="shared" si="8"/>
        <v>36890.165945171175</v>
      </c>
      <c r="AC14" s="44">
        <f t="shared" si="8"/>
        <v>92373.403769889119</v>
      </c>
      <c r="AD14" s="44">
        <f t="shared" si="9"/>
        <v>60421.392409504348</v>
      </c>
      <c r="AE14" s="44">
        <f t="shared" si="17"/>
        <v>0</v>
      </c>
      <c r="AF14" s="52">
        <f>HLOOKUP(I14,ElecAvoidedCostsWOCC!$A$5:$Q$50,G14+1,FALSE)</f>
        <v>0.77460416073684046</v>
      </c>
      <c r="AG14" s="44">
        <f t="shared" si="10"/>
        <v>195451.22025376253</v>
      </c>
      <c r="AH14" s="52">
        <f>HLOOKUP(I14,ElecAvoidedCostsWOCC!$A$5:$Q$50,T14+1,FALSE)</f>
        <v>0.77460416073684046</v>
      </c>
      <c r="AI14" s="44">
        <f t="shared" si="11"/>
        <v>0</v>
      </c>
      <c r="AJ14" s="44">
        <f t="shared" si="12"/>
        <v>195451.22025376253</v>
      </c>
      <c r="AK14" s="44">
        <f>HLOOKUP(I14,ElecAvoidedCostsWOCC!$A$5:$Q$50,G14+1,FALSE)*J14*L14</f>
        <v>0</v>
      </c>
      <c r="AL14" s="44">
        <f t="shared" si="13"/>
        <v>195451.22025376253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195451.22025376253</v>
      </c>
      <c r="AN14" s="48">
        <f t="shared" si="14"/>
        <v>275417.73468864313</v>
      </c>
      <c r="AO14" s="47">
        <f t="shared" si="15"/>
        <v>5.2981930345408648</v>
      </c>
      <c r="AP14" s="47">
        <f t="shared" si="16"/>
        <v>2.9815696233813656</v>
      </c>
    </row>
    <row r="15" spans="1:42" ht="13.5" customHeight="1" x14ac:dyDescent="0.35">
      <c r="A15" s="57" t="s">
        <v>249</v>
      </c>
      <c r="B15" s="97" t="s">
        <v>67</v>
      </c>
      <c r="C15" s="98">
        <v>18230714</v>
      </c>
      <c r="D15" s="61" t="s">
        <v>122</v>
      </c>
      <c r="E15" s="38" t="s">
        <v>1264</v>
      </c>
      <c r="F15" s="39" t="s">
        <v>1265</v>
      </c>
      <c r="G15" s="39">
        <v>10</v>
      </c>
      <c r="H15" s="39"/>
      <c r="I15" s="40" t="s">
        <v>262</v>
      </c>
      <c r="J15" s="41">
        <v>284</v>
      </c>
      <c r="K15" s="41">
        <v>54</v>
      </c>
      <c r="L15" s="41"/>
      <c r="M15" s="42">
        <v>3</v>
      </c>
      <c r="N15" s="42">
        <v>20</v>
      </c>
      <c r="O15" s="43">
        <v>15336</v>
      </c>
      <c r="P15" s="44">
        <v>852</v>
      </c>
      <c r="Q15" s="44">
        <v>5680</v>
      </c>
      <c r="R15" s="45">
        <v>0</v>
      </c>
      <c r="S15" s="46">
        <v>0</v>
      </c>
      <c r="T15" s="39">
        <f t="shared" si="0"/>
        <v>10</v>
      </c>
      <c r="U15" s="47">
        <f t="shared" si="1"/>
        <v>8.2672303506112124E-3</v>
      </c>
      <c r="V15" s="48">
        <f t="shared" si="2"/>
        <v>17</v>
      </c>
      <c r="W15" s="49">
        <f t="shared" si="3"/>
        <v>8.2672303506112124E-4</v>
      </c>
      <c r="X15" s="44">
        <f t="shared" si="4"/>
        <v>305.5898282749198</v>
      </c>
      <c r="Y15" s="44">
        <f t="shared" si="5"/>
        <v>4828</v>
      </c>
      <c r="Z15" s="44">
        <f t="shared" si="6"/>
        <v>2394.6133570755655</v>
      </c>
      <c r="AA15" s="50">
        <f t="shared" si="7"/>
        <v>5985.5898282749195</v>
      </c>
      <c r="AB15" s="51">
        <f t="shared" si="8"/>
        <v>2242.1473380857356</v>
      </c>
      <c r="AC15" s="44">
        <f t="shared" si="8"/>
        <v>5604.4848579353175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0.77460416073684046</v>
      </c>
      <c r="AG15" s="44">
        <f t="shared" si="10"/>
        <v>11879.329409060185</v>
      </c>
      <c r="AH15" s="52">
        <f>HLOOKUP(I15,ElecAvoidedCostsWOCC!$A$5:$Q$50,T15+1,FALSE)</f>
        <v>0.77460416073684046</v>
      </c>
      <c r="AI15" s="44">
        <f t="shared" si="11"/>
        <v>0</v>
      </c>
      <c r="AJ15" s="44">
        <f t="shared" si="12"/>
        <v>11879.329409060185</v>
      </c>
      <c r="AK15" s="44">
        <f>HLOOKUP(I15,ElecAvoidedCostsWOCC!$A$5:$Q$50,G15+1,FALSE)*J15*L15</f>
        <v>0</v>
      </c>
      <c r="AL15" s="44">
        <f t="shared" si="13"/>
        <v>11879.329409060185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11879.329409060185</v>
      </c>
      <c r="AN15" s="48">
        <f t="shared" si="14"/>
        <v>13067.262349966204</v>
      </c>
      <c r="AO15" s="47">
        <f t="shared" si="15"/>
        <v>5.2981930345408648</v>
      </c>
      <c r="AP15" s="47">
        <f t="shared" si="16"/>
        <v>2.3315724247991207</v>
      </c>
    </row>
    <row r="16" spans="1:42" ht="13.5" customHeight="1" x14ac:dyDescent="0.35">
      <c r="A16" s="54">
        <f>SUM(U5:U999)</f>
        <v>13.162852136251026</v>
      </c>
      <c r="B16" s="97" t="s">
        <v>67</v>
      </c>
      <c r="C16" s="98">
        <v>18230714</v>
      </c>
      <c r="D16" s="61" t="s">
        <v>122</v>
      </c>
      <c r="E16" s="38" t="s">
        <v>1266</v>
      </c>
      <c r="F16" s="39" t="s">
        <v>1265</v>
      </c>
      <c r="G16" s="39">
        <v>10</v>
      </c>
      <c r="H16" s="39"/>
      <c r="I16" s="40" t="s">
        <v>262</v>
      </c>
      <c r="J16" s="41">
        <v>1852</v>
      </c>
      <c r="K16" s="41">
        <v>54</v>
      </c>
      <c r="L16" s="41"/>
      <c r="M16" s="42">
        <v>3</v>
      </c>
      <c r="N16" s="42">
        <v>20</v>
      </c>
      <c r="O16" s="43">
        <v>100008</v>
      </c>
      <c r="P16" s="44">
        <v>5461.75</v>
      </c>
      <c r="Q16" s="44">
        <v>37040</v>
      </c>
      <c r="R16" s="45">
        <v>1.8240000000000001</v>
      </c>
      <c r="S16" s="46">
        <v>0</v>
      </c>
      <c r="T16" s="39">
        <f t="shared" si="0"/>
        <v>10</v>
      </c>
      <c r="U16" s="47">
        <f t="shared" si="1"/>
        <v>5.391165707511255E-2</v>
      </c>
      <c r="V16" s="48">
        <f t="shared" si="2"/>
        <v>17</v>
      </c>
      <c r="W16" s="49">
        <f t="shared" si="3"/>
        <v>5.3911657075112552E-3</v>
      </c>
      <c r="X16" s="44">
        <f t="shared" si="4"/>
        <v>1992.7900069195475</v>
      </c>
      <c r="Y16" s="44">
        <f t="shared" si="5"/>
        <v>31578.25</v>
      </c>
      <c r="Z16" s="44">
        <f t="shared" si="6"/>
        <v>15615.577244027983</v>
      </c>
      <c r="AA16" s="50">
        <f t="shared" si="7"/>
        <v>39032.790006919546</v>
      </c>
      <c r="AB16" s="51">
        <f t="shared" si="8"/>
        <v>14621.327007516838</v>
      </c>
      <c r="AC16" s="44">
        <f t="shared" si="8"/>
        <v>36547.556186254253</v>
      </c>
      <c r="AD16" s="44">
        <f t="shared" si="9"/>
        <v>23946.904502832869</v>
      </c>
      <c r="AE16" s="44">
        <f t="shared" si="17"/>
        <v>0</v>
      </c>
      <c r="AF16" s="52">
        <f>HLOOKUP(I16,ElecAvoidedCostsWOCC!$A$5:$Q$50,G16+1,FALSE)</f>
        <v>0.77460416073684046</v>
      </c>
      <c r="AG16" s="44">
        <f t="shared" si="10"/>
        <v>77466.612906969953</v>
      </c>
      <c r="AH16" s="52">
        <f>HLOOKUP(I16,ElecAvoidedCostsWOCC!$A$5:$Q$50,T16+1,FALSE)</f>
        <v>0.77460416073684046</v>
      </c>
      <c r="AI16" s="44">
        <f t="shared" si="11"/>
        <v>0</v>
      </c>
      <c r="AJ16" s="44">
        <f t="shared" si="12"/>
        <v>77466.612906969953</v>
      </c>
      <c r="AK16" s="44">
        <f>HLOOKUP(I16,ElecAvoidedCostsWOCC!$A$5:$Q$50,G16+1,FALSE)*J16*L16</f>
        <v>0</v>
      </c>
      <c r="AL16" s="44">
        <f t="shared" si="13"/>
        <v>77466.612906969953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77466.612906969938</v>
      </c>
      <c r="AN16" s="48">
        <f t="shared" si="14"/>
        <v>109160.1787004998</v>
      </c>
      <c r="AO16" s="47">
        <f t="shared" si="15"/>
        <v>5.2981930345408648</v>
      </c>
      <c r="AP16" s="47">
        <f t="shared" si="16"/>
        <v>2.9867983003896601</v>
      </c>
    </row>
    <row r="17" spans="1:42" ht="13.5" customHeight="1" x14ac:dyDescent="0.35">
      <c r="A17" s="58" t="s">
        <v>252</v>
      </c>
      <c r="B17" s="97" t="s">
        <v>67</v>
      </c>
      <c r="C17" s="98">
        <v>18230714</v>
      </c>
      <c r="D17" s="61" t="s">
        <v>122</v>
      </c>
      <c r="E17" s="38" t="s">
        <v>1267</v>
      </c>
      <c r="F17" s="39" t="s">
        <v>1268</v>
      </c>
      <c r="G17" s="39">
        <v>12</v>
      </c>
      <c r="H17" s="39"/>
      <c r="I17" s="40" t="s">
        <v>262</v>
      </c>
      <c r="J17" s="41">
        <v>803</v>
      </c>
      <c r="K17" s="41">
        <v>70.599999999999994</v>
      </c>
      <c r="L17" s="41"/>
      <c r="M17" s="42">
        <v>4</v>
      </c>
      <c r="N17" s="42">
        <v>20</v>
      </c>
      <c r="O17" s="43">
        <v>56691.8</v>
      </c>
      <c r="P17" s="44">
        <v>3212</v>
      </c>
      <c r="Q17" s="44">
        <v>16060</v>
      </c>
      <c r="R17" s="45">
        <v>0</v>
      </c>
      <c r="S17" s="46">
        <v>0</v>
      </c>
      <c r="T17" s="39">
        <f t="shared" si="0"/>
        <v>12</v>
      </c>
      <c r="U17" s="47">
        <f t="shared" si="1"/>
        <v>3.6673252706633859E-2</v>
      </c>
      <c r="V17" s="48">
        <f t="shared" si="2"/>
        <v>16</v>
      </c>
      <c r="W17" s="49">
        <f t="shared" si="3"/>
        <v>3.0561043922194882E-3</v>
      </c>
      <c r="X17" s="44">
        <f t="shared" si="4"/>
        <v>1129.6581524906169</v>
      </c>
      <c r="Y17" s="44">
        <f t="shared" si="5"/>
        <v>12848</v>
      </c>
      <c r="Z17" s="44">
        <f t="shared" si="6"/>
        <v>8852.0436565373348</v>
      </c>
      <c r="AA17" s="50">
        <f t="shared" si="7"/>
        <v>17189.658152490618</v>
      </c>
      <c r="AB17" s="51">
        <f t="shared" si="8"/>
        <v>8288.4303900162304</v>
      </c>
      <c r="AC17" s="44">
        <f t="shared" si="8"/>
        <v>16095.185536039904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0.91128284670075355</v>
      </c>
      <c r="AG17" s="44">
        <f t="shared" si="10"/>
        <v>51662.26488858978</v>
      </c>
      <c r="AH17" s="52">
        <f>HLOOKUP(I17,ElecAvoidedCostsWOCC!$A$5:$Q$50,T17+1,FALSE)</f>
        <v>0.91128284670075355</v>
      </c>
      <c r="AI17" s="44">
        <f t="shared" si="11"/>
        <v>0</v>
      </c>
      <c r="AJ17" s="44">
        <f t="shared" si="12"/>
        <v>51662.26488858978</v>
      </c>
      <c r="AK17" s="44">
        <f>HLOOKUP(I17,ElecAvoidedCostsWOCC!$A$5:$Q$50,G17+1,FALSE)*J17*L17</f>
        <v>0</v>
      </c>
      <c r="AL17" s="44">
        <f t="shared" si="13"/>
        <v>51662.26488858978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51662.26488858978</v>
      </c>
      <c r="AN17" s="48">
        <f t="shared" si="14"/>
        <v>56828.491377448765</v>
      </c>
      <c r="AO17" s="47">
        <f t="shared" si="15"/>
        <v>6.2330577030385861</v>
      </c>
      <c r="AP17" s="47">
        <f t="shared" si="16"/>
        <v>3.5307757869705787</v>
      </c>
    </row>
    <row r="18" spans="1:42" ht="13.5" customHeight="1" x14ac:dyDescent="0.35">
      <c r="A18" s="59">
        <f>A6+A8</f>
        <v>2896512.2</v>
      </c>
      <c r="B18" s="97" t="s">
        <v>67</v>
      </c>
      <c r="C18" s="98">
        <v>18230714</v>
      </c>
      <c r="D18" s="61" t="s">
        <v>122</v>
      </c>
      <c r="E18" s="38" t="s">
        <v>1269</v>
      </c>
      <c r="F18" s="39" t="s">
        <v>1268</v>
      </c>
      <c r="G18" s="39">
        <v>12</v>
      </c>
      <c r="H18" s="39"/>
      <c r="I18" s="40" t="s">
        <v>262</v>
      </c>
      <c r="J18" s="41">
        <v>8281</v>
      </c>
      <c r="K18" s="41">
        <v>70.599999999999994</v>
      </c>
      <c r="L18" s="41"/>
      <c r="M18" s="42">
        <v>4</v>
      </c>
      <c r="N18" s="42">
        <v>20</v>
      </c>
      <c r="O18" s="43">
        <v>584638.6</v>
      </c>
      <c r="P18" s="44">
        <v>32952.199999999997</v>
      </c>
      <c r="Q18" s="44">
        <v>165620</v>
      </c>
      <c r="R18" s="45">
        <v>2.3849999999999998</v>
      </c>
      <c r="S18" s="46">
        <v>0</v>
      </c>
      <c r="T18" s="39">
        <f t="shared" si="0"/>
        <v>12</v>
      </c>
      <c r="U18" s="47">
        <f t="shared" si="1"/>
        <v>0.37819577293105228</v>
      </c>
      <c r="V18" s="48">
        <f t="shared" si="2"/>
        <v>16</v>
      </c>
      <c r="W18" s="49">
        <f t="shared" si="3"/>
        <v>3.1516314410921023E-2</v>
      </c>
      <c r="X18" s="44">
        <f t="shared" si="4"/>
        <v>11649.687622384554</v>
      </c>
      <c r="Y18" s="44">
        <f t="shared" si="5"/>
        <v>132667.79999999999</v>
      </c>
      <c r="Z18" s="44">
        <f t="shared" si="6"/>
        <v>91287.389190268557</v>
      </c>
      <c r="AA18" s="50">
        <f t="shared" si="7"/>
        <v>177269.68762238455</v>
      </c>
      <c r="AB18" s="51">
        <f t="shared" si="8"/>
        <v>85475.083511487406</v>
      </c>
      <c r="AC18" s="44">
        <f t="shared" si="8"/>
        <v>165982.85357901175</v>
      </c>
      <c r="AD18" s="44">
        <f t="shared" si="9"/>
        <v>158555.30775937164</v>
      </c>
      <c r="AE18" s="44">
        <f t="shared" si="17"/>
        <v>0</v>
      </c>
      <c r="AF18" s="52">
        <f>HLOOKUP(I18,ElecAvoidedCostsWOCC!$A$5:$Q$50,G18+1,FALSE)</f>
        <v>0.91128284670075355</v>
      </c>
      <c r="AG18" s="44">
        <f t="shared" si="10"/>
        <v>532771.12769914314</v>
      </c>
      <c r="AH18" s="52">
        <f>HLOOKUP(I18,ElecAvoidedCostsWOCC!$A$5:$Q$50,T18+1,FALSE)</f>
        <v>0.91128284670075355</v>
      </c>
      <c r="AI18" s="44">
        <f t="shared" si="11"/>
        <v>0</v>
      </c>
      <c r="AJ18" s="44">
        <f t="shared" si="12"/>
        <v>532771.12769914314</v>
      </c>
      <c r="AK18" s="44">
        <f>HLOOKUP(I18,ElecAvoidedCostsWOCC!$A$5:$Q$50,G18+1,FALSE)*J18*L18</f>
        <v>0</v>
      </c>
      <c r="AL18" s="44">
        <f t="shared" si="13"/>
        <v>532771.12769914314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532771.12769914314</v>
      </c>
      <c r="AN18" s="48">
        <f t="shared" si="14"/>
        <v>744603.54822842916</v>
      </c>
      <c r="AO18" s="47">
        <f t="shared" si="15"/>
        <v>6.2330577030385879</v>
      </c>
      <c r="AP18" s="47">
        <f t="shared" si="16"/>
        <v>4.4860269128580823</v>
      </c>
    </row>
    <row r="19" spans="1:42" ht="13.5" customHeight="1" x14ac:dyDescent="0.35">
      <c r="A19" s="58" t="s">
        <v>222</v>
      </c>
      <c r="B19" s="97" t="s">
        <v>67</v>
      </c>
      <c r="C19" s="98">
        <v>18230714</v>
      </c>
      <c r="D19" s="61" t="s">
        <v>122</v>
      </c>
      <c r="E19" s="38" t="s">
        <v>1270</v>
      </c>
      <c r="F19" s="39" t="s">
        <v>1271</v>
      </c>
      <c r="G19" s="39">
        <v>15</v>
      </c>
      <c r="H19" s="39"/>
      <c r="I19" s="40" t="s">
        <v>262</v>
      </c>
      <c r="J19" s="41">
        <v>9</v>
      </c>
      <c r="K19" s="41">
        <v>202</v>
      </c>
      <c r="L19" s="41"/>
      <c r="M19" s="42">
        <v>40</v>
      </c>
      <c r="N19" s="42">
        <v>255</v>
      </c>
      <c r="O19" s="43">
        <v>1818</v>
      </c>
      <c r="P19" s="44">
        <v>326.54000000000002</v>
      </c>
      <c r="Q19" s="44">
        <v>2295</v>
      </c>
      <c r="R19" s="45">
        <v>0</v>
      </c>
      <c r="S19" s="46">
        <v>0</v>
      </c>
      <c r="T19" s="39">
        <f t="shared" si="0"/>
        <v>15</v>
      </c>
      <c r="U19" s="47">
        <f t="shared" si="1"/>
        <v>1.4700532841755854E-3</v>
      </c>
      <c r="V19" s="48">
        <f t="shared" si="2"/>
        <v>215</v>
      </c>
      <c r="W19" s="49">
        <f t="shared" si="3"/>
        <v>9.8003552278372357E-5</v>
      </c>
      <c r="X19" s="44">
        <f t="shared" si="4"/>
        <v>36.226024243857864</v>
      </c>
      <c r="Y19" s="44">
        <f t="shared" si="5"/>
        <v>1968.46</v>
      </c>
      <c r="Z19" s="44">
        <f t="shared" si="6"/>
        <v>283.86848481764332</v>
      </c>
      <c r="AA19" s="50">
        <f t="shared" si="7"/>
        <v>2331.2260242438579</v>
      </c>
      <c r="AB19" s="51">
        <f t="shared" si="8"/>
        <v>265.79446143974093</v>
      </c>
      <c r="AC19" s="44">
        <f t="shared" si="8"/>
        <v>2182.7959028500541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1.0914944041149737</v>
      </c>
      <c r="AG19" s="44">
        <f t="shared" si="10"/>
        <v>1984.3368266810221</v>
      </c>
      <c r="AH19" s="52">
        <f>HLOOKUP(I19,ElecAvoidedCostsWOCC!$A$5:$Q$50,T19+1,FALSE)</f>
        <v>1.0914944041149737</v>
      </c>
      <c r="AI19" s="44">
        <f t="shared" si="11"/>
        <v>0</v>
      </c>
      <c r="AJ19" s="44">
        <f t="shared" si="12"/>
        <v>1984.3368266810221</v>
      </c>
      <c r="AK19" s="44">
        <f>HLOOKUP(I19,ElecAvoidedCostsWOCC!$A$5:$Q$50,G19+1,FALSE)*J19*L19</f>
        <v>0</v>
      </c>
      <c r="AL19" s="44">
        <f t="shared" si="13"/>
        <v>1984.3368266810221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1984.3368266810221</v>
      </c>
      <c r="AN19" s="48">
        <f t="shared" si="14"/>
        <v>2182.7705093491245</v>
      </c>
      <c r="AO19" s="47">
        <f t="shared" si="15"/>
        <v>7.4656816245619817</v>
      </c>
      <c r="AP19" s="47">
        <f t="shared" si="16"/>
        <v>0.99998836652529155</v>
      </c>
    </row>
    <row r="20" spans="1:42" ht="13.5" customHeight="1" x14ac:dyDescent="0.35">
      <c r="A20" s="59">
        <f>A8+SUM(Q5:Q906)</f>
        <v>4573302.1400000006</v>
      </c>
      <c r="B20" s="97" t="s">
        <v>67</v>
      </c>
      <c r="C20" s="98">
        <v>18230714</v>
      </c>
      <c r="D20" s="61" t="s">
        <v>122</v>
      </c>
      <c r="E20" s="38" t="s">
        <v>1272</v>
      </c>
      <c r="F20" s="39" t="s">
        <v>1273</v>
      </c>
      <c r="G20" s="39">
        <v>15</v>
      </c>
      <c r="H20" s="39"/>
      <c r="I20" s="40" t="s">
        <v>262</v>
      </c>
      <c r="J20" s="41">
        <v>15</v>
      </c>
      <c r="K20" s="41">
        <v>252</v>
      </c>
      <c r="L20" s="41"/>
      <c r="M20" s="42">
        <v>50</v>
      </c>
      <c r="N20" s="42">
        <v>329</v>
      </c>
      <c r="O20" s="43">
        <v>3780</v>
      </c>
      <c r="P20" s="44">
        <v>307.44</v>
      </c>
      <c r="Q20" s="44">
        <v>4935</v>
      </c>
      <c r="R20" s="45">
        <v>0</v>
      </c>
      <c r="S20" s="46">
        <v>0</v>
      </c>
      <c r="T20" s="39">
        <f t="shared" si="0"/>
        <v>15</v>
      </c>
      <c r="U20" s="47">
        <f t="shared" si="1"/>
        <v>3.0565464324442864E-3</v>
      </c>
      <c r="V20" s="48">
        <f t="shared" si="2"/>
        <v>279</v>
      </c>
      <c r="W20" s="49">
        <f t="shared" si="3"/>
        <v>2.0376976216295243E-4</v>
      </c>
      <c r="X20" s="44">
        <f t="shared" si="4"/>
        <v>75.321436546635169</v>
      </c>
      <c r="Y20" s="44">
        <f t="shared" si="5"/>
        <v>4627.5600000000004</v>
      </c>
      <c r="Z20" s="44">
        <f t="shared" si="6"/>
        <v>590.22160209609012</v>
      </c>
      <c r="AA20" s="50">
        <f t="shared" si="7"/>
        <v>5010.3214365466356</v>
      </c>
      <c r="AB20" s="51">
        <f t="shared" si="8"/>
        <v>552.64194952817422</v>
      </c>
      <c r="AC20" s="44">
        <f t="shared" si="8"/>
        <v>4691.3122065043399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1.0914944041149737</v>
      </c>
      <c r="AG20" s="44">
        <f t="shared" si="10"/>
        <v>4125.8488475546001</v>
      </c>
      <c r="AH20" s="52">
        <f>HLOOKUP(I20,ElecAvoidedCostsWOCC!$A$5:$Q$50,T20+1,FALSE)</f>
        <v>1.0914944041149737</v>
      </c>
      <c r="AI20" s="44">
        <f t="shared" si="11"/>
        <v>0</v>
      </c>
      <c r="AJ20" s="44">
        <f t="shared" si="12"/>
        <v>4125.8488475546001</v>
      </c>
      <c r="AK20" s="44">
        <f>HLOOKUP(I20,ElecAvoidedCostsWOCC!$A$5:$Q$50,G20+1,FALSE)*J20*L20</f>
        <v>0</v>
      </c>
      <c r="AL20" s="44">
        <f t="shared" si="13"/>
        <v>4125.8488475546001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4125.848847554601</v>
      </c>
      <c r="AN20" s="48">
        <f t="shared" si="14"/>
        <v>4538.4337323100617</v>
      </c>
      <c r="AO20" s="47">
        <f t="shared" si="15"/>
        <v>7.4656816245619826</v>
      </c>
      <c r="AP20" s="47">
        <f t="shared" si="16"/>
        <v>0.96741242802337535</v>
      </c>
    </row>
    <row r="21" spans="1:42" ht="13.5" customHeight="1" x14ac:dyDescent="0.35">
      <c r="A21" s="58" t="s">
        <v>236</v>
      </c>
      <c r="B21" s="97" t="s">
        <v>67</v>
      </c>
      <c r="C21" s="98">
        <v>18230714</v>
      </c>
      <c r="D21" s="61" t="s">
        <v>122</v>
      </c>
      <c r="E21" s="38" t="s">
        <v>1176</v>
      </c>
      <c r="F21" s="39" t="s">
        <v>1177</v>
      </c>
      <c r="G21" s="39">
        <v>15</v>
      </c>
      <c r="H21" s="39"/>
      <c r="I21" s="40" t="s">
        <v>262</v>
      </c>
      <c r="J21" s="41">
        <v>83</v>
      </c>
      <c r="K21" s="41">
        <v>352</v>
      </c>
      <c r="L21" s="41"/>
      <c r="M21" s="42">
        <v>70</v>
      </c>
      <c r="N21" s="42">
        <v>365</v>
      </c>
      <c r="O21" s="43">
        <v>29216</v>
      </c>
      <c r="P21" s="44">
        <v>5810</v>
      </c>
      <c r="Q21" s="44">
        <v>30295</v>
      </c>
      <c r="R21" s="45">
        <v>0</v>
      </c>
      <c r="S21" s="46">
        <v>0</v>
      </c>
      <c r="T21" s="39">
        <f t="shared" si="0"/>
        <v>15</v>
      </c>
      <c r="U21" s="47">
        <f t="shared" si="1"/>
        <v>2.3624354648225467E-2</v>
      </c>
      <c r="V21" s="48">
        <f t="shared" si="2"/>
        <v>295</v>
      </c>
      <c r="W21" s="49">
        <f t="shared" si="3"/>
        <v>1.5749569765483645E-3</v>
      </c>
      <c r="X21" s="44">
        <f t="shared" si="4"/>
        <v>582.16695506520978</v>
      </c>
      <c r="Y21" s="44">
        <f t="shared" si="5"/>
        <v>24485</v>
      </c>
      <c r="Z21" s="44">
        <f t="shared" si="6"/>
        <v>4561.8820970474517</v>
      </c>
      <c r="AA21" s="50">
        <f t="shared" si="7"/>
        <v>30877.166955065211</v>
      </c>
      <c r="AB21" s="51">
        <f t="shared" ref="AB21:AC24" si="18">Z21/(1+ElecDiscountRate)^1</f>
        <v>4271.4251845013587</v>
      </c>
      <c r="AC21" s="44">
        <f t="shared" si="18"/>
        <v>28911.205014106003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1.0914944041149737</v>
      </c>
      <c r="AG21" s="44">
        <f t="shared" si="10"/>
        <v>31889.10051062307</v>
      </c>
      <c r="AH21" s="52">
        <f>HLOOKUP(I21,ElecAvoidedCostsWOCC!$A$5:$Q$50,T21+1,FALSE)</f>
        <v>1.0914944041149737</v>
      </c>
      <c r="AI21" s="44">
        <f t="shared" si="11"/>
        <v>0</v>
      </c>
      <c r="AJ21" s="44">
        <f t="shared" si="12"/>
        <v>31889.10051062307</v>
      </c>
      <c r="AK21" s="44">
        <f>HLOOKUP(I21,ElecAvoidedCostsWOCC!$A$5:$Q$50,G21+1,FALSE)*J21*L21</f>
        <v>0</v>
      </c>
      <c r="AL21" s="44">
        <f t="shared" si="13"/>
        <v>31889.10051062307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31889.10051062307</v>
      </c>
      <c r="AN21" s="48">
        <f t="shared" si="14"/>
        <v>35078.010561685376</v>
      </c>
      <c r="AO21" s="47">
        <f t="shared" si="15"/>
        <v>7.4656816245619826</v>
      </c>
      <c r="AP21" s="47">
        <f t="shared" si="16"/>
        <v>1.2133015744093179</v>
      </c>
    </row>
    <row r="22" spans="1:42" ht="13.5" customHeight="1" x14ac:dyDescent="0.35">
      <c r="A22" s="60">
        <f>(SUM(AM5:AM110)/(SUM(AB5:AB110)))</f>
        <v>6.7017946159640873</v>
      </c>
      <c r="B22" s="97" t="s">
        <v>67</v>
      </c>
      <c r="C22" s="98">
        <v>18230714</v>
      </c>
      <c r="D22" s="61" t="s">
        <v>122</v>
      </c>
      <c r="E22" s="38" t="s">
        <v>1178</v>
      </c>
      <c r="F22" s="39" t="s">
        <v>1179</v>
      </c>
      <c r="G22" s="39">
        <v>15</v>
      </c>
      <c r="H22" s="39"/>
      <c r="I22" s="40" t="s">
        <v>262</v>
      </c>
      <c r="J22" s="41">
        <v>24</v>
      </c>
      <c r="K22" s="41">
        <v>533</v>
      </c>
      <c r="L22" s="41"/>
      <c r="M22" s="42">
        <v>110</v>
      </c>
      <c r="N22" s="42">
        <v>388</v>
      </c>
      <c r="O22" s="43">
        <v>12792</v>
      </c>
      <c r="P22" s="44">
        <v>2277.6</v>
      </c>
      <c r="Q22" s="44">
        <v>9312</v>
      </c>
      <c r="R22" s="45">
        <v>0</v>
      </c>
      <c r="S22" s="46">
        <v>0</v>
      </c>
      <c r="T22" s="39">
        <f t="shared" si="0"/>
        <v>15</v>
      </c>
      <c r="U22" s="47">
        <f t="shared" si="1"/>
        <v>1.0343741260271775E-2</v>
      </c>
      <c r="V22" s="48">
        <f t="shared" si="2"/>
        <v>278</v>
      </c>
      <c r="W22" s="49">
        <f t="shared" si="3"/>
        <v>6.8958275068478495E-4</v>
      </c>
      <c r="X22" s="44">
        <f t="shared" si="4"/>
        <v>254.89730590067646</v>
      </c>
      <c r="Y22" s="44">
        <f t="shared" si="5"/>
        <v>7034.4</v>
      </c>
      <c r="Z22" s="44">
        <f t="shared" si="6"/>
        <v>1997.384850268038</v>
      </c>
      <c r="AA22" s="50">
        <f t="shared" si="7"/>
        <v>9566.8973059006767</v>
      </c>
      <c r="AB22" s="51">
        <f t="shared" si="18"/>
        <v>1870.210533958837</v>
      </c>
      <c r="AC22" s="44">
        <f t="shared" si="18"/>
        <v>8957.7690130156152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1.0914944041149737</v>
      </c>
      <c r="AG22" s="44">
        <f t="shared" si="10"/>
        <v>13962.396417438744</v>
      </c>
      <c r="AH22" s="52">
        <f>HLOOKUP(I22,ElecAvoidedCostsWOCC!$A$5:$Q$50,T22+1,FALSE)</f>
        <v>1.0914944041149737</v>
      </c>
      <c r="AI22" s="44">
        <f t="shared" si="11"/>
        <v>0</v>
      </c>
      <c r="AJ22" s="44">
        <f t="shared" si="12"/>
        <v>13962.396417438744</v>
      </c>
      <c r="AK22" s="44">
        <f>HLOOKUP(I22,ElecAvoidedCostsWOCC!$A$5:$Q$50,G22+1,FALSE)*J22*L22</f>
        <v>0</v>
      </c>
      <c r="AL22" s="44">
        <f t="shared" si="13"/>
        <v>13962.396417438744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13962.396417438744</v>
      </c>
      <c r="AN22" s="48">
        <f t="shared" si="14"/>
        <v>15358.63605918262</v>
      </c>
      <c r="AO22" s="47">
        <f t="shared" si="15"/>
        <v>7.4656816245619826</v>
      </c>
      <c r="AP22" s="47">
        <f t="shared" si="16"/>
        <v>1.714560404143773</v>
      </c>
    </row>
    <row r="23" spans="1:42" ht="13.5" customHeight="1" x14ac:dyDescent="0.35">
      <c r="A23" s="58" t="s">
        <v>237</v>
      </c>
      <c r="B23" s="97" t="s">
        <v>67</v>
      </c>
      <c r="C23" s="98">
        <v>18230714</v>
      </c>
      <c r="D23" s="61" t="s">
        <v>122</v>
      </c>
      <c r="E23" s="38" t="s">
        <v>1180</v>
      </c>
      <c r="F23" s="39" t="s">
        <v>1181</v>
      </c>
      <c r="G23" s="39">
        <v>15</v>
      </c>
      <c r="H23" s="39"/>
      <c r="I23" s="40" t="s">
        <v>262</v>
      </c>
      <c r="J23" s="41">
        <v>131</v>
      </c>
      <c r="K23" s="41">
        <v>857</v>
      </c>
      <c r="L23" s="41"/>
      <c r="M23" s="42">
        <v>175</v>
      </c>
      <c r="N23" s="42">
        <v>516</v>
      </c>
      <c r="O23" s="43">
        <v>112267</v>
      </c>
      <c r="P23" s="44">
        <v>17963.89</v>
      </c>
      <c r="Q23" s="44">
        <v>67596</v>
      </c>
      <c r="R23" s="45">
        <v>0</v>
      </c>
      <c r="S23" s="46">
        <v>0</v>
      </c>
      <c r="T23" s="39">
        <f t="shared" si="0"/>
        <v>15</v>
      </c>
      <c r="U23" s="47">
        <f t="shared" si="1"/>
        <v>9.0780237653762613E-2</v>
      </c>
      <c r="V23" s="48">
        <f t="shared" si="2"/>
        <v>341</v>
      </c>
      <c r="W23" s="49">
        <f t="shared" si="3"/>
        <v>6.0520158435841739E-3</v>
      </c>
      <c r="X23" s="44">
        <f t="shared" si="4"/>
        <v>2237.0665917410288</v>
      </c>
      <c r="Y23" s="44">
        <f t="shared" si="5"/>
        <v>49632.11</v>
      </c>
      <c r="Z23" s="44">
        <f t="shared" si="6"/>
        <v>17529.737725534851</v>
      </c>
      <c r="AA23" s="50">
        <f t="shared" si="7"/>
        <v>69833.066591741022</v>
      </c>
      <c r="AB23" s="51">
        <f t="shared" si="18"/>
        <v>16413.612102560721</v>
      </c>
      <c r="AC23" s="44">
        <f t="shared" si="18"/>
        <v>65386.766471667623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1.0914944041149737</v>
      </c>
      <c r="AG23" s="44">
        <f t="shared" si="10"/>
        <v>122538.80226677576</v>
      </c>
      <c r="AH23" s="52">
        <f>HLOOKUP(I23,ElecAvoidedCostsWOCC!$A$5:$Q$50,T23+1,FALSE)</f>
        <v>1.0914944041149737</v>
      </c>
      <c r="AI23" s="44">
        <f t="shared" si="11"/>
        <v>0</v>
      </c>
      <c r="AJ23" s="44">
        <f t="shared" si="12"/>
        <v>122538.80226677576</v>
      </c>
      <c r="AK23" s="44">
        <f>HLOOKUP(I23,ElecAvoidedCostsWOCC!$A$5:$Q$50,G23+1,FALSE)*J23*L23</f>
        <v>0</v>
      </c>
      <c r="AL23" s="44">
        <f t="shared" si="13"/>
        <v>122538.80226677576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122538.80226677576</v>
      </c>
      <c r="AN23" s="48">
        <f t="shared" si="14"/>
        <v>134792.68249345335</v>
      </c>
      <c r="AO23" s="47">
        <f t="shared" si="15"/>
        <v>7.4656816245619835</v>
      </c>
      <c r="AP23" s="47">
        <f t="shared" si="16"/>
        <v>2.0614673238484675</v>
      </c>
    </row>
    <row r="24" spans="1:42" ht="13.5" customHeight="1" x14ac:dyDescent="0.35">
      <c r="A24" s="60">
        <f>(SUM(AN5:AN110)/SUM(AC5:AC110))</f>
        <v>5.0811011352396589</v>
      </c>
      <c r="B24" s="97" t="s">
        <v>67</v>
      </c>
      <c r="C24" s="98">
        <v>18230714</v>
      </c>
      <c r="D24" s="61" t="s">
        <v>122</v>
      </c>
      <c r="E24" s="38" t="s">
        <v>1274</v>
      </c>
      <c r="F24" s="39" t="s">
        <v>1275</v>
      </c>
      <c r="G24" s="39">
        <v>15</v>
      </c>
      <c r="H24" s="39"/>
      <c r="I24" s="40" t="s">
        <v>262</v>
      </c>
      <c r="J24" s="41">
        <v>19</v>
      </c>
      <c r="K24" s="41">
        <v>1042</v>
      </c>
      <c r="L24" s="41"/>
      <c r="M24" s="42">
        <v>210</v>
      </c>
      <c r="N24" s="42">
        <v>471</v>
      </c>
      <c r="O24" s="43">
        <v>19798</v>
      </c>
      <c r="P24" s="44">
        <v>3036</v>
      </c>
      <c r="Q24" s="44">
        <v>8949</v>
      </c>
      <c r="R24" s="45">
        <v>0</v>
      </c>
      <c r="S24" s="46">
        <v>0</v>
      </c>
      <c r="T24" s="39">
        <f t="shared" si="0"/>
        <v>15</v>
      </c>
      <c r="U24" s="47">
        <f t="shared" si="1"/>
        <v>1.6008864092468777E-2</v>
      </c>
      <c r="V24" s="48">
        <f t="shared" si="2"/>
        <v>261</v>
      </c>
      <c r="W24" s="49">
        <f t="shared" si="3"/>
        <v>1.0672576061645852E-3</v>
      </c>
      <c r="X24" s="44">
        <f t="shared" si="4"/>
        <v>394.50100548949285</v>
      </c>
      <c r="Y24" s="44">
        <f t="shared" si="5"/>
        <v>5913</v>
      </c>
      <c r="Z24" s="44">
        <f t="shared" si="6"/>
        <v>3091.3246767985165</v>
      </c>
      <c r="AA24" s="50">
        <f t="shared" si="7"/>
        <v>9343.5010054894919</v>
      </c>
      <c r="AB24" s="51">
        <f t="shared" si="18"/>
        <v>2894.4987610472999</v>
      </c>
      <c r="AC24" s="44">
        <f t="shared" si="18"/>
        <v>8748.5964470875388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1.0914944041149737</v>
      </c>
      <c r="AG24" s="44">
        <f t="shared" si="10"/>
        <v>21609.406212668251</v>
      </c>
      <c r="AH24" s="52">
        <f>HLOOKUP(I24,ElecAvoidedCostsWOCC!$A$5:$Q$50,T24+1,FALSE)</f>
        <v>1.0914944041149737</v>
      </c>
      <c r="AI24" s="44">
        <f t="shared" si="11"/>
        <v>0</v>
      </c>
      <c r="AJ24" s="44">
        <f t="shared" si="12"/>
        <v>21609.406212668251</v>
      </c>
      <c r="AK24" s="44">
        <f>HLOOKUP(I24,ElecAvoidedCostsWOCC!$A$5:$Q$50,G24+1,FALSE)*J24*L24</f>
        <v>0</v>
      </c>
      <c r="AL24" s="44">
        <f t="shared" si="13"/>
        <v>21609.406212668251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21609.406212668247</v>
      </c>
      <c r="AN24" s="48">
        <f t="shared" si="14"/>
        <v>23770.346833935073</v>
      </c>
      <c r="AO24" s="47">
        <f t="shared" si="15"/>
        <v>7.4656816245619808</v>
      </c>
      <c r="AP24" s="47">
        <f t="shared" si="16"/>
        <v>2.7170468974881525</v>
      </c>
    </row>
    <row r="25" spans="1:42" ht="13.5" customHeight="1" x14ac:dyDescent="0.35">
      <c r="B25" s="97" t="s">
        <v>67</v>
      </c>
      <c r="C25" s="98">
        <v>18230714</v>
      </c>
      <c r="D25" s="61" t="s">
        <v>122</v>
      </c>
      <c r="E25" s="38" t="s">
        <v>1182</v>
      </c>
      <c r="F25" s="39" t="s">
        <v>1183</v>
      </c>
      <c r="G25" s="39">
        <v>15</v>
      </c>
      <c r="H25" s="39"/>
      <c r="I25" s="40" t="s">
        <v>262</v>
      </c>
      <c r="J25" s="41">
        <v>274</v>
      </c>
      <c r="K25" s="41">
        <v>1230</v>
      </c>
      <c r="L25" s="41"/>
      <c r="M25" s="42">
        <v>250</v>
      </c>
      <c r="N25" s="42">
        <v>677</v>
      </c>
      <c r="O25" s="43">
        <v>337020</v>
      </c>
      <c r="P25" s="44">
        <v>65502.49</v>
      </c>
      <c r="Q25" s="44">
        <v>185498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0.27251779858792946</v>
      </c>
      <c r="V25" s="48">
        <f t="shared" ref="V25:V48" si="21">N25-M25</f>
        <v>427</v>
      </c>
      <c r="W25" s="49">
        <f t="shared" ref="W25:W48" si="22">(O25/A$10)</f>
        <v>1.8167853239195297E-2</v>
      </c>
      <c r="X25" s="44">
        <f t="shared" ref="X25:X48" si="23">W25*A$8</f>
        <v>6715.5636362293608</v>
      </c>
      <c r="Y25" s="44">
        <f t="shared" ref="Y25:Y48" si="24">Q25-P25</f>
        <v>119995.51000000001</v>
      </c>
      <c r="Z25" s="44">
        <f t="shared" ref="Z25:Z48" si="25">X25+(A$6*W25)</f>
        <v>52623.408555138696</v>
      </c>
      <c r="AA25" s="50">
        <f t="shared" ref="AA25:AA48" si="26">Q25+X25</f>
        <v>192213.56363622937</v>
      </c>
      <c r="AB25" s="51">
        <f t="shared" ref="AB25:AB48" si="27">Z25/(1+ElecDiscountRate)^1</f>
        <v>49272.854452377054</v>
      </c>
      <c r="AC25" s="44">
        <f t="shared" ref="AC25:AC48" si="28">AA25/(1+ElecDiscountRate)^1</f>
        <v>179975.24685040204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1.0914944041149737</v>
      </c>
      <c r="AG25" s="44">
        <f t="shared" ref="AG25:AG48" si="31">AF25*J25*K25</f>
        <v>367855.44407482847</v>
      </c>
      <c r="AH25" s="52">
        <f>HLOOKUP(I25,ElecAvoidedCostsWOCC!$A$5:$Q$50,T25+1,FALSE)</f>
        <v>1.0914944041149737</v>
      </c>
      <c r="AI25" s="44">
        <f t="shared" ref="AI25:AI48" si="32">AH25*J25*L25</f>
        <v>0</v>
      </c>
      <c r="AJ25" s="44">
        <f t="shared" ref="AJ25:AJ48" si="33">AG25+AI25</f>
        <v>367855.44407482847</v>
      </c>
      <c r="AK25" s="44">
        <f>HLOOKUP(I25,ElecAvoidedCostsWOCC!$A$5:$Q$50,G25+1,FALSE)*J25*L25</f>
        <v>0</v>
      </c>
      <c r="AL25" s="44">
        <f t="shared" ref="AL25:AL48" si="34">AG25+AI25-AK25</f>
        <v>367855.44407482847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367855.44407482841</v>
      </c>
      <c r="AN25" s="48">
        <f t="shared" ref="AN25:AN48" si="35">AM25*1.1+AD25+AE25</f>
        <v>404640.98848231131</v>
      </c>
      <c r="AO25" s="47">
        <f t="shared" ref="AO25:AO48" si="36">IFERROR(AM25/AB25,0)</f>
        <v>7.4656816245619817</v>
      </c>
      <c r="AP25" s="47">
        <f t="shared" ref="AP25:AP48" si="37">AN25/AC25</f>
        <v>2.2483146741765805</v>
      </c>
    </row>
    <row r="26" spans="1:42" ht="13.5" customHeight="1" x14ac:dyDescent="0.35">
      <c r="B26" s="97" t="s">
        <v>67</v>
      </c>
      <c r="C26" s="98">
        <v>18230714</v>
      </c>
      <c r="D26" s="61" t="s">
        <v>122</v>
      </c>
      <c r="E26" s="38" t="s">
        <v>1184</v>
      </c>
      <c r="F26" s="39" t="s">
        <v>1185</v>
      </c>
      <c r="G26" s="39">
        <v>15</v>
      </c>
      <c r="H26" s="39"/>
      <c r="I26" s="40" t="s">
        <v>262</v>
      </c>
      <c r="J26" s="41">
        <v>172</v>
      </c>
      <c r="K26" s="41">
        <v>3204</v>
      </c>
      <c r="L26" s="41"/>
      <c r="M26" s="42">
        <v>645</v>
      </c>
      <c r="N26" s="42">
        <v>1203</v>
      </c>
      <c r="O26" s="43">
        <v>551088</v>
      </c>
      <c r="P26" s="44">
        <v>45158.86</v>
      </c>
      <c r="Q26" s="44">
        <v>206916</v>
      </c>
      <c r="R26" s="45">
        <v>0</v>
      </c>
      <c r="S26" s="46">
        <v>0</v>
      </c>
      <c r="T26" s="39">
        <f t="shared" si="19"/>
        <v>15</v>
      </c>
      <c r="U26" s="47">
        <f t="shared" si="20"/>
        <v>0.44561535988435369</v>
      </c>
      <c r="V26" s="48">
        <f t="shared" si="21"/>
        <v>558</v>
      </c>
      <c r="W26" s="49">
        <f t="shared" si="22"/>
        <v>2.9707690658956912E-2</v>
      </c>
      <c r="X26" s="44">
        <f t="shared" si="23"/>
        <v>10981.148101484678</v>
      </c>
      <c r="Y26" s="44">
        <f t="shared" si="24"/>
        <v>161757.14000000001</v>
      </c>
      <c r="Z26" s="44">
        <f t="shared" si="25"/>
        <v>86048.688427494737</v>
      </c>
      <c r="AA26" s="50">
        <f t="shared" si="26"/>
        <v>217897.14810148466</v>
      </c>
      <c r="AB26" s="51">
        <f t="shared" si="27"/>
        <v>80569.932984545623</v>
      </c>
      <c r="AC26" s="44">
        <f t="shared" si="28"/>
        <v>204023.54691150249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1.0914944041149737</v>
      </c>
      <c r="AG26" s="44">
        <f t="shared" si="31"/>
        <v>601509.46817491262</v>
      </c>
      <c r="AH26" s="52">
        <f>HLOOKUP(I26,ElecAvoidedCostsWOCC!$A$5:$Q$50,T26+1,FALSE)</f>
        <v>1.0914944041149737</v>
      </c>
      <c r="AI26" s="44">
        <f t="shared" si="32"/>
        <v>0</v>
      </c>
      <c r="AJ26" s="44">
        <f t="shared" si="33"/>
        <v>601509.46817491262</v>
      </c>
      <c r="AK26" s="44">
        <f>HLOOKUP(I26,ElecAvoidedCostsWOCC!$A$5:$Q$50,G26+1,FALSE)*J26*L26</f>
        <v>0</v>
      </c>
      <c r="AL26" s="44">
        <f t="shared" si="34"/>
        <v>601509.46817491262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601509.46817491262</v>
      </c>
      <c r="AN26" s="48">
        <f t="shared" si="35"/>
        <v>661660.41499240394</v>
      </c>
      <c r="AO26" s="47">
        <f t="shared" si="36"/>
        <v>7.4656816245619826</v>
      </c>
      <c r="AP26" s="47">
        <f t="shared" si="37"/>
        <v>3.2430590733696372</v>
      </c>
    </row>
    <row r="27" spans="1:42" ht="13.5" customHeight="1" x14ac:dyDescent="0.35">
      <c r="B27" s="97" t="s">
        <v>67</v>
      </c>
      <c r="C27" s="98">
        <v>18230714</v>
      </c>
      <c r="D27" s="61" t="s">
        <v>122</v>
      </c>
      <c r="E27" s="38" t="s">
        <v>1276</v>
      </c>
      <c r="F27" s="39" t="s">
        <v>1277</v>
      </c>
      <c r="G27" s="39">
        <v>15</v>
      </c>
      <c r="H27" s="39"/>
      <c r="I27" s="40" t="s">
        <v>262</v>
      </c>
      <c r="J27" s="41">
        <v>2615</v>
      </c>
      <c r="K27" s="41">
        <v>234</v>
      </c>
      <c r="L27" s="41"/>
      <c r="M27" s="42">
        <v>20</v>
      </c>
      <c r="N27" s="42">
        <v>98</v>
      </c>
      <c r="O27" s="43">
        <v>611910</v>
      </c>
      <c r="P27" s="44">
        <v>51391.199999999997</v>
      </c>
      <c r="Q27" s="44">
        <v>256270</v>
      </c>
      <c r="R27" s="45">
        <v>0</v>
      </c>
      <c r="S27" s="46">
        <v>0</v>
      </c>
      <c r="T27" s="39">
        <f t="shared" si="19"/>
        <v>15</v>
      </c>
      <c r="U27" s="47">
        <f t="shared" si="20"/>
        <v>0.49479664748068342</v>
      </c>
      <c r="V27" s="48">
        <f t="shared" si="21"/>
        <v>78</v>
      </c>
      <c r="W27" s="49">
        <f t="shared" si="22"/>
        <v>3.2986443165378895E-2</v>
      </c>
      <c r="X27" s="44">
        <f t="shared" si="23"/>
        <v>12193.105882870776</v>
      </c>
      <c r="Y27" s="44">
        <f t="shared" si="24"/>
        <v>204878.8</v>
      </c>
      <c r="Z27" s="44">
        <f t="shared" si="25"/>
        <v>95545.635063126596</v>
      </c>
      <c r="AA27" s="50">
        <f t="shared" si="26"/>
        <v>268463.10588287079</v>
      </c>
      <c r="AB27" s="51">
        <f t="shared" si="27"/>
        <v>89462.20511528707</v>
      </c>
      <c r="AC27" s="44">
        <f t="shared" si="28"/>
        <v>251369.9493285307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1.0914944041149737</v>
      </c>
      <c r="AG27" s="44">
        <f t="shared" si="31"/>
        <v>667896.34082199354</v>
      </c>
      <c r="AH27" s="52">
        <f>HLOOKUP(I27,ElecAvoidedCostsWOCC!$A$5:$Q$50,T27+1,FALSE)</f>
        <v>1.0914944041149737</v>
      </c>
      <c r="AI27" s="44">
        <f t="shared" si="32"/>
        <v>0</v>
      </c>
      <c r="AJ27" s="44">
        <f t="shared" si="33"/>
        <v>667896.34082199354</v>
      </c>
      <c r="AK27" s="44">
        <f>HLOOKUP(I27,ElecAvoidedCostsWOCC!$A$5:$Q$50,G27+1,FALSE)*J27*L27</f>
        <v>0</v>
      </c>
      <c r="AL27" s="44">
        <f t="shared" si="34"/>
        <v>667896.34082199354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667896.34082199354</v>
      </c>
      <c r="AN27" s="48">
        <f t="shared" si="35"/>
        <v>734685.97490419296</v>
      </c>
      <c r="AO27" s="47">
        <f t="shared" si="36"/>
        <v>7.4656816245619808</v>
      </c>
      <c r="AP27" s="47">
        <f t="shared" si="37"/>
        <v>2.9227279428854365</v>
      </c>
    </row>
    <row r="28" spans="1:42" ht="13.5" customHeight="1" x14ac:dyDescent="0.35">
      <c r="B28" s="97" t="s">
        <v>67</v>
      </c>
      <c r="C28" s="98">
        <v>18230714</v>
      </c>
      <c r="D28" s="61" t="s">
        <v>122</v>
      </c>
      <c r="E28" s="38" t="s">
        <v>1278</v>
      </c>
      <c r="F28" s="39" t="s">
        <v>1279</v>
      </c>
      <c r="G28" s="39">
        <v>15</v>
      </c>
      <c r="H28" s="39"/>
      <c r="I28" s="40" t="s">
        <v>262</v>
      </c>
      <c r="J28" s="41">
        <v>937</v>
      </c>
      <c r="K28" s="41">
        <v>305</v>
      </c>
      <c r="L28" s="41"/>
      <c r="M28" s="42">
        <v>15</v>
      </c>
      <c r="N28" s="42">
        <v>89</v>
      </c>
      <c r="O28" s="43">
        <v>285785</v>
      </c>
      <c r="P28" s="44">
        <v>14000.96</v>
      </c>
      <c r="Q28" s="44">
        <v>83393</v>
      </c>
      <c r="R28" s="45">
        <v>0</v>
      </c>
      <c r="S28" s="46">
        <v>0</v>
      </c>
      <c r="T28" s="39">
        <f t="shared" si="19"/>
        <v>15</v>
      </c>
      <c r="U28" s="47">
        <f t="shared" si="20"/>
        <v>0.23108865666563236</v>
      </c>
      <c r="V28" s="48">
        <f t="shared" si="21"/>
        <v>74</v>
      </c>
      <c r="W28" s="49">
        <f t="shared" si="22"/>
        <v>1.5405910444375491E-2</v>
      </c>
      <c r="X28" s="44">
        <f t="shared" si="23"/>
        <v>5694.6393501270186</v>
      </c>
      <c r="Y28" s="44">
        <f t="shared" si="24"/>
        <v>69392.040000000008</v>
      </c>
      <c r="Z28" s="44">
        <f t="shared" si="25"/>
        <v>44623.407554241036</v>
      </c>
      <c r="AA28" s="50">
        <f t="shared" si="26"/>
        <v>89087.639350127021</v>
      </c>
      <c r="AB28" s="51">
        <f t="shared" si="27"/>
        <v>41782.216811087106</v>
      </c>
      <c r="AC28" s="44">
        <f t="shared" si="28"/>
        <v>83415.392649931659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1.0914944041149737</v>
      </c>
      <c r="AG28" s="44">
        <f t="shared" si="31"/>
        <v>311932.72827999777</v>
      </c>
      <c r="AH28" s="52">
        <f>HLOOKUP(I28,ElecAvoidedCostsWOCC!$A$5:$Q$50,T28+1,FALSE)</f>
        <v>1.0914944041149737</v>
      </c>
      <c r="AI28" s="44">
        <f t="shared" si="32"/>
        <v>0</v>
      </c>
      <c r="AJ28" s="44">
        <f t="shared" si="33"/>
        <v>311932.72827999777</v>
      </c>
      <c r="AK28" s="44">
        <f>HLOOKUP(I28,ElecAvoidedCostsWOCC!$A$5:$Q$50,G28+1,FALSE)*J28*L28</f>
        <v>0</v>
      </c>
      <c r="AL28" s="44">
        <f t="shared" si="34"/>
        <v>311932.72827999777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311932.72827999771</v>
      </c>
      <c r="AN28" s="48">
        <f t="shared" si="35"/>
        <v>343126.00110799749</v>
      </c>
      <c r="AO28" s="47">
        <f t="shared" si="36"/>
        <v>7.4656816245619817</v>
      </c>
      <c r="AP28" s="47">
        <f t="shared" si="37"/>
        <v>4.1134614392812381</v>
      </c>
    </row>
    <row r="29" spans="1:42" x14ac:dyDescent="0.35">
      <c r="B29" s="97" t="s">
        <v>67</v>
      </c>
      <c r="C29" s="98">
        <v>18230714</v>
      </c>
      <c r="D29" s="61" t="s">
        <v>122</v>
      </c>
      <c r="E29" s="38" t="s">
        <v>1280</v>
      </c>
      <c r="F29" s="39" t="s">
        <v>1281</v>
      </c>
      <c r="G29" s="39">
        <v>15</v>
      </c>
      <c r="H29" s="39"/>
      <c r="I29" s="40" t="s">
        <v>262</v>
      </c>
      <c r="J29" s="41">
        <v>2602</v>
      </c>
      <c r="K29" s="41">
        <v>107</v>
      </c>
      <c r="L29" s="41"/>
      <c r="M29" s="42">
        <v>30</v>
      </c>
      <c r="N29" s="42">
        <v>66</v>
      </c>
      <c r="O29" s="43">
        <v>278414</v>
      </c>
      <c r="P29" s="44">
        <v>72113.05</v>
      </c>
      <c r="Q29" s="44">
        <v>171732</v>
      </c>
      <c r="R29" s="45">
        <v>0</v>
      </c>
      <c r="S29" s="46">
        <v>0</v>
      </c>
      <c r="T29" s="39">
        <f t="shared" si="19"/>
        <v>15</v>
      </c>
      <c r="U29" s="47">
        <f t="shared" si="20"/>
        <v>0.22512839112236602</v>
      </c>
      <c r="V29" s="48">
        <f t="shared" si="21"/>
        <v>36</v>
      </c>
      <c r="W29" s="49">
        <f t="shared" si="22"/>
        <v>1.5008559408157734E-2</v>
      </c>
      <c r="X29" s="44">
        <f t="shared" si="23"/>
        <v>5547.7625488610802</v>
      </c>
      <c r="Y29" s="44">
        <f t="shared" si="24"/>
        <v>99618.95</v>
      </c>
      <c r="Z29" s="44">
        <f t="shared" si="25"/>
        <v>43472.47543015366</v>
      </c>
      <c r="AA29" s="50">
        <f t="shared" si="26"/>
        <v>177279.76254886109</v>
      </c>
      <c r="AB29" s="51">
        <f t="shared" si="27"/>
        <v>40704.565009507169</v>
      </c>
      <c r="AC29" s="44">
        <f t="shared" si="28"/>
        <v>165992.28703076881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1.0914944041149737</v>
      </c>
      <c r="AG29" s="44">
        <f t="shared" si="31"/>
        <v>303887.32302726631</v>
      </c>
      <c r="AH29" s="52">
        <f>HLOOKUP(I29,ElecAvoidedCostsWOCC!$A$5:$Q$50,T29+1,FALSE)</f>
        <v>1.0914944041149737</v>
      </c>
      <c r="AI29" s="44">
        <f t="shared" si="32"/>
        <v>0</v>
      </c>
      <c r="AJ29" s="44">
        <f t="shared" si="33"/>
        <v>303887.32302726631</v>
      </c>
      <c r="AK29" s="44">
        <f>HLOOKUP(I29,ElecAvoidedCostsWOCC!$A$5:$Q$50,G29+1,FALSE)*J29*L29</f>
        <v>0</v>
      </c>
      <c r="AL29" s="44">
        <f t="shared" si="34"/>
        <v>303887.32302726631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303887.32302726631</v>
      </c>
      <c r="AN29" s="48">
        <f t="shared" si="35"/>
        <v>334276.05532999296</v>
      </c>
      <c r="AO29" s="47">
        <f t="shared" si="36"/>
        <v>7.4656816245619826</v>
      </c>
      <c r="AP29" s="47">
        <f t="shared" si="37"/>
        <v>2.0138047454459773</v>
      </c>
    </row>
    <row r="30" spans="1:42" x14ac:dyDescent="0.35">
      <c r="B30" s="97" t="s">
        <v>67</v>
      </c>
      <c r="C30" s="98">
        <v>18230714</v>
      </c>
      <c r="D30" s="61" t="s">
        <v>122</v>
      </c>
      <c r="E30" s="38" t="s">
        <v>1282</v>
      </c>
      <c r="F30" s="39" t="s">
        <v>1283</v>
      </c>
      <c r="G30" s="39">
        <v>15</v>
      </c>
      <c r="H30" s="39"/>
      <c r="I30" s="40" t="s">
        <v>262</v>
      </c>
      <c r="J30" s="41">
        <v>353</v>
      </c>
      <c r="K30" s="41">
        <v>60</v>
      </c>
      <c r="L30" s="41"/>
      <c r="M30" s="42">
        <v>30</v>
      </c>
      <c r="N30" s="42">
        <v>45</v>
      </c>
      <c r="O30" s="43">
        <v>21180</v>
      </c>
      <c r="P30" s="44">
        <v>10590</v>
      </c>
      <c r="Q30" s="44">
        <v>15885</v>
      </c>
      <c r="R30" s="45">
        <v>0</v>
      </c>
      <c r="S30" s="46">
        <v>0</v>
      </c>
      <c r="T30" s="39">
        <f t="shared" si="19"/>
        <v>15</v>
      </c>
      <c r="U30" s="47">
        <f t="shared" si="20"/>
        <v>1.7126363343695765E-2</v>
      </c>
      <c r="V30" s="48">
        <f t="shared" si="21"/>
        <v>15</v>
      </c>
      <c r="W30" s="49">
        <f t="shared" si="22"/>
        <v>1.1417575562463842E-3</v>
      </c>
      <c r="X30" s="44">
        <f t="shared" si="23"/>
        <v>422.03916033273356</v>
      </c>
      <c r="Y30" s="44">
        <f t="shared" si="24"/>
        <v>5295</v>
      </c>
      <c r="Z30" s="44">
        <f t="shared" si="25"/>
        <v>3307.1146911098381</v>
      </c>
      <c r="AA30" s="50">
        <f t="shared" si="26"/>
        <v>16307.039160332733</v>
      </c>
      <c r="AB30" s="51">
        <f t="shared" si="27"/>
        <v>3096.5493362451666</v>
      </c>
      <c r="AC30" s="44">
        <f t="shared" si="28"/>
        <v>15268.763258738514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1.0914944041149737</v>
      </c>
      <c r="AG30" s="44">
        <f t="shared" si="31"/>
        <v>23117.851479155142</v>
      </c>
      <c r="AH30" s="52">
        <f>HLOOKUP(I30,ElecAvoidedCostsWOCC!$A$5:$Q$50,T30+1,FALSE)</f>
        <v>1.0914944041149737</v>
      </c>
      <c r="AI30" s="44">
        <f t="shared" si="32"/>
        <v>0</v>
      </c>
      <c r="AJ30" s="44">
        <f t="shared" si="33"/>
        <v>23117.851479155142</v>
      </c>
      <c r="AK30" s="44">
        <f>HLOOKUP(I30,ElecAvoidedCostsWOCC!$A$5:$Q$50,G30+1,FALSE)*J30*L30</f>
        <v>0</v>
      </c>
      <c r="AL30" s="44">
        <f t="shared" si="34"/>
        <v>23117.851479155142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23117.851479155139</v>
      </c>
      <c r="AN30" s="48">
        <f t="shared" si="35"/>
        <v>25429.636627070653</v>
      </c>
      <c r="AO30" s="47">
        <f t="shared" si="36"/>
        <v>7.4656816245619808</v>
      </c>
      <c r="AP30" s="47">
        <f t="shared" si="37"/>
        <v>1.6654680013141823</v>
      </c>
    </row>
    <row r="31" spans="1:42" x14ac:dyDescent="0.35">
      <c r="B31" s="97" t="s">
        <v>67</v>
      </c>
      <c r="C31" s="98">
        <v>18230714</v>
      </c>
      <c r="D31" s="61" t="s">
        <v>122</v>
      </c>
      <c r="E31" s="38" t="s">
        <v>1284</v>
      </c>
      <c r="F31" s="39" t="s">
        <v>1285</v>
      </c>
      <c r="G31" s="39">
        <v>15</v>
      </c>
      <c r="H31" s="39"/>
      <c r="I31" s="40" t="s">
        <v>262</v>
      </c>
      <c r="J31" s="41">
        <v>21</v>
      </c>
      <c r="K31" s="41">
        <v>318</v>
      </c>
      <c r="L31" s="41"/>
      <c r="M31" s="42">
        <v>45</v>
      </c>
      <c r="N31" s="42">
        <v>68</v>
      </c>
      <c r="O31" s="43">
        <v>6678</v>
      </c>
      <c r="P31" s="44">
        <v>945</v>
      </c>
      <c r="Q31" s="44">
        <v>1428</v>
      </c>
      <c r="R31" s="45">
        <v>0</v>
      </c>
      <c r="S31" s="46">
        <v>0</v>
      </c>
      <c r="T31" s="39">
        <f t="shared" si="19"/>
        <v>15</v>
      </c>
      <c r="U31" s="47">
        <f t="shared" si="20"/>
        <v>5.3998986973182389E-3</v>
      </c>
      <c r="V31" s="48">
        <f t="shared" si="21"/>
        <v>23</v>
      </c>
      <c r="W31" s="49">
        <f t="shared" si="22"/>
        <v>3.5999324648788259E-4</v>
      </c>
      <c r="X31" s="44">
        <f t="shared" si="23"/>
        <v>133.0678712323888</v>
      </c>
      <c r="Y31" s="44">
        <f t="shared" si="24"/>
        <v>483</v>
      </c>
      <c r="Z31" s="44">
        <f t="shared" si="25"/>
        <v>1042.724830369759</v>
      </c>
      <c r="AA31" s="50">
        <f t="shared" si="26"/>
        <v>1561.0678712323888</v>
      </c>
      <c r="AB31" s="51">
        <f t="shared" si="27"/>
        <v>976.33411083310762</v>
      </c>
      <c r="AC31" s="44">
        <f t="shared" si="28"/>
        <v>1461.6740367344464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1.0914944041149737</v>
      </c>
      <c r="AG31" s="44">
        <f t="shared" si="31"/>
        <v>7288.9996306797948</v>
      </c>
      <c r="AH31" s="52">
        <f>HLOOKUP(I31,ElecAvoidedCostsWOCC!$A$5:$Q$50,T31+1,FALSE)</f>
        <v>1.0914944041149737</v>
      </c>
      <c r="AI31" s="44">
        <f t="shared" si="32"/>
        <v>0</v>
      </c>
      <c r="AJ31" s="44">
        <f t="shared" si="33"/>
        <v>7288.9996306797948</v>
      </c>
      <c r="AK31" s="44">
        <f>HLOOKUP(I31,ElecAvoidedCostsWOCC!$A$5:$Q$50,G31+1,FALSE)*J31*L31</f>
        <v>0</v>
      </c>
      <c r="AL31" s="44">
        <f t="shared" si="34"/>
        <v>7288.9996306797948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7288.9996306797939</v>
      </c>
      <c r="AN31" s="48">
        <f t="shared" si="35"/>
        <v>8017.8995937477739</v>
      </c>
      <c r="AO31" s="47">
        <f t="shared" si="36"/>
        <v>7.4656816245619826</v>
      </c>
      <c r="AP31" s="47">
        <f t="shared" si="37"/>
        <v>5.4854224623574179</v>
      </c>
    </row>
    <row r="32" spans="1:42" x14ac:dyDescent="0.35">
      <c r="B32" s="97" t="s">
        <v>67</v>
      </c>
      <c r="C32" s="98">
        <v>18230714</v>
      </c>
      <c r="D32" s="61" t="s">
        <v>122</v>
      </c>
      <c r="E32" s="38" t="s">
        <v>1286</v>
      </c>
      <c r="F32" s="39" t="s">
        <v>1287</v>
      </c>
      <c r="G32" s="39">
        <v>15</v>
      </c>
      <c r="H32" s="39"/>
      <c r="I32" s="40" t="s">
        <v>262</v>
      </c>
      <c r="J32" s="41">
        <v>494</v>
      </c>
      <c r="K32" s="41">
        <v>620</v>
      </c>
      <c r="L32" s="41"/>
      <c r="M32" s="42">
        <v>80</v>
      </c>
      <c r="N32" s="42">
        <v>201</v>
      </c>
      <c r="O32" s="43">
        <v>306280</v>
      </c>
      <c r="P32" s="44">
        <v>39054.06</v>
      </c>
      <c r="Q32" s="44">
        <v>99294</v>
      </c>
      <c r="R32" s="45">
        <v>0</v>
      </c>
      <c r="S32" s="46">
        <v>0</v>
      </c>
      <c r="T32" s="39">
        <f t="shared" si="19"/>
        <v>15</v>
      </c>
      <c r="U32" s="47">
        <f t="shared" si="20"/>
        <v>0.24766112204471849</v>
      </c>
      <c r="V32" s="48">
        <f t="shared" si="21"/>
        <v>121</v>
      </c>
      <c r="W32" s="49">
        <f t="shared" si="22"/>
        <v>1.6510741469647899E-2</v>
      </c>
      <c r="X32" s="44">
        <f t="shared" si="23"/>
        <v>6103.0289908739196</v>
      </c>
      <c r="Y32" s="44">
        <f t="shared" si="24"/>
        <v>60239.94</v>
      </c>
      <c r="Z32" s="44">
        <f t="shared" si="25"/>
        <v>47823.564097881077</v>
      </c>
      <c r="AA32" s="50">
        <f t="shared" si="26"/>
        <v>105397.02899087392</v>
      </c>
      <c r="AB32" s="51">
        <f t="shared" si="27"/>
        <v>44778.618069177035</v>
      </c>
      <c r="AC32" s="44">
        <f t="shared" si="28"/>
        <v>98686.356733028006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1.0914944041149737</v>
      </c>
      <c r="AG32" s="44">
        <f t="shared" si="31"/>
        <v>334302.90609233419</v>
      </c>
      <c r="AH32" s="52">
        <f>HLOOKUP(I32,ElecAvoidedCostsWOCC!$A$5:$Q$50,T32+1,FALSE)</f>
        <v>1.0914944041149737</v>
      </c>
      <c r="AI32" s="44">
        <f t="shared" si="32"/>
        <v>0</v>
      </c>
      <c r="AJ32" s="44">
        <f t="shared" si="33"/>
        <v>334302.90609233419</v>
      </c>
      <c r="AK32" s="44">
        <f>HLOOKUP(I32,ElecAvoidedCostsWOCC!$A$5:$Q$50,G32+1,FALSE)*J32*L32</f>
        <v>0</v>
      </c>
      <c r="AL32" s="44">
        <f t="shared" si="34"/>
        <v>334302.90609233419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334302.90609233413</v>
      </c>
      <c r="AN32" s="48">
        <f t="shared" si="35"/>
        <v>367733.19670156756</v>
      </c>
      <c r="AO32" s="47">
        <f t="shared" si="36"/>
        <v>7.4656816245619817</v>
      </c>
      <c r="AP32" s="47">
        <f t="shared" si="37"/>
        <v>3.7262820198781936</v>
      </c>
    </row>
    <row r="33" spans="2:42" x14ac:dyDescent="0.35">
      <c r="B33" s="97" t="s">
        <v>67</v>
      </c>
      <c r="C33" s="98">
        <v>18230714</v>
      </c>
      <c r="D33" s="61" t="s">
        <v>122</v>
      </c>
      <c r="E33" s="38" t="s">
        <v>1288</v>
      </c>
      <c r="F33" s="39" t="s">
        <v>1289</v>
      </c>
      <c r="G33" s="39">
        <v>15</v>
      </c>
      <c r="H33" s="39"/>
      <c r="I33" s="40" t="s">
        <v>262</v>
      </c>
      <c r="J33" s="41">
        <v>1497</v>
      </c>
      <c r="K33" s="41">
        <v>953</v>
      </c>
      <c r="L33" s="41"/>
      <c r="M33" s="42">
        <v>140</v>
      </c>
      <c r="N33" s="42">
        <v>352</v>
      </c>
      <c r="O33" s="43">
        <v>1426641</v>
      </c>
      <c r="P33" s="44">
        <v>199280.93</v>
      </c>
      <c r="Q33" s="44">
        <v>526944</v>
      </c>
      <c r="R33" s="45">
        <v>0</v>
      </c>
      <c r="S33" s="46">
        <v>0</v>
      </c>
      <c r="T33" s="39">
        <f t="shared" si="19"/>
        <v>15</v>
      </c>
      <c r="U33" s="47">
        <f t="shared" si="20"/>
        <v>1.1535964177060183</v>
      </c>
      <c r="V33" s="48">
        <f t="shared" si="21"/>
        <v>212</v>
      </c>
      <c r="W33" s="49">
        <f t="shared" si="22"/>
        <v>7.6906427847067887E-2</v>
      </c>
      <c r="X33" s="44">
        <f t="shared" si="23"/>
        <v>28427.685067811679</v>
      </c>
      <c r="Y33" s="44">
        <f t="shared" si="24"/>
        <v>327663.07</v>
      </c>
      <c r="Z33" s="44">
        <f t="shared" si="25"/>
        <v>222760.40651745189</v>
      </c>
      <c r="AA33" s="50">
        <f t="shared" si="26"/>
        <v>555371.68506781163</v>
      </c>
      <c r="AB33" s="51">
        <f t="shared" si="27"/>
        <v>208577.15966053546</v>
      </c>
      <c r="AC33" s="44">
        <f t="shared" si="28"/>
        <v>520010.94107472996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1.0914944041149737</v>
      </c>
      <c r="AG33" s="44">
        <f t="shared" si="31"/>
        <v>1557170.6681809903</v>
      </c>
      <c r="AH33" s="52">
        <f>HLOOKUP(I33,ElecAvoidedCostsWOCC!$A$5:$Q$50,T33+1,FALSE)</f>
        <v>1.0914944041149737</v>
      </c>
      <c r="AI33" s="44">
        <f t="shared" si="32"/>
        <v>0</v>
      </c>
      <c r="AJ33" s="44">
        <f t="shared" si="33"/>
        <v>1557170.6681809903</v>
      </c>
      <c r="AK33" s="44">
        <f>HLOOKUP(I33,ElecAvoidedCostsWOCC!$A$5:$Q$50,G33+1,FALSE)*J33*L33</f>
        <v>0</v>
      </c>
      <c r="AL33" s="44">
        <f t="shared" si="34"/>
        <v>1557170.6681809903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1557170.6681809903</v>
      </c>
      <c r="AN33" s="48">
        <f t="shared" si="35"/>
        <v>1712887.7349990895</v>
      </c>
      <c r="AO33" s="47">
        <f t="shared" si="36"/>
        <v>7.4656816245619817</v>
      </c>
      <c r="AP33" s="47">
        <f t="shared" si="37"/>
        <v>3.2939455686432049</v>
      </c>
    </row>
    <row r="34" spans="2:42" x14ac:dyDescent="0.35">
      <c r="B34" s="97" t="s">
        <v>67</v>
      </c>
      <c r="C34" s="98">
        <v>18230714</v>
      </c>
      <c r="D34" s="61" t="s">
        <v>122</v>
      </c>
      <c r="E34" s="38" t="s">
        <v>1290</v>
      </c>
      <c r="F34" s="39" t="s">
        <v>1291</v>
      </c>
      <c r="G34" s="39">
        <v>15</v>
      </c>
      <c r="H34" s="39"/>
      <c r="I34" s="40" t="s">
        <v>262</v>
      </c>
      <c r="J34" s="41">
        <v>8</v>
      </c>
      <c r="K34" s="41">
        <v>202</v>
      </c>
      <c r="L34" s="41"/>
      <c r="M34" s="42">
        <v>40</v>
      </c>
      <c r="N34" s="42">
        <v>190</v>
      </c>
      <c r="O34" s="43">
        <v>1616</v>
      </c>
      <c r="P34" s="44">
        <v>320</v>
      </c>
      <c r="Q34" s="44">
        <v>1520</v>
      </c>
      <c r="R34" s="45">
        <v>6.8239999999999998</v>
      </c>
      <c r="S34" s="46">
        <v>0</v>
      </c>
      <c r="T34" s="39">
        <f t="shared" si="19"/>
        <v>15</v>
      </c>
      <c r="U34" s="47">
        <f t="shared" si="20"/>
        <v>1.306714030378298E-3</v>
      </c>
      <c r="V34" s="48">
        <f t="shared" si="21"/>
        <v>150</v>
      </c>
      <c r="W34" s="49">
        <f t="shared" si="22"/>
        <v>8.7114268691886536E-5</v>
      </c>
      <c r="X34" s="44">
        <f t="shared" si="23"/>
        <v>32.200910438984771</v>
      </c>
      <c r="Y34" s="44">
        <f t="shared" si="24"/>
        <v>1200</v>
      </c>
      <c r="Z34" s="44">
        <f t="shared" si="25"/>
        <v>252.32754206012743</v>
      </c>
      <c r="AA34" s="50">
        <f t="shared" si="26"/>
        <v>1552.2009104389847</v>
      </c>
      <c r="AB34" s="51">
        <f t="shared" si="27"/>
        <v>236.26174350199196</v>
      </c>
      <c r="AC34" s="44">
        <f t="shared" si="28"/>
        <v>1453.3716389878134</v>
      </c>
      <c r="AD34" s="44">
        <f t="shared" si="29"/>
        <v>503.5617168333672</v>
      </c>
      <c r="AE34" s="44">
        <f t="shared" si="30"/>
        <v>0</v>
      </c>
      <c r="AF34" s="52">
        <f>HLOOKUP(I34,ElecAvoidedCostsWOCC!$A$5:$Q$50,G34+1,FALSE)</f>
        <v>1.0914944041149737</v>
      </c>
      <c r="AG34" s="44">
        <f t="shared" si="31"/>
        <v>1763.8549570497973</v>
      </c>
      <c r="AH34" s="52">
        <f>HLOOKUP(I34,ElecAvoidedCostsWOCC!$A$5:$Q$50,T34+1,FALSE)</f>
        <v>1.0914944041149737</v>
      </c>
      <c r="AI34" s="44">
        <f t="shared" si="32"/>
        <v>0</v>
      </c>
      <c r="AJ34" s="44">
        <f t="shared" si="33"/>
        <v>1763.8549570497973</v>
      </c>
      <c r="AK34" s="44">
        <f>HLOOKUP(I34,ElecAvoidedCostsWOCC!$A$5:$Q$50,G34+1,FALSE)*J34*L34</f>
        <v>0</v>
      </c>
      <c r="AL34" s="44">
        <f t="shared" si="34"/>
        <v>1763.8549570497973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1763.8549570497973</v>
      </c>
      <c r="AN34" s="48">
        <f t="shared" si="35"/>
        <v>2443.8021695881444</v>
      </c>
      <c r="AO34" s="47">
        <f t="shared" si="36"/>
        <v>7.4656816245619808</v>
      </c>
      <c r="AP34" s="47">
        <f t="shared" si="37"/>
        <v>1.6814709356033029</v>
      </c>
    </row>
    <row r="35" spans="2:42" x14ac:dyDescent="0.35">
      <c r="B35" s="37"/>
      <c r="C35" s="61"/>
      <c r="D35" s="61"/>
      <c r="E35" s="38" t="s">
        <v>1292</v>
      </c>
      <c r="F35" s="39" t="s">
        <v>1293</v>
      </c>
      <c r="G35" s="39">
        <v>15</v>
      </c>
      <c r="H35" s="39"/>
      <c r="I35" s="40" t="s">
        <v>262</v>
      </c>
      <c r="J35" s="41">
        <v>163</v>
      </c>
      <c r="K35" s="41">
        <v>252</v>
      </c>
      <c r="L35" s="41"/>
      <c r="M35" s="42">
        <v>50</v>
      </c>
      <c r="N35" s="42">
        <v>222</v>
      </c>
      <c r="O35" s="43">
        <v>41076</v>
      </c>
      <c r="P35" s="44">
        <v>7872.54</v>
      </c>
      <c r="Q35" s="44">
        <v>36186</v>
      </c>
      <c r="R35" s="45">
        <v>8.5129999999999999</v>
      </c>
      <c r="S35" s="46">
        <v>0</v>
      </c>
      <c r="T35" s="39">
        <f t="shared" si="19"/>
        <v>15</v>
      </c>
      <c r="U35" s="47">
        <f t="shared" si="20"/>
        <v>3.3214471232561243E-2</v>
      </c>
      <c r="V35" s="48">
        <f t="shared" si="21"/>
        <v>172</v>
      </c>
      <c r="W35" s="49">
        <f t="shared" si="22"/>
        <v>2.2142980821707498E-3</v>
      </c>
      <c r="X35" s="44">
        <f t="shared" si="23"/>
        <v>818.49294380676884</v>
      </c>
      <c r="Y35" s="44">
        <f t="shared" si="24"/>
        <v>28313.46</v>
      </c>
      <c r="Z35" s="44">
        <f t="shared" si="25"/>
        <v>6413.7414094441792</v>
      </c>
      <c r="AA35" s="50">
        <f t="shared" si="26"/>
        <v>37004.49294380677</v>
      </c>
      <c r="AB35" s="51">
        <f t="shared" si="27"/>
        <v>6005.3758515394929</v>
      </c>
      <c r="AC35" s="44">
        <f t="shared" si="28"/>
        <v>34648.401632777874</v>
      </c>
      <c r="AD35" s="44">
        <f t="shared" si="29"/>
        <v>12799.527512283854</v>
      </c>
      <c r="AE35" s="44">
        <f t="shared" si="30"/>
        <v>0</v>
      </c>
      <c r="AF35" s="52">
        <f>HLOOKUP(I35,ElecAvoidedCostsWOCC!$A$5:$Q$50,G35+1,FALSE)</f>
        <v>1.0914944041149737</v>
      </c>
      <c r="AG35" s="44">
        <f t="shared" si="31"/>
        <v>44834.224143426662</v>
      </c>
      <c r="AH35" s="52">
        <f>HLOOKUP(I35,ElecAvoidedCostsWOCC!$A$5:$Q$50,T35+1,FALSE)</f>
        <v>1.0914944041149737</v>
      </c>
      <c r="AI35" s="44">
        <f t="shared" si="32"/>
        <v>0</v>
      </c>
      <c r="AJ35" s="44">
        <f t="shared" si="33"/>
        <v>44834.224143426662</v>
      </c>
      <c r="AK35" s="44">
        <f>HLOOKUP(I35,ElecAvoidedCostsWOCC!$A$5:$Q$50,G35+1,FALSE)*J35*L35</f>
        <v>0</v>
      </c>
      <c r="AL35" s="44">
        <f t="shared" si="34"/>
        <v>44834.224143426662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44834.224143426662</v>
      </c>
      <c r="AN35" s="48">
        <f t="shared" si="35"/>
        <v>62117.174070053181</v>
      </c>
      <c r="AO35" s="47">
        <f t="shared" si="36"/>
        <v>7.4656816245619826</v>
      </c>
      <c r="AP35" s="47">
        <f t="shared" si="37"/>
        <v>1.7927861356608572</v>
      </c>
    </row>
    <row r="36" spans="2:42" x14ac:dyDescent="0.35">
      <c r="B36" s="37"/>
      <c r="C36" s="61"/>
      <c r="D36" s="61"/>
      <c r="E36" s="38" t="s">
        <v>1294</v>
      </c>
      <c r="F36" s="39" t="s">
        <v>1295</v>
      </c>
      <c r="G36" s="39">
        <v>15</v>
      </c>
      <c r="H36" s="39"/>
      <c r="I36" s="40" t="s">
        <v>262</v>
      </c>
      <c r="J36" s="41">
        <v>214</v>
      </c>
      <c r="K36" s="41">
        <v>352</v>
      </c>
      <c r="L36" s="41"/>
      <c r="M36" s="42">
        <v>70</v>
      </c>
      <c r="N36" s="42">
        <v>207</v>
      </c>
      <c r="O36" s="43">
        <v>75328</v>
      </c>
      <c r="P36" s="44">
        <v>14941.18</v>
      </c>
      <c r="Q36" s="44">
        <v>44298</v>
      </c>
      <c r="R36" s="45">
        <v>11.89</v>
      </c>
      <c r="S36" s="46">
        <v>0</v>
      </c>
      <c r="T36" s="39">
        <f t="shared" si="19"/>
        <v>15</v>
      </c>
      <c r="U36" s="47">
        <f t="shared" si="20"/>
        <v>6.0910986683376508E-2</v>
      </c>
      <c r="V36" s="48">
        <f t="shared" si="21"/>
        <v>137</v>
      </c>
      <c r="W36" s="49">
        <f t="shared" si="22"/>
        <v>4.060732445558434E-3</v>
      </c>
      <c r="X36" s="44">
        <f t="shared" si="23"/>
        <v>1501.0087757103001</v>
      </c>
      <c r="Y36" s="44">
        <f t="shared" si="24"/>
        <v>29356.82</v>
      </c>
      <c r="Z36" s="44">
        <f t="shared" si="25"/>
        <v>11761.961069495839</v>
      </c>
      <c r="AA36" s="50">
        <f t="shared" si="26"/>
        <v>45799.008775710303</v>
      </c>
      <c r="AB36" s="51">
        <f t="shared" si="27"/>
        <v>11013.072162449287</v>
      </c>
      <c r="AC36" s="44">
        <f t="shared" si="28"/>
        <v>42882.96701845534</v>
      </c>
      <c r="AD36" s="44">
        <f t="shared" si="29"/>
        <v>23470.337155880527</v>
      </c>
      <c r="AE36" s="44">
        <f t="shared" si="30"/>
        <v>0</v>
      </c>
      <c r="AF36" s="52">
        <f>HLOOKUP(I36,ElecAvoidedCostsWOCC!$A$5:$Q$50,G36+1,FALSE)</f>
        <v>1.0914944041149737</v>
      </c>
      <c r="AG36" s="44">
        <f t="shared" si="31"/>
        <v>82220.090473172735</v>
      </c>
      <c r="AH36" s="52">
        <f>HLOOKUP(I36,ElecAvoidedCostsWOCC!$A$5:$Q$50,T36+1,FALSE)</f>
        <v>1.0914944041149737</v>
      </c>
      <c r="AI36" s="44">
        <f t="shared" si="32"/>
        <v>0</v>
      </c>
      <c r="AJ36" s="44">
        <f t="shared" si="33"/>
        <v>82220.090473172735</v>
      </c>
      <c r="AK36" s="44">
        <f>HLOOKUP(I36,ElecAvoidedCostsWOCC!$A$5:$Q$50,G36+1,FALSE)*J36*L36</f>
        <v>0</v>
      </c>
      <c r="AL36" s="44">
        <f t="shared" si="34"/>
        <v>82220.090473172735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82220.090473172735</v>
      </c>
      <c r="AN36" s="48">
        <f t="shared" si="35"/>
        <v>113912.43667637053</v>
      </c>
      <c r="AO36" s="47">
        <f t="shared" si="36"/>
        <v>7.4656816245619817</v>
      </c>
      <c r="AP36" s="47">
        <f t="shared" si="37"/>
        <v>2.6563562317725493</v>
      </c>
    </row>
    <row r="37" spans="2:42" x14ac:dyDescent="0.35">
      <c r="B37" s="37"/>
      <c r="C37" s="61"/>
      <c r="D37" s="61"/>
      <c r="E37" s="38" t="s">
        <v>1296</v>
      </c>
      <c r="F37" s="39" t="s">
        <v>1297</v>
      </c>
      <c r="G37" s="39">
        <v>15</v>
      </c>
      <c r="H37" s="39"/>
      <c r="I37" s="40" t="s">
        <v>262</v>
      </c>
      <c r="J37" s="41">
        <v>173</v>
      </c>
      <c r="K37" s="41">
        <v>533</v>
      </c>
      <c r="L37" s="41"/>
      <c r="M37" s="42">
        <v>110</v>
      </c>
      <c r="N37" s="42">
        <v>281</v>
      </c>
      <c r="O37" s="43">
        <v>92209</v>
      </c>
      <c r="P37" s="44">
        <v>16278.9</v>
      </c>
      <c r="Q37" s="44">
        <v>48613</v>
      </c>
      <c r="R37" s="45">
        <v>18.004999999999999</v>
      </c>
      <c r="S37" s="46">
        <v>0</v>
      </c>
      <c r="T37" s="39">
        <f t="shared" si="19"/>
        <v>15</v>
      </c>
      <c r="U37" s="47">
        <f t="shared" si="20"/>
        <v>7.4561134917792371E-2</v>
      </c>
      <c r="V37" s="48">
        <f t="shared" si="21"/>
        <v>171</v>
      </c>
      <c r="W37" s="49">
        <f t="shared" si="22"/>
        <v>4.970742327852825E-3</v>
      </c>
      <c r="X37" s="44">
        <f t="shared" si="23"/>
        <v>1837.3847467007095</v>
      </c>
      <c r="Y37" s="44">
        <f t="shared" si="24"/>
        <v>32334.1</v>
      </c>
      <c r="Z37" s="44">
        <f t="shared" si="25"/>
        <v>14397.815795682107</v>
      </c>
      <c r="AA37" s="50">
        <f t="shared" si="26"/>
        <v>50450.384746700707</v>
      </c>
      <c r="AB37" s="51">
        <f t="shared" si="27"/>
        <v>13481.100932286616</v>
      </c>
      <c r="AC37" s="44">
        <f t="shared" si="28"/>
        <v>47238.187965075565</v>
      </c>
      <c r="AD37" s="44">
        <f t="shared" si="29"/>
        <v>28731.806255571628</v>
      </c>
      <c r="AE37" s="44">
        <f t="shared" si="30"/>
        <v>0</v>
      </c>
      <c r="AF37" s="52">
        <f>HLOOKUP(I37,ElecAvoidedCostsWOCC!$A$5:$Q$50,G37+1,FALSE)</f>
        <v>1.0914944041149737</v>
      </c>
      <c r="AG37" s="44">
        <f t="shared" si="31"/>
        <v>100645.60750903761</v>
      </c>
      <c r="AH37" s="52">
        <f>HLOOKUP(I37,ElecAvoidedCostsWOCC!$A$5:$Q$50,T37+1,FALSE)</f>
        <v>1.0914944041149737</v>
      </c>
      <c r="AI37" s="44">
        <f t="shared" si="32"/>
        <v>0</v>
      </c>
      <c r="AJ37" s="44">
        <f t="shared" si="33"/>
        <v>100645.60750903761</v>
      </c>
      <c r="AK37" s="44">
        <f>HLOOKUP(I37,ElecAvoidedCostsWOCC!$A$5:$Q$50,G37+1,FALSE)*J37*L37</f>
        <v>0</v>
      </c>
      <c r="AL37" s="44">
        <f t="shared" si="34"/>
        <v>100645.60750903761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100645.60750903761</v>
      </c>
      <c r="AN37" s="48">
        <f t="shared" si="35"/>
        <v>139441.97451551299</v>
      </c>
      <c r="AO37" s="47">
        <f t="shared" si="36"/>
        <v>7.4656816245619835</v>
      </c>
      <c r="AP37" s="47">
        <f t="shared" si="37"/>
        <v>2.9518908434550055</v>
      </c>
    </row>
    <row r="38" spans="2:42" x14ac:dyDescent="0.35">
      <c r="B38" s="37"/>
      <c r="C38" s="61"/>
      <c r="D38" s="61"/>
      <c r="E38" s="38" t="s">
        <v>1298</v>
      </c>
      <c r="F38" s="39" t="s">
        <v>1299</v>
      </c>
      <c r="G38" s="39">
        <v>15</v>
      </c>
      <c r="H38" s="39"/>
      <c r="I38" s="40" t="s">
        <v>262</v>
      </c>
      <c r="J38" s="41">
        <v>863</v>
      </c>
      <c r="K38" s="41">
        <v>857</v>
      </c>
      <c r="L38" s="41"/>
      <c r="M38" s="42">
        <v>175</v>
      </c>
      <c r="N38" s="42">
        <v>372</v>
      </c>
      <c r="O38" s="43">
        <v>739591</v>
      </c>
      <c r="P38" s="44">
        <v>138269.39000000001</v>
      </c>
      <c r="Q38" s="44">
        <v>321036</v>
      </c>
      <c r="R38" s="45">
        <v>28.949000000000002</v>
      </c>
      <c r="S38" s="46">
        <v>0</v>
      </c>
      <c r="T38" s="39">
        <f t="shared" si="19"/>
        <v>15</v>
      </c>
      <c r="U38" s="47">
        <f t="shared" si="20"/>
        <v>0.59804080225341327</v>
      </c>
      <c r="V38" s="48">
        <f t="shared" si="21"/>
        <v>197</v>
      </c>
      <c r="W38" s="49">
        <f t="shared" si="22"/>
        <v>3.9869386816894219E-2</v>
      </c>
      <c r="X38" s="44">
        <f t="shared" si="23"/>
        <v>14737.316554751971</v>
      </c>
      <c r="Y38" s="44">
        <f t="shared" si="24"/>
        <v>182766.61</v>
      </c>
      <c r="Z38" s="44">
        <f t="shared" si="25"/>
        <v>115482.16532165329</v>
      </c>
      <c r="AA38" s="50">
        <f t="shared" si="26"/>
        <v>335773.31655475195</v>
      </c>
      <c r="AB38" s="51">
        <f t="shared" si="27"/>
        <v>108129.36827870157</v>
      </c>
      <c r="AC38" s="44">
        <f t="shared" si="28"/>
        <v>314394.49115613475</v>
      </c>
      <c r="AD38" s="44">
        <f t="shared" si="29"/>
        <v>230445.41004809673</v>
      </c>
      <c r="AE38" s="44">
        <f t="shared" si="30"/>
        <v>0</v>
      </c>
      <c r="AF38" s="52">
        <f>HLOOKUP(I38,ElecAvoidedCostsWOCC!$A$5:$Q$50,G38+1,FALSE)</f>
        <v>1.0914944041149737</v>
      </c>
      <c r="AG38" s="44">
        <f t="shared" si="31"/>
        <v>807259.43783379742</v>
      </c>
      <c r="AH38" s="52">
        <f>HLOOKUP(I38,ElecAvoidedCostsWOCC!$A$5:$Q$50,T38+1,FALSE)</f>
        <v>1.0914944041149737</v>
      </c>
      <c r="AI38" s="44">
        <f t="shared" si="32"/>
        <v>0</v>
      </c>
      <c r="AJ38" s="44">
        <f t="shared" si="33"/>
        <v>807259.43783379742</v>
      </c>
      <c r="AK38" s="44">
        <f>HLOOKUP(I38,ElecAvoidedCostsWOCC!$A$5:$Q$50,G38+1,FALSE)*J38*L38</f>
        <v>0</v>
      </c>
      <c r="AL38" s="44">
        <f t="shared" si="34"/>
        <v>807259.43783379742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807259.43783379754</v>
      </c>
      <c r="AN38" s="48">
        <f t="shared" si="35"/>
        <v>1118430.7916652742</v>
      </c>
      <c r="AO38" s="47">
        <f t="shared" si="36"/>
        <v>7.4656816245619817</v>
      </c>
      <c r="AP38" s="47">
        <f t="shared" si="37"/>
        <v>3.5574121784145336</v>
      </c>
    </row>
    <row r="39" spans="2:42" x14ac:dyDescent="0.35">
      <c r="B39" s="37"/>
      <c r="C39" s="61"/>
      <c r="D39" s="61"/>
      <c r="E39" s="38" t="s">
        <v>1300</v>
      </c>
      <c r="F39" s="39" t="s">
        <v>1301</v>
      </c>
      <c r="G39" s="39">
        <v>15</v>
      </c>
      <c r="H39" s="39"/>
      <c r="I39" s="40" t="s">
        <v>262</v>
      </c>
      <c r="J39" s="41">
        <v>159</v>
      </c>
      <c r="K39" s="41">
        <v>1042</v>
      </c>
      <c r="L39" s="41"/>
      <c r="M39" s="42">
        <v>210</v>
      </c>
      <c r="N39" s="42">
        <v>292</v>
      </c>
      <c r="O39" s="43">
        <v>165678</v>
      </c>
      <c r="P39" s="44">
        <v>29887.19</v>
      </c>
      <c r="Q39" s="44">
        <v>46428</v>
      </c>
      <c r="R39" s="45">
        <v>35.198999999999998</v>
      </c>
      <c r="S39" s="46">
        <v>0</v>
      </c>
      <c r="T39" s="39">
        <f t="shared" si="19"/>
        <v>15</v>
      </c>
      <c r="U39" s="47">
        <f t="shared" si="20"/>
        <v>0.13396891530013344</v>
      </c>
      <c r="V39" s="48">
        <f t="shared" si="21"/>
        <v>82</v>
      </c>
      <c r="W39" s="49">
        <f t="shared" si="22"/>
        <v>8.9312610200088967E-3</v>
      </c>
      <c r="X39" s="44">
        <f t="shared" si="23"/>
        <v>3301.3505196225983</v>
      </c>
      <c r="Y39" s="44">
        <f t="shared" si="24"/>
        <v>16540.810000000001</v>
      </c>
      <c r="Z39" s="44">
        <f t="shared" si="25"/>
        <v>25869.506505840218</v>
      </c>
      <c r="AA39" s="50">
        <f t="shared" si="26"/>
        <v>49729.350519622596</v>
      </c>
      <c r="AB39" s="51">
        <f t="shared" si="27"/>
        <v>24222.384368764247</v>
      </c>
      <c r="AC39" s="44">
        <f t="shared" si="28"/>
        <v>46563.06228429082</v>
      </c>
      <c r="AD39" s="44">
        <f t="shared" si="29"/>
        <v>51623.940329352525</v>
      </c>
      <c r="AE39" s="44">
        <f t="shared" si="30"/>
        <v>0</v>
      </c>
      <c r="AF39" s="52">
        <f>HLOOKUP(I39,ElecAvoidedCostsWOCC!$A$5:$Q$50,G39+1,FALSE)</f>
        <v>1.0914944041149737</v>
      </c>
      <c r="AG39" s="44">
        <f t="shared" si="31"/>
        <v>180836.60988496061</v>
      </c>
      <c r="AH39" s="52">
        <f>HLOOKUP(I39,ElecAvoidedCostsWOCC!$A$5:$Q$50,T39+1,FALSE)</f>
        <v>1.0914944041149737</v>
      </c>
      <c r="AI39" s="44">
        <f t="shared" si="32"/>
        <v>0</v>
      </c>
      <c r="AJ39" s="44">
        <f t="shared" si="33"/>
        <v>180836.60988496061</v>
      </c>
      <c r="AK39" s="44">
        <f>HLOOKUP(I39,ElecAvoidedCostsWOCC!$A$5:$Q$50,G39+1,FALSE)*J39*L39</f>
        <v>0</v>
      </c>
      <c r="AL39" s="44">
        <f t="shared" si="34"/>
        <v>180836.60988496061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180836.60988496061</v>
      </c>
      <c r="AN39" s="48">
        <f t="shared" si="35"/>
        <v>250544.21120280918</v>
      </c>
      <c r="AO39" s="47">
        <f t="shared" si="36"/>
        <v>7.4656816245619808</v>
      </c>
      <c r="AP39" s="47">
        <f t="shared" si="37"/>
        <v>5.3807502967290093</v>
      </c>
    </row>
    <row r="40" spans="2:42" x14ac:dyDescent="0.35">
      <c r="B40" s="37"/>
      <c r="C40" s="61"/>
      <c r="D40" s="61"/>
      <c r="E40" s="38" t="s">
        <v>1302</v>
      </c>
      <c r="F40" s="39" t="s">
        <v>1303</v>
      </c>
      <c r="G40" s="39">
        <v>15</v>
      </c>
      <c r="H40" s="39"/>
      <c r="I40" s="40" t="s">
        <v>262</v>
      </c>
      <c r="J40" s="41">
        <v>711</v>
      </c>
      <c r="K40" s="41">
        <v>1230</v>
      </c>
      <c r="L40" s="41"/>
      <c r="M40" s="42">
        <v>250</v>
      </c>
      <c r="N40" s="42">
        <v>475</v>
      </c>
      <c r="O40" s="43">
        <v>874530</v>
      </c>
      <c r="P40" s="44">
        <v>165555.03</v>
      </c>
      <c r="Q40" s="44">
        <v>337725</v>
      </c>
      <c r="R40" s="45">
        <v>41.548999999999999</v>
      </c>
      <c r="S40" s="46">
        <v>0</v>
      </c>
      <c r="T40" s="39">
        <f t="shared" si="19"/>
        <v>15</v>
      </c>
      <c r="U40" s="47">
        <f t="shared" si="20"/>
        <v>0.70715384962050298</v>
      </c>
      <c r="V40" s="48">
        <f t="shared" si="21"/>
        <v>225</v>
      </c>
      <c r="W40" s="49">
        <f t="shared" si="22"/>
        <v>4.7143589974700202E-2</v>
      </c>
      <c r="X40" s="44">
        <f t="shared" si="23"/>
        <v>17426.152355325092</v>
      </c>
      <c r="Y40" s="44">
        <f t="shared" si="24"/>
        <v>172169.97</v>
      </c>
      <c r="Z40" s="44">
        <f t="shared" si="25"/>
        <v>136551.98351351684</v>
      </c>
      <c r="AA40" s="50">
        <f t="shared" si="26"/>
        <v>355151.15235532512</v>
      </c>
      <c r="AB40" s="51">
        <f t="shared" si="27"/>
        <v>127857.66246583973</v>
      </c>
      <c r="AC40" s="44">
        <f t="shared" si="28"/>
        <v>332538.5321679074</v>
      </c>
      <c r="AD40" s="44">
        <f t="shared" si="29"/>
        <v>272492.07547619625</v>
      </c>
      <c r="AE40" s="44">
        <f t="shared" si="30"/>
        <v>0</v>
      </c>
      <c r="AF40" s="52">
        <f>HLOOKUP(I40,ElecAvoidedCostsWOCC!$A$5:$Q$50,G40+1,FALSE)</f>
        <v>1.0914944041149737</v>
      </c>
      <c r="AG40" s="44">
        <f t="shared" si="31"/>
        <v>954544.6012306679</v>
      </c>
      <c r="AH40" s="52">
        <f>HLOOKUP(I40,ElecAvoidedCostsWOCC!$A$5:$Q$50,T40+1,FALSE)</f>
        <v>1.0914944041149737</v>
      </c>
      <c r="AI40" s="44">
        <f t="shared" si="32"/>
        <v>0</v>
      </c>
      <c r="AJ40" s="44">
        <f t="shared" si="33"/>
        <v>954544.6012306679</v>
      </c>
      <c r="AK40" s="44">
        <f>HLOOKUP(I40,ElecAvoidedCostsWOCC!$A$5:$Q$50,G40+1,FALSE)*J40*L40</f>
        <v>0</v>
      </c>
      <c r="AL40" s="44">
        <f t="shared" si="34"/>
        <v>954544.6012306679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954544.6012306679</v>
      </c>
      <c r="AN40" s="48">
        <f t="shared" si="35"/>
        <v>1322491.1368299308</v>
      </c>
      <c r="AO40" s="47">
        <f t="shared" si="36"/>
        <v>7.4656816245619817</v>
      </c>
      <c r="AP40" s="47">
        <f t="shared" si="37"/>
        <v>3.9769560784678344</v>
      </c>
    </row>
    <row r="41" spans="2:42" x14ac:dyDescent="0.35">
      <c r="B41" s="37"/>
      <c r="C41" s="61"/>
      <c r="D41" s="61"/>
      <c r="E41" s="38" t="s">
        <v>1304</v>
      </c>
      <c r="F41" s="39" t="s">
        <v>1305</v>
      </c>
      <c r="G41" s="39">
        <v>15</v>
      </c>
      <c r="H41" s="39"/>
      <c r="I41" s="40" t="s">
        <v>262</v>
      </c>
      <c r="J41" s="41">
        <v>682</v>
      </c>
      <c r="K41" s="41">
        <v>3204</v>
      </c>
      <c r="L41" s="41"/>
      <c r="M41" s="42">
        <v>645</v>
      </c>
      <c r="N41" s="42">
        <v>873</v>
      </c>
      <c r="O41" s="43">
        <v>2185128</v>
      </c>
      <c r="P41" s="44">
        <v>289636.65000000002</v>
      </c>
      <c r="Q41" s="44">
        <v>595386</v>
      </c>
      <c r="R41" s="45">
        <v>108.23</v>
      </c>
      <c r="S41" s="46">
        <v>0</v>
      </c>
      <c r="T41" s="39">
        <f t="shared" si="19"/>
        <v>15</v>
      </c>
      <c r="U41" s="47">
        <f t="shared" si="20"/>
        <v>1.7669167176809837</v>
      </c>
      <c r="V41" s="48">
        <f t="shared" si="21"/>
        <v>228</v>
      </c>
      <c r="W41" s="49">
        <f t="shared" si="22"/>
        <v>0.11779444784539891</v>
      </c>
      <c r="X41" s="44">
        <f t="shared" si="23"/>
        <v>43541.529100072963</v>
      </c>
      <c r="Y41" s="44">
        <f t="shared" si="24"/>
        <v>305749.34999999998</v>
      </c>
      <c r="Z41" s="44">
        <f t="shared" si="25"/>
        <v>341193.0552764617</v>
      </c>
      <c r="AA41" s="50">
        <f t="shared" si="26"/>
        <v>638927.52910007292</v>
      </c>
      <c r="AB41" s="51">
        <f t="shared" si="27"/>
        <v>319469.15288058209</v>
      </c>
      <c r="AC41" s="44">
        <f t="shared" si="28"/>
        <v>598246.75009370118</v>
      </c>
      <c r="AD41" s="44">
        <f t="shared" si="29"/>
        <v>680856.72820158594</v>
      </c>
      <c r="AE41" s="44">
        <f t="shared" si="30"/>
        <v>0</v>
      </c>
      <c r="AF41" s="52">
        <f>HLOOKUP(I41,ElecAvoidedCostsWOCC!$A$5:$Q$50,G41+1,FALSE)</f>
        <v>1.0914944041149737</v>
      </c>
      <c r="AG41" s="44">
        <f t="shared" si="31"/>
        <v>2385054.9842749443</v>
      </c>
      <c r="AH41" s="52">
        <f>HLOOKUP(I41,ElecAvoidedCostsWOCC!$A$5:$Q$50,T41+1,FALSE)</f>
        <v>1.0914944041149737</v>
      </c>
      <c r="AI41" s="44">
        <f t="shared" si="32"/>
        <v>0</v>
      </c>
      <c r="AJ41" s="44">
        <f t="shared" si="33"/>
        <v>2385054.9842749443</v>
      </c>
      <c r="AK41" s="44">
        <f>HLOOKUP(I41,ElecAvoidedCostsWOCC!$A$5:$Q$50,G41+1,FALSE)*J41*L41</f>
        <v>0</v>
      </c>
      <c r="AL41" s="44">
        <f t="shared" si="34"/>
        <v>2385054.9842749443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2385054.9842749443</v>
      </c>
      <c r="AN41" s="48">
        <f t="shared" si="35"/>
        <v>3304417.2109040245</v>
      </c>
      <c r="AO41" s="47">
        <f t="shared" si="36"/>
        <v>7.4656816245619817</v>
      </c>
      <c r="AP41" s="47">
        <f t="shared" si="37"/>
        <v>5.5235021508875155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48 R5:S48">
    <cfRule type="expression" dxfId="197" priority="2">
      <formula>ISTEXT(M5)</formula>
    </cfRule>
  </conditionalFormatting>
  <conditionalFormatting sqref="M5:N48 R5:S48">
    <cfRule type="notContainsBlanks" dxfId="196" priority="3">
      <formula>LEN(TRIM(M5))&gt;0</formula>
    </cfRule>
  </conditionalFormatting>
  <conditionalFormatting sqref="R5:S48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30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58.269531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18230716</v>
      </c>
      <c r="D2" s="20" t="s">
        <v>550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18230716</v>
      </c>
      <c r="D5" s="61" t="s">
        <v>550</v>
      </c>
      <c r="E5" s="38" t="s">
        <v>1310</v>
      </c>
      <c r="F5" s="39" t="s">
        <v>1311</v>
      </c>
      <c r="G5" s="39">
        <v>15</v>
      </c>
      <c r="H5" s="39"/>
      <c r="I5" s="40" t="s">
        <v>266</v>
      </c>
      <c r="J5" s="41">
        <v>1</v>
      </c>
      <c r="K5" s="41">
        <v>6255</v>
      </c>
      <c r="L5" s="41"/>
      <c r="M5" s="42">
        <v>3000</v>
      </c>
      <c r="N5" s="42">
        <v>5024.42</v>
      </c>
      <c r="O5" s="43">
        <v>6255</v>
      </c>
      <c r="P5" s="44">
        <v>3000</v>
      </c>
      <c r="Q5" s="44">
        <v>5024.42</v>
      </c>
      <c r="R5" s="45">
        <v>0</v>
      </c>
      <c r="S5" s="46">
        <v>0</v>
      </c>
      <c r="T5" s="39">
        <f t="shared" ref="T5:T8" si="0">G5+H5</f>
        <v>15</v>
      </c>
      <c r="U5" s="47">
        <f t="shared" ref="U5:U36" si="1">(O5/$A$10)*T5</f>
        <v>6.8681849597488118E-2</v>
      </c>
      <c r="V5" s="48">
        <f t="shared" ref="V5:V8" si="2">N5-M5</f>
        <v>2024.42</v>
      </c>
      <c r="W5" s="49">
        <f t="shared" ref="W5:W36" si="3">(O5/A$10)</f>
        <v>4.5787899731658749E-3</v>
      </c>
      <c r="X5" s="44">
        <f t="shared" ref="X5:X36" si="4">W5*A$8</f>
        <v>525.84980661914278</v>
      </c>
      <c r="Y5" s="44">
        <f t="shared" ref="Y5:Y8" si="5">Q5-P5</f>
        <v>2024.42</v>
      </c>
      <c r="Z5" s="44">
        <f t="shared" ref="Z5:Z36" si="6">X5+(A$6*W5)</f>
        <v>2332.649212882945</v>
      </c>
      <c r="AA5" s="50">
        <f t="shared" ref="AA5:AA8" si="7">Q5+X5</f>
        <v>5550.2698066191424</v>
      </c>
      <c r="AB5" s="51">
        <f t="shared" ref="AB5:AC6" si="8">Z5/(1+ElecDiscountRate)^1</f>
        <v>2184.128476482158</v>
      </c>
      <c r="AC5" s="44">
        <f t="shared" si="8"/>
        <v>5196.8818414036914</v>
      </c>
      <c r="AD5" s="44">
        <f t="shared" ref="AD5:AD8" si="9">-PV(ElecDiscountRate,T5,R5)*J5</f>
        <v>0</v>
      </c>
      <c r="AE5" s="44">
        <f t="shared" ref="AE5:AE8" si="10">-PV(ElecDiscountRate,T5,S5)*J5</f>
        <v>0</v>
      </c>
      <c r="AF5" s="52">
        <f>HLOOKUP(I5,ElecAvoidedCostsWOCC!$A$5:$Q$50,G5+1,FALSE)</f>
        <v>1.2903205727715383</v>
      </c>
      <c r="AG5" s="44">
        <f t="shared" ref="AG5:AG8" si="11">AF5*J5*K5</f>
        <v>8070.9551826859724</v>
      </c>
      <c r="AH5" s="52">
        <f>HLOOKUP(I5,ElecAvoidedCostsWOCC!$A$5:$Q$50,T5+1,FALSE)</f>
        <v>1.2903205727715383</v>
      </c>
      <c r="AI5" s="44">
        <f t="shared" ref="AI5:AI8" si="12">AH5*J5*L5</f>
        <v>0</v>
      </c>
      <c r="AJ5" s="44">
        <f t="shared" ref="AJ5:AJ8" si="13">AG5+AI5</f>
        <v>8070.9551826859724</v>
      </c>
      <c r="AK5" s="44">
        <f>HLOOKUP(I5,ElecAvoidedCostsWOCC!$A$5:$Q$50,G5+1,FALSE)*J5*L5</f>
        <v>0</v>
      </c>
      <c r="AL5" s="44">
        <f t="shared" ref="AL5:AL8" si="14">AG5+AI5-AK5</f>
        <v>8070.9551826859724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8070.9551826859724</v>
      </c>
      <c r="AN5" s="48">
        <f t="shared" ref="AN5:AN8" si="15">AM5*1.1+AD5+AE5</f>
        <v>8878.0507009545709</v>
      </c>
      <c r="AO5" s="47">
        <f t="shared" ref="AO5:AO8" si="16">IFERROR(AM5/AB5,0)</f>
        <v>3.6952749206792843</v>
      </c>
      <c r="AP5" s="47">
        <f t="shared" ref="AP5:AP8" si="17">AN5/AC5</f>
        <v>1.7083418426455095</v>
      </c>
    </row>
    <row r="6" spans="1:42" ht="13.5" customHeight="1" x14ac:dyDescent="0.35">
      <c r="A6" s="53">
        <f>SUMIF('Program Costs'!C:C,D2,'Program Costs'!L:L)</f>
        <v>394601.94</v>
      </c>
      <c r="B6" s="97" t="s">
        <v>67</v>
      </c>
      <c r="C6" s="98">
        <v>18230716</v>
      </c>
      <c r="D6" s="61" t="s">
        <v>550</v>
      </c>
      <c r="E6" s="38" t="s">
        <v>1318</v>
      </c>
      <c r="F6" s="39" t="s">
        <v>1319</v>
      </c>
      <c r="G6" s="39">
        <v>15</v>
      </c>
      <c r="H6" s="39"/>
      <c r="I6" s="40" t="s">
        <v>266</v>
      </c>
      <c r="J6" s="41">
        <v>1</v>
      </c>
      <c r="K6" s="41">
        <v>2502</v>
      </c>
      <c r="L6" s="41"/>
      <c r="M6" s="42">
        <v>1200</v>
      </c>
      <c r="N6" s="42">
        <v>2009.77</v>
      </c>
      <c r="O6" s="43">
        <v>2502</v>
      </c>
      <c r="P6" s="44">
        <v>1200</v>
      </c>
      <c r="Q6" s="44">
        <v>2009.77</v>
      </c>
      <c r="R6" s="45">
        <v>0</v>
      </c>
      <c r="S6" s="46">
        <v>0</v>
      </c>
      <c r="T6" s="39">
        <f t="shared" si="0"/>
        <v>15</v>
      </c>
      <c r="U6" s="47">
        <f t="shared" si="1"/>
        <v>2.7472739838995251E-2</v>
      </c>
      <c r="V6" s="48">
        <f t="shared" si="2"/>
        <v>809.77</v>
      </c>
      <c r="W6" s="49">
        <f t="shared" si="3"/>
        <v>1.8315159892663502E-3</v>
      </c>
      <c r="X6" s="44">
        <f t="shared" si="4"/>
        <v>210.33992264765715</v>
      </c>
      <c r="Y6" s="44">
        <f t="shared" si="5"/>
        <v>809.77</v>
      </c>
      <c r="Z6" s="44">
        <f t="shared" si="6"/>
        <v>933.05968515317818</v>
      </c>
      <c r="AA6" s="50">
        <f t="shared" si="7"/>
        <v>2220.1099226476572</v>
      </c>
      <c r="AB6" s="51">
        <f t="shared" si="8"/>
        <v>873.65139059286344</v>
      </c>
      <c r="AC6" s="44">
        <f t="shared" si="8"/>
        <v>2078.7546092206526</v>
      </c>
      <c r="AD6" s="44">
        <f t="shared" si="9"/>
        <v>0</v>
      </c>
      <c r="AE6" s="44">
        <f t="shared" si="10"/>
        <v>0</v>
      </c>
      <c r="AF6" s="52">
        <f>HLOOKUP(I6,ElecAvoidedCostsWOCC!$A$5:$Q$50,G6+1,FALSE)</f>
        <v>1.2903205727715383</v>
      </c>
      <c r="AG6" s="44">
        <f t="shared" si="11"/>
        <v>3228.3820730743887</v>
      </c>
      <c r="AH6" s="52">
        <f>HLOOKUP(I6,ElecAvoidedCostsWOCC!$A$5:$Q$50,T6+1,FALSE)</f>
        <v>1.2903205727715383</v>
      </c>
      <c r="AI6" s="44">
        <f t="shared" si="12"/>
        <v>0</v>
      </c>
      <c r="AJ6" s="44">
        <f t="shared" si="13"/>
        <v>3228.3820730743887</v>
      </c>
      <c r="AK6" s="44">
        <f>HLOOKUP(I6,ElecAvoidedCostsWOCC!$A$5:$Q$50,G6+1,FALSE)*J6*L6</f>
        <v>0</v>
      </c>
      <c r="AL6" s="44">
        <f t="shared" si="14"/>
        <v>3228.3820730743887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3228.3820730743887</v>
      </c>
      <c r="AN6" s="48">
        <f t="shared" si="15"/>
        <v>3551.2202803818277</v>
      </c>
      <c r="AO6" s="47">
        <f t="shared" si="16"/>
        <v>3.695274920679283</v>
      </c>
      <c r="AP6" s="47">
        <f t="shared" si="17"/>
        <v>1.7083403036750058</v>
      </c>
    </row>
    <row r="7" spans="1:42" ht="13.5" customHeight="1" x14ac:dyDescent="0.35">
      <c r="A7" s="36" t="s">
        <v>240</v>
      </c>
      <c r="B7" s="97" t="s">
        <v>67</v>
      </c>
      <c r="C7" s="98">
        <v>18230716</v>
      </c>
      <c r="D7" s="61" t="s">
        <v>550</v>
      </c>
      <c r="E7" s="38" t="s">
        <v>1320</v>
      </c>
      <c r="F7" s="39" t="s">
        <v>1321</v>
      </c>
      <c r="G7" s="39">
        <v>15</v>
      </c>
      <c r="H7" s="39"/>
      <c r="I7" s="40" t="s">
        <v>266</v>
      </c>
      <c r="J7" s="41">
        <v>1</v>
      </c>
      <c r="K7" s="41">
        <v>3753</v>
      </c>
      <c r="L7" s="41"/>
      <c r="M7" s="42">
        <v>1800</v>
      </c>
      <c r="N7" s="42">
        <v>3014.65</v>
      </c>
      <c r="O7" s="43">
        <v>3753</v>
      </c>
      <c r="P7" s="44">
        <v>1800</v>
      </c>
      <c r="Q7" s="44">
        <v>3014.65</v>
      </c>
      <c r="R7" s="45">
        <v>0</v>
      </c>
      <c r="S7" s="46">
        <v>0</v>
      </c>
      <c r="T7" s="39">
        <f t="shared" si="0"/>
        <v>15</v>
      </c>
      <c r="U7" s="47">
        <f t="shared" si="1"/>
        <v>4.1209109758492873E-2</v>
      </c>
      <c r="V7" s="48">
        <f t="shared" si="2"/>
        <v>1214.6500000000001</v>
      </c>
      <c r="W7" s="49">
        <f t="shared" si="3"/>
        <v>2.747273983899525E-3</v>
      </c>
      <c r="X7" s="44">
        <f t="shared" si="4"/>
        <v>315.50988397148569</v>
      </c>
      <c r="Y7" s="44">
        <f t="shared" si="5"/>
        <v>1214.6500000000001</v>
      </c>
      <c r="Z7" s="44">
        <f t="shared" si="6"/>
        <v>1399.5895277297668</v>
      </c>
      <c r="AA7" s="50">
        <f t="shared" si="7"/>
        <v>3330.1598839714857</v>
      </c>
      <c r="AB7" s="51">
        <f>Z7/(1+ElecDiscountRate)^1</f>
        <v>1310.4770858892946</v>
      </c>
      <c r="AC7" s="44">
        <f>AA7/(1+ElecDiscountRate)^1</f>
        <v>3118.1272321830388</v>
      </c>
      <c r="AD7" s="44">
        <f t="shared" si="9"/>
        <v>0</v>
      </c>
      <c r="AE7" s="44">
        <f t="shared" si="10"/>
        <v>0</v>
      </c>
      <c r="AF7" s="52">
        <f>HLOOKUP(I7,ElecAvoidedCostsWOCC!$A$5:$Q$50,G7+1,FALSE)</f>
        <v>1.2903205727715383</v>
      </c>
      <c r="AG7" s="44">
        <f t="shared" si="11"/>
        <v>4842.5731096115833</v>
      </c>
      <c r="AH7" s="52">
        <f>HLOOKUP(I7,ElecAvoidedCostsWOCC!$A$5:$Q$50,T7+1,FALSE)</f>
        <v>1.2903205727715383</v>
      </c>
      <c r="AI7" s="44">
        <f t="shared" si="12"/>
        <v>0</v>
      </c>
      <c r="AJ7" s="44">
        <f t="shared" si="13"/>
        <v>4842.5731096115833</v>
      </c>
      <c r="AK7" s="44">
        <f>HLOOKUP(I7,ElecAvoidedCostsWOCC!$A$5:$Q$50,G7+1,FALSE)*J7*L7</f>
        <v>0</v>
      </c>
      <c r="AL7" s="44">
        <f t="shared" si="14"/>
        <v>4842.5731096115833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4842.5731096115833</v>
      </c>
      <c r="AN7" s="48">
        <f t="shared" si="15"/>
        <v>5326.8304205727418</v>
      </c>
      <c r="AO7" s="47">
        <f t="shared" si="16"/>
        <v>3.6952749206792848</v>
      </c>
      <c r="AP7" s="47">
        <f t="shared" si="17"/>
        <v>1.7083428686273854</v>
      </c>
    </row>
    <row r="8" spans="1:42" ht="13.5" customHeight="1" x14ac:dyDescent="0.35">
      <c r="A8" s="53">
        <f>SUMIF('Program Costs'!C:C,D2,'Program Costs'!O:O)</f>
        <v>114844.71000000002</v>
      </c>
      <c r="B8" s="97" t="s">
        <v>67</v>
      </c>
      <c r="C8" s="98">
        <v>18230716</v>
      </c>
      <c r="D8" s="61" t="s">
        <v>550</v>
      </c>
      <c r="E8" s="38" t="s">
        <v>1322</v>
      </c>
      <c r="F8" s="39" t="s">
        <v>1323</v>
      </c>
      <c r="G8" s="39">
        <v>15</v>
      </c>
      <c r="H8" s="39"/>
      <c r="I8" s="40" t="s">
        <v>266</v>
      </c>
      <c r="J8" s="41">
        <v>2</v>
      </c>
      <c r="K8" s="41">
        <v>5004</v>
      </c>
      <c r="L8" s="41"/>
      <c r="M8" s="42">
        <v>2400</v>
      </c>
      <c r="N8" s="42">
        <v>4019.54</v>
      </c>
      <c r="O8" s="43">
        <v>10008</v>
      </c>
      <c r="P8" s="44">
        <v>4800</v>
      </c>
      <c r="Q8" s="44">
        <v>8039.08</v>
      </c>
      <c r="R8" s="45">
        <v>0</v>
      </c>
      <c r="S8" s="46">
        <v>0</v>
      </c>
      <c r="T8" s="39">
        <f t="shared" si="0"/>
        <v>15</v>
      </c>
      <c r="U8" s="47">
        <f t="shared" si="1"/>
        <v>0.109890959355981</v>
      </c>
      <c r="V8" s="48">
        <f t="shared" si="2"/>
        <v>1619.54</v>
      </c>
      <c r="W8" s="49">
        <f t="shared" si="3"/>
        <v>7.3260639570654007E-3</v>
      </c>
      <c r="X8" s="44">
        <f t="shared" si="4"/>
        <v>841.35969059062859</v>
      </c>
      <c r="Y8" s="44">
        <f t="shared" si="5"/>
        <v>3239.08</v>
      </c>
      <c r="Z8" s="44">
        <f t="shared" si="6"/>
        <v>3732.2387406127127</v>
      </c>
      <c r="AA8" s="50">
        <f t="shared" si="7"/>
        <v>8880.4396905906287</v>
      </c>
      <c r="AB8" s="51">
        <f>Z8/(1+ElecDiscountRate)^1</f>
        <v>3494.6055623714537</v>
      </c>
      <c r="AC8" s="44">
        <f>AA8/(1+ElecDiscountRate)^1</f>
        <v>8315.0184368826103</v>
      </c>
      <c r="AD8" s="44">
        <f t="shared" si="9"/>
        <v>0</v>
      </c>
      <c r="AE8" s="44">
        <f t="shared" si="10"/>
        <v>0</v>
      </c>
      <c r="AF8" s="52">
        <f>HLOOKUP(I8,ElecAvoidedCostsWOCC!$A$5:$Q$50,G8+1,FALSE)</f>
        <v>1.2903205727715383</v>
      </c>
      <c r="AG8" s="44">
        <f t="shared" si="11"/>
        <v>12913.528292297555</v>
      </c>
      <c r="AH8" s="52">
        <f>HLOOKUP(I8,ElecAvoidedCostsWOCC!$A$5:$Q$50,T8+1,FALSE)</f>
        <v>1.2903205727715383</v>
      </c>
      <c r="AI8" s="44">
        <f t="shared" si="12"/>
        <v>0</v>
      </c>
      <c r="AJ8" s="44">
        <f t="shared" si="13"/>
        <v>12913.528292297555</v>
      </c>
      <c r="AK8" s="44">
        <f>HLOOKUP(I8,ElecAvoidedCostsWOCC!$A$5:$Q$50,G8+1,FALSE)*J8*L8</f>
        <v>0</v>
      </c>
      <c r="AL8" s="44">
        <f t="shared" si="14"/>
        <v>12913.528292297555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12913.528292297555</v>
      </c>
      <c r="AN8" s="48">
        <f t="shared" si="15"/>
        <v>14204.881121527311</v>
      </c>
      <c r="AO8" s="47">
        <f t="shared" si="16"/>
        <v>3.695274920679283</v>
      </c>
      <c r="AP8" s="47">
        <f t="shared" si="17"/>
        <v>1.7083403036750058</v>
      </c>
    </row>
    <row r="9" spans="1:42" ht="13.5" customHeight="1" x14ac:dyDescent="0.35">
      <c r="A9" s="36" t="s">
        <v>242</v>
      </c>
      <c r="B9" s="97" t="s">
        <v>67</v>
      </c>
      <c r="C9" s="98">
        <v>18230716</v>
      </c>
      <c r="D9" s="61" t="s">
        <v>550</v>
      </c>
      <c r="E9" s="38" t="s">
        <v>1324</v>
      </c>
      <c r="F9" s="39" t="s">
        <v>1325</v>
      </c>
      <c r="G9" s="39">
        <v>15</v>
      </c>
      <c r="H9" s="39"/>
      <c r="I9" s="40" t="s">
        <v>266</v>
      </c>
      <c r="J9" s="41">
        <v>1</v>
      </c>
      <c r="K9" s="41">
        <v>12510</v>
      </c>
      <c r="L9" s="41"/>
      <c r="M9" s="42">
        <v>6000</v>
      </c>
      <c r="N9" s="42">
        <v>10048.85</v>
      </c>
      <c r="O9" s="43">
        <v>12510</v>
      </c>
      <c r="P9" s="44">
        <v>6000</v>
      </c>
      <c r="Q9" s="44">
        <v>10048.85</v>
      </c>
      <c r="R9" s="45">
        <v>0</v>
      </c>
      <c r="S9" s="46">
        <v>0</v>
      </c>
      <c r="T9" s="39">
        <f t="shared" ref="T9:T36" si="18">G9+H9</f>
        <v>15</v>
      </c>
      <c r="U9" s="47">
        <f t="shared" si="1"/>
        <v>0.13736369919497624</v>
      </c>
      <c r="V9" s="48">
        <f t="shared" ref="V9:V36" si="19">N9-M9</f>
        <v>4048.8500000000004</v>
      </c>
      <c r="W9" s="49">
        <f t="shared" si="3"/>
        <v>9.1575799463317498E-3</v>
      </c>
      <c r="X9" s="44">
        <f t="shared" si="4"/>
        <v>1051.6996132382856</v>
      </c>
      <c r="Y9" s="44">
        <f t="shared" ref="Y9:Y36" si="20">Q9-P9</f>
        <v>4048.8500000000004</v>
      </c>
      <c r="Z9" s="44">
        <f t="shared" si="6"/>
        <v>4665.29842576589</v>
      </c>
      <c r="AA9" s="50">
        <f t="shared" ref="AA9:AA36" si="21">Q9+X9</f>
        <v>11100.549613238287</v>
      </c>
      <c r="AB9" s="51">
        <f t="shared" ref="AB9:AB36" si="22">Z9/(1+ElecDiscountRate)^1</f>
        <v>4368.256952964316</v>
      </c>
      <c r="AC9" s="44">
        <f t="shared" ref="AC9:AC36" si="23">AA9/(1+ElecDiscountRate)^1</f>
        <v>10393.773046103264</v>
      </c>
      <c r="AD9" s="44">
        <f t="shared" ref="AD9:AD36" si="24">-PV(ElecDiscountRate,T9,R9)*J9</f>
        <v>0</v>
      </c>
      <c r="AE9" s="44">
        <f t="shared" ref="AE9:AE36" si="25">-PV(ElecDiscountRate,T9,S9)*J9</f>
        <v>0</v>
      </c>
      <c r="AF9" s="52">
        <f>HLOOKUP(I9,ElecAvoidedCostsWOCC!$A$5:$Q$50,G9+1,FALSE)</f>
        <v>1.2903205727715383</v>
      </c>
      <c r="AG9" s="44">
        <f t="shared" ref="AG9:AG36" si="26">AF9*J9*K9</f>
        <v>16141.910365371945</v>
      </c>
      <c r="AH9" s="52">
        <f>HLOOKUP(I9,ElecAvoidedCostsWOCC!$A$5:$Q$50,T9+1,FALSE)</f>
        <v>1.2903205727715383</v>
      </c>
      <c r="AI9" s="44">
        <f t="shared" ref="AI9:AI36" si="27">AH9*J9*L9</f>
        <v>0</v>
      </c>
      <c r="AJ9" s="44">
        <f t="shared" ref="AJ9:AJ36" si="28">AG9+AI9</f>
        <v>16141.910365371945</v>
      </c>
      <c r="AK9" s="44">
        <f>HLOOKUP(I9,ElecAvoidedCostsWOCC!$A$5:$Q$50,G9+1,FALSE)*J9*L9</f>
        <v>0</v>
      </c>
      <c r="AL9" s="44">
        <f t="shared" ref="AL9:AL36" si="29">AG9+AI9-AK9</f>
        <v>16141.910365371945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16141.910365371945</v>
      </c>
      <c r="AN9" s="48">
        <f t="shared" ref="AN9:AN36" si="30">AM9*1.1+AD9+AE9</f>
        <v>17756.101401909142</v>
      </c>
      <c r="AO9" s="47">
        <f t="shared" ref="AO9:AO36" si="31">IFERROR(AM9/AB9,0)</f>
        <v>3.6952749206792843</v>
      </c>
      <c r="AP9" s="47">
        <f t="shared" ref="AP9:AP36" si="32">AN9/AC9</f>
        <v>1.708340303675006</v>
      </c>
    </row>
    <row r="10" spans="1:42" ht="13.5" customHeight="1" x14ac:dyDescent="0.35">
      <c r="A10" s="54">
        <f>SUM(O5:O935)</f>
        <v>1366081.44</v>
      </c>
      <c r="B10" s="97" t="s">
        <v>67</v>
      </c>
      <c r="C10" s="98">
        <v>18230716</v>
      </c>
      <c r="D10" s="61" t="s">
        <v>550</v>
      </c>
      <c r="E10" s="38" t="s">
        <v>1326</v>
      </c>
      <c r="F10" s="39" t="s">
        <v>1327</v>
      </c>
      <c r="G10" s="39">
        <v>15</v>
      </c>
      <c r="H10" s="39"/>
      <c r="I10" s="40" t="s">
        <v>266</v>
      </c>
      <c r="J10" s="41">
        <v>1</v>
      </c>
      <c r="K10" s="41">
        <v>35028</v>
      </c>
      <c r="L10" s="41"/>
      <c r="M10" s="42">
        <v>16800</v>
      </c>
      <c r="N10" s="42">
        <v>28136.77</v>
      </c>
      <c r="O10" s="43">
        <v>35028</v>
      </c>
      <c r="P10" s="44">
        <v>16800</v>
      </c>
      <c r="Q10" s="44">
        <v>28136.77</v>
      </c>
      <c r="R10" s="45">
        <v>0</v>
      </c>
      <c r="S10" s="46">
        <v>0</v>
      </c>
      <c r="T10" s="39">
        <f t="shared" si="18"/>
        <v>15</v>
      </c>
      <c r="U10" s="47">
        <f t="shared" si="1"/>
        <v>0.38461835774593356</v>
      </c>
      <c r="V10" s="48">
        <f t="shared" si="19"/>
        <v>11336.77</v>
      </c>
      <c r="W10" s="49">
        <f t="shared" si="3"/>
        <v>2.5641223849728903E-2</v>
      </c>
      <c r="X10" s="44">
        <f t="shared" si="4"/>
        <v>2944.7589170671999</v>
      </c>
      <c r="Y10" s="44">
        <f t="shared" si="20"/>
        <v>11336.77</v>
      </c>
      <c r="Z10" s="44">
        <f t="shared" si="6"/>
        <v>13062.835592144495</v>
      </c>
      <c r="AA10" s="50">
        <f t="shared" si="21"/>
        <v>31081.5289170672</v>
      </c>
      <c r="AB10" s="51">
        <f t="shared" si="22"/>
        <v>12231.119468300089</v>
      </c>
      <c r="AC10" s="44">
        <f t="shared" si="23"/>
        <v>29102.555165793256</v>
      </c>
      <c r="AD10" s="44">
        <f t="shared" si="24"/>
        <v>0</v>
      </c>
      <c r="AE10" s="44">
        <f t="shared" si="25"/>
        <v>0</v>
      </c>
      <c r="AF10" s="52">
        <f>HLOOKUP(I10,ElecAvoidedCostsWOCC!$A$5:$Q$50,G10+1,FALSE)</f>
        <v>1.2903205727715383</v>
      </c>
      <c r="AG10" s="44">
        <f t="shared" si="26"/>
        <v>45197.349023041446</v>
      </c>
      <c r="AH10" s="52">
        <f>HLOOKUP(I10,ElecAvoidedCostsWOCC!$A$5:$Q$50,T10+1,FALSE)</f>
        <v>1.2903205727715383</v>
      </c>
      <c r="AI10" s="44">
        <f t="shared" si="27"/>
        <v>0</v>
      </c>
      <c r="AJ10" s="44">
        <f t="shared" si="28"/>
        <v>45197.349023041446</v>
      </c>
      <c r="AK10" s="44">
        <f>HLOOKUP(I10,ElecAvoidedCostsWOCC!$A$5:$Q$50,G10+1,FALSE)*J10*L10</f>
        <v>0</v>
      </c>
      <c r="AL10" s="44">
        <f t="shared" si="29"/>
        <v>45197.349023041446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45197.349023041446</v>
      </c>
      <c r="AN10" s="48">
        <f t="shared" si="30"/>
        <v>49717.083925345592</v>
      </c>
      <c r="AO10" s="47">
        <f t="shared" si="31"/>
        <v>3.6952749206792834</v>
      </c>
      <c r="AP10" s="47">
        <f t="shared" si="32"/>
        <v>1.7083408533070104</v>
      </c>
    </row>
    <row r="11" spans="1:42" ht="13.5" customHeight="1" x14ac:dyDescent="0.35">
      <c r="A11" s="36" t="s">
        <v>243</v>
      </c>
      <c r="B11" s="97" t="s">
        <v>67</v>
      </c>
      <c r="C11" s="98">
        <v>18230716</v>
      </c>
      <c r="D11" s="61" t="s">
        <v>550</v>
      </c>
      <c r="E11" s="38" t="s">
        <v>1330</v>
      </c>
      <c r="F11" s="39" t="s">
        <v>1331</v>
      </c>
      <c r="G11" s="39">
        <v>10</v>
      </c>
      <c r="H11" s="39"/>
      <c r="I11" s="40" t="s">
        <v>265</v>
      </c>
      <c r="J11" s="41">
        <v>11</v>
      </c>
      <c r="K11" s="41">
        <v>666</v>
      </c>
      <c r="L11" s="41"/>
      <c r="M11" s="42">
        <v>250</v>
      </c>
      <c r="N11" s="42">
        <v>272.88</v>
      </c>
      <c r="O11" s="43">
        <v>7326</v>
      </c>
      <c r="P11" s="44">
        <v>2750</v>
      </c>
      <c r="Q11" s="44">
        <v>3001.68</v>
      </c>
      <c r="R11" s="45">
        <v>878.03</v>
      </c>
      <c r="S11" s="46">
        <v>0</v>
      </c>
      <c r="T11" s="39">
        <f t="shared" si="18"/>
        <v>10</v>
      </c>
      <c r="U11" s="47">
        <f t="shared" si="1"/>
        <v>5.362784227564061E-2</v>
      </c>
      <c r="V11" s="48">
        <f t="shared" si="19"/>
        <v>22.879999999999995</v>
      </c>
      <c r="W11" s="49">
        <f t="shared" si="3"/>
        <v>5.3627842275640611E-3</v>
      </c>
      <c r="X11" s="44">
        <f t="shared" si="4"/>
        <v>615.88739940716869</v>
      </c>
      <c r="Y11" s="44">
        <f t="shared" si="20"/>
        <v>251.67999999999984</v>
      </c>
      <c r="Z11" s="44">
        <f t="shared" si="6"/>
        <v>2732.0524594053486</v>
      </c>
      <c r="AA11" s="50">
        <f t="shared" si="21"/>
        <v>3617.5673994071685</v>
      </c>
      <c r="AB11" s="51">
        <f t="shared" si="22"/>
        <v>2558.1015537503263</v>
      </c>
      <c r="AC11" s="44">
        <f t="shared" si="23"/>
        <v>3387.2353927033409</v>
      </c>
      <c r="AD11" s="44">
        <f t="shared" si="24"/>
        <v>68467.67901665275</v>
      </c>
      <c r="AE11" s="44">
        <f t="shared" si="25"/>
        <v>0</v>
      </c>
      <c r="AF11" s="52">
        <f>HLOOKUP(I11,ElecAvoidedCostsWOCC!$A$5:$Q$50,G11+1,FALSE)</f>
        <v>0.75060359248592257</v>
      </c>
      <c r="AG11" s="44">
        <f t="shared" si="26"/>
        <v>5498.9219185518687</v>
      </c>
      <c r="AH11" s="52">
        <f>HLOOKUP(I11,ElecAvoidedCostsWOCC!$A$5:$Q$50,T11+1,FALSE)</f>
        <v>0.75060359248592257</v>
      </c>
      <c r="AI11" s="44">
        <f t="shared" si="27"/>
        <v>0</v>
      </c>
      <c r="AJ11" s="44">
        <f t="shared" si="28"/>
        <v>5498.9219185518687</v>
      </c>
      <c r="AK11" s="44">
        <f>HLOOKUP(I11,ElecAvoidedCostsWOCC!$A$5:$Q$50,G11+1,FALSE)*J11*L11</f>
        <v>0</v>
      </c>
      <c r="AL11" s="44">
        <f t="shared" si="29"/>
        <v>5498.9219185518687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5498.9219185518687</v>
      </c>
      <c r="AN11" s="48">
        <f t="shared" si="30"/>
        <v>74516.493127059803</v>
      </c>
      <c r="AO11" s="47">
        <f t="shared" si="31"/>
        <v>2.1496104837941745</v>
      </c>
      <c r="AP11" s="47">
        <f t="shared" si="32"/>
        <v>21.999207166877305</v>
      </c>
    </row>
    <row r="12" spans="1:42" ht="13.5" customHeight="1" x14ac:dyDescent="0.35">
      <c r="A12" s="55">
        <f>SUM(P5:P936)</f>
        <v>258085</v>
      </c>
      <c r="B12" s="97" t="s">
        <v>67</v>
      </c>
      <c r="C12" s="98">
        <v>18230716</v>
      </c>
      <c r="D12" s="61" t="s">
        <v>550</v>
      </c>
      <c r="E12" s="38" t="s">
        <v>1332</v>
      </c>
      <c r="F12" s="39" t="s">
        <v>1333</v>
      </c>
      <c r="G12" s="39">
        <v>10</v>
      </c>
      <c r="H12" s="39"/>
      <c r="I12" s="40" t="s">
        <v>265</v>
      </c>
      <c r="J12" s="41">
        <v>1</v>
      </c>
      <c r="K12" s="41">
        <v>414</v>
      </c>
      <c r="L12" s="41"/>
      <c r="M12" s="42">
        <v>175</v>
      </c>
      <c r="N12" s="42">
        <v>199.15</v>
      </c>
      <c r="O12" s="43">
        <v>414</v>
      </c>
      <c r="P12" s="44">
        <v>175</v>
      </c>
      <c r="Q12" s="44">
        <v>199.15</v>
      </c>
      <c r="R12" s="45">
        <v>878.03</v>
      </c>
      <c r="S12" s="46">
        <v>0</v>
      </c>
      <c r="T12" s="39">
        <f t="shared" si="18"/>
        <v>10</v>
      </c>
      <c r="U12" s="47">
        <f t="shared" si="1"/>
        <v>3.0305660254047522E-3</v>
      </c>
      <c r="V12" s="48">
        <f t="shared" si="19"/>
        <v>24.150000000000006</v>
      </c>
      <c r="W12" s="49">
        <f t="shared" si="3"/>
        <v>3.030566025404752E-4</v>
      </c>
      <c r="X12" s="44">
        <f t="shared" si="4"/>
        <v>34.804447632346147</v>
      </c>
      <c r="Y12" s="44">
        <f t="shared" si="20"/>
        <v>24.150000000000006</v>
      </c>
      <c r="Z12" s="44">
        <f t="shared" si="6"/>
        <v>154.39117092462658</v>
      </c>
      <c r="AA12" s="50">
        <f t="shared" si="21"/>
        <v>233.95444763234616</v>
      </c>
      <c r="AB12" s="51">
        <f t="shared" si="22"/>
        <v>144.56102146500615</v>
      </c>
      <c r="AC12" s="44">
        <f t="shared" si="23"/>
        <v>219.05847156586717</v>
      </c>
      <c r="AD12" s="44">
        <f t="shared" si="24"/>
        <v>6224.3344560593405</v>
      </c>
      <c r="AE12" s="44">
        <f t="shared" si="25"/>
        <v>0</v>
      </c>
      <c r="AF12" s="52">
        <f>HLOOKUP(I12,ElecAvoidedCostsWOCC!$A$5:$Q$50,G12+1,FALSE)</f>
        <v>0.75060359248592257</v>
      </c>
      <c r="AG12" s="44">
        <f t="shared" si="26"/>
        <v>310.74988728917197</v>
      </c>
      <c r="AH12" s="52">
        <f>HLOOKUP(I12,ElecAvoidedCostsWOCC!$A$5:$Q$50,T12+1,FALSE)</f>
        <v>0.75060359248592257</v>
      </c>
      <c r="AI12" s="44">
        <f t="shared" si="27"/>
        <v>0</v>
      </c>
      <c r="AJ12" s="44">
        <f t="shared" si="28"/>
        <v>310.74988728917197</v>
      </c>
      <c r="AK12" s="44">
        <f>HLOOKUP(I12,ElecAvoidedCostsWOCC!$A$5:$Q$50,G12+1,FALSE)*J12*L12</f>
        <v>0</v>
      </c>
      <c r="AL12" s="44">
        <f t="shared" si="29"/>
        <v>310.74988728917197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310.74988728917197</v>
      </c>
      <c r="AN12" s="48">
        <f t="shared" si="30"/>
        <v>6566.15933207743</v>
      </c>
      <c r="AO12" s="47">
        <f t="shared" si="31"/>
        <v>2.149610483794175</v>
      </c>
      <c r="AP12" s="47">
        <f t="shared" si="32"/>
        <v>29.974459719094213</v>
      </c>
    </row>
    <row r="13" spans="1:42" ht="13.5" customHeight="1" x14ac:dyDescent="0.35">
      <c r="A13" s="56" t="s">
        <v>246</v>
      </c>
      <c r="B13" s="97" t="s">
        <v>67</v>
      </c>
      <c r="C13" s="98">
        <v>18230716</v>
      </c>
      <c r="D13" s="61" t="s">
        <v>550</v>
      </c>
      <c r="E13" s="38" t="s">
        <v>1334</v>
      </c>
      <c r="F13" s="39" t="s">
        <v>1335</v>
      </c>
      <c r="G13" s="39"/>
      <c r="H13" s="39"/>
      <c r="I13" s="40"/>
      <c r="J13" s="41">
        <v>6</v>
      </c>
      <c r="K13" s="41">
        <v>0</v>
      </c>
      <c r="L13" s="41"/>
      <c r="M13" s="42">
        <v>25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18"/>
        <v>0</v>
      </c>
      <c r="U13" s="47">
        <f t="shared" si="1"/>
        <v>0</v>
      </c>
      <c r="V13" s="48">
        <f t="shared" si="19"/>
        <v>-25</v>
      </c>
      <c r="W13" s="49">
        <f t="shared" si="3"/>
        <v>0</v>
      </c>
      <c r="X13" s="44">
        <f t="shared" si="4"/>
        <v>0</v>
      </c>
      <c r="Y13" s="44">
        <f t="shared" si="20"/>
        <v>-150</v>
      </c>
      <c r="Z13" s="44">
        <f t="shared" si="6"/>
        <v>0</v>
      </c>
      <c r="AA13" s="50">
        <f t="shared" si="21"/>
        <v>0</v>
      </c>
      <c r="AB13" s="51">
        <f t="shared" si="22"/>
        <v>0</v>
      </c>
      <c r="AC13" s="44">
        <f t="shared" si="23"/>
        <v>0</v>
      </c>
      <c r="AD13" s="44">
        <f t="shared" si="24"/>
        <v>0</v>
      </c>
      <c r="AE13" s="44">
        <f t="shared" si="25"/>
        <v>0</v>
      </c>
      <c r="AF13" s="52" t="e">
        <f>HLOOKUP(I13,ElecAvoidedCostsWOCC!$A$5:$Q$50,G13+1,FALSE)</f>
        <v>#N/A</v>
      </c>
      <c r="AG13" s="44" t="e">
        <f t="shared" si="26"/>
        <v>#N/A</v>
      </c>
      <c r="AH13" s="52" t="e">
        <f>HLOOKUP(I13,ElecAvoidedCostsWOCC!$A$5:$Q$50,T13+1,FALSE)</f>
        <v>#N/A</v>
      </c>
      <c r="AI13" s="44" t="e">
        <f t="shared" si="27"/>
        <v>#N/A</v>
      </c>
      <c r="AJ13" s="44" t="e">
        <f t="shared" si="28"/>
        <v>#N/A</v>
      </c>
      <c r="AK13" s="44" t="e">
        <f>HLOOKUP(I13,ElecAvoidedCostsWOCC!$A$5:$Q$50,G13+1,FALSE)*J13*L13</f>
        <v>#N/A</v>
      </c>
      <c r="AL13" s="44" t="e">
        <f t="shared" si="29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30"/>
        <v>0</v>
      </c>
      <c r="AO13" s="47">
        <f t="shared" si="31"/>
        <v>0</v>
      </c>
      <c r="AP13" s="47" t="e">
        <f t="shared" si="32"/>
        <v>#DIV/0!</v>
      </c>
    </row>
    <row r="14" spans="1:42" ht="13.5" customHeight="1" x14ac:dyDescent="0.35">
      <c r="A14" s="55">
        <f>SUM(Y5:Y936)</f>
        <v>-7156.0699999999961</v>
      </c>
      <c r="B14" s="97" t="s">
        <v>67</v>
      </c>
      <c r="C14" s="98">
        <v>18230716</v>
      </c>
      <c r="D14" s="61" t="s">
        <v>550</v>
      </c>
      <c r="E14" s="38" t="s">
        <v>1336</v>
      </c>
      <c r="F14" s="39" t="s">
        <v>1337</v>
      </c>
      <c r="G14" s="39"/>
      <c r="H14" s="39"/>
      <c r="I14" s="40"/>
      <c r="J14" s="41">
        <v>1</v>
      </c>
      <c r="K14" s="41">
        <v>0</v>
      </c>
      <c r="L14" s="41"/>
      <c r="M14" s="42">
        <v>50</v>
      </c>
      <c r="N14" s="42">
        <v>0</v>
      </c>
      <c r="O14" s="43">
        <v>0</v>
      </c>
      <c r="P14" s="44">
        <v>50</v>
      </c>
      <c r="Q14" s="44">
        <v>0</v>
      </c>
      <c r="R14" s="45">
        <v>0</v>
      </c>
      <c r="S14" s="46">
        <v>0</v>
      </c>
      <c r="T14" s="39">
        <f t="shared" si="18"/>
        <v>0</v>
      </c>
      <c r="U14" s="47">
        <f t="shared" si="1"/>
        <v>0</v>
      </c>
      <c r="V14" s="48">
        <f t="shared" si="19"/>
        <v>-50</v>
      </c>
      <c r="W14" s="49">
        <f t="shared" si="3"/>
        <v>0</v>
      </c>
      <c r="X14" s="44">
        <f t="shared" si="4"/>
        <v>0</v>
      </c>
      <c r="Y14" s="44">
        <f t="shared" si="20"/>
        <v>-50</v>
      </c>
      <c r="Z14" s="44">
        <f t="shared" si="6"/>
        <v>0</v>
      </c>
      <c r="AA14" s="50">
        <f t="shared" si="21"/>
        <v>0</v>
      </c>
      <c r="AB14" s="51">
        <f t="shared" si="22"/>
        <v>0</v>
      </c>
      <c r="AC14" s="44">
        <f t="shared" si="23"/>
        <v>0</v>
      </c>
      <c r="AD14" s="44">
        <f t="shared" si="24"/>
        <v>0</v>
      </c>
      <c r="AE14" s="44">
        <f t="shared" si="25"/>
        <v>0</v>
      </c>
      <c r="AF14" s="52" t="e">
        <f>HLOOKUP(I14,ElecAvoidedCostsWOCC!$A$5:$Q$50,G14+1,FALSE)</f>
        <v>#N/A</v>
      </c>
      <c r="AG14" s="44" t="e">
        <f t="shared" si="26"/>
        <v>#N/A</v>
      </c>
      <c r="AH14" s="52" t="e">
        <f>HLOOKUP(I14,ElecAvoidedCostsWOCC!$A$5:$Q$50,T14+1,FALSE)</f>
        <v>#N/A</v>
      </c>
      <c r="AI14" s="44" t="e">
        <f t="shared" si="27"/>
        <v>#N/A</v>
      </c>
      <c r="AJ14" s="44" t="e">
        <f t="shared" si="28"/>
        <v>#N/A</v>
      </c>
      <c r="AK14" s="44" t="e">
        <f>HLOOKUP(I14,ElecAvoidedCostsWOCC!$A$5:$Q$50,G14+1,FALSE)*J14*L14</f>
        <v>#N/A</v>
      </c>
      <c r="AL14" s="44" t="e">
        <f t="shared" si="29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30"/>
        <v>0</v>
      </c>
      <c r="AO14" s="47">
        <f t="shared" si="31"/>
        <v>0</v>
      </c>
      <c r="AP14" s="47" t="e">
        <f t="shared" si="32"/>
        <v>#DIV/0!</v>
      </c>
    </row>
    <row r="15" spans="1:42" ht="13.5" customHeight="1" x14ac:dyDescent="0.35">
      <c r="A15" s="57" t="s">
        <v>249</v>
      </c>
      <c r="B15" s="97" t="s">
        <v>67</v>
      </c>
      <c r="C15" s="98">
        <v>18230716</v>
      </c>
      <c r="D15" s="61" t="s">
        <v>550</v>
      </c>
      <c r="E15" s="38" t="s">
        <v>1340</v>
      </c>
      <c r="F15" s="39" t="s">
        <v>1341</v>
      </c>
      <c r="G15" s="39"/>
      <c r="H15" s="39"/>
      <c r="I15" s="40"/>
      <c r="J15" s="41">
        <v>3</v>
      </c>
      <c r="K15" s="41">
        <v>0</v>
      </c>
      <c r="L15" s="41"/>
      <c r="M15" s="42">
        <v>25</v>
      </c>
      <c r="N15" s="42">
        <v>0</v>
      </c>
      <c r="O15" s="43">
        <v>0</v>
      </c>
      <c r="P15" s="44">
        <v>75</v>
      </c>
      <c r="Q15" s="44">
        <v>0</v>
      </c>
      <c r="R15" s="45">
        <v>0</v>
      </c>
      <c r="S15" s="46">
        <v>0</v>
      </c>
      <c r="T15" s="39">
        <f t="shared" si="18"/>
        <v>0</v>
      </c>
      <c r="U15" s="47">
        <f t="shared" si="1"/>
        <v>0</v>
      </c>
      <c r="V15" s="48">
        <f t="shared" si="19"/>
        <v>-25</v>
      </c>
      <c r="W15" s="49">
        <f t="shared" si="3"/>
        <v>0</v>
      </c>
      <c r="X15" s="44">
        <f t="shared" si="4"/>
        <v>0</v>
      </c>
      <c r="Y15" s="44">
        <f t="shared" si="20"/>
        <v>-75</v>
      </c>
      <c r="Z15" s="44">
        <f t="shared" si="6"/>
        <v>0</v>
      </c>
      <c r="AA15" s="50">
        <f t="shared" si="21"/>
        <v>0</v>
      </c>
      <c r="AB15" s="51">
        <f t="shared" si="22"/>
        <v>0</v>
      </c>
      <c r="AC15" s="44">
        <f t="shared" si="23"/>
        <v>0</v>
      </c>
      <c r="AD15" s="44">
        <f t="shared" si="24"/>
        <v>0</v>
      </c>
      <c r="AE15" s="44">
        <f t="shared" si="25"/>
        <v>0</v>
      </c>
      <c r="AF15" s="52" t="e">
        <f>HLOOKUP(I15,ElecAvoidedCostsWOCC!$A$5:$Q$50,G15+1,FALSE)</f>
        <v>#N/A</v>
      </c>
      <c r="AG15" s="44" t="e">
        <f t="shared" si="26"/>
        <v>#N/A</v>
      </c>
      <c r="AH15" s="52" t="e">
        <f>HLOOKUP(I15,ElecAvoidedCostsWOCC!$A$5:$Q$50,T15+1,FALSE)</f>
        <v>#N/A</v>
      </c>
      <c r="AI15" s="44" t="e">
        <f t="shared" si="27"/>
        <v>#N/A</v>
      </c>
      <c r="AJ15" s="44" t="e">
        <f t="shared" si="28"/>
        <v>#N/A</v>
      </c>
      <c r="AK15" s="44" t="e">
        <f>HLOOKUP(I15,ElecAvoidedCostsWOCC!$A$5:$Q$50,G15+1,FALSE)*J15*L15</f>
        <v>#N/A</v>
      </c>
      <c r="AL15" s="44" t="e">
        <f t="shared" si="29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0"/>
        <v>0</v>
      </c>
      <c r="AO15" s="47">
        <f t="shared" si="31"/>
        <v>0</v>
      </c>
      <c r="AP15" s="47" t="e">
        <f t="shared" si="32"/>
        <v>#DIV/0!</v>
      </c>
    </row>
    <row r="16" spans="1:42" ht="13.5" customHeight="1" x14ac:dyDescent="0.35">
      <c r="A16" s="54">
        <f>SUM(U5:U935)</f>
        <v>12.627076720989637</v>
      </c>
      <c r="B16" s="97" t="s">
        <v>67</v>
      </c>
      <c r="C16" s="98">
        <v>18230716</v>
      </c>
      <c r="D16" s="61" t="s">
        <v>550</v>
      </c>
      <c r="E16" s="38" t="s">
        <v>1342</v>
      </c>
      <c r="F16" s="39" t="s">
        <v>1343</v>
      </c>
      <c r="G16" s="39"/>
      <c r="H16" s="39"/>
      <c r="I16" s="40"/>
      <c r="J16" s="41">
        <v>6</v>
      </c>
      <c r="K16" s="41">
        <v>0</v>
      </c>
      <c r="L16" s="41"/>
      <c r="M16" s="42">
        <v>50</v>
      </c>
      <c r="N16" s="42">
        <v>0</v>
      </c>
      <c r="O16" s="43">
        <v>0</v>
      </c>
      <c r="P16" s="44">
        <v>300</v>
      </c>
      <c r="Q16" s="44">
        <v>0</v>
      </c>
      <c r="R16" s="45">
        <v>0</v>
      </c>
      <c r="S16" s="46">
        <v>0</v>
      </c>
      <c r="T16" s="39">
        <f t="shared" si="18"/>
        <v>0</v>
      </c>
      <c r="U16" s="47">
        <f t="shared" si="1"/>
        <v>0</v>
      </c>
      <c r="V16" s="48">
        <f t="shared" si="19"/>
        <v>-50</v>
      </c>
      <c r="W16" s="49">
        <f t="shared" si="3"/>
        <v>0</v>
      </c>
      <c r="X16" s="44">
        <f t="shared" si="4"/>
        <v>0</v>
      </c>
      <c r="Y16" s="44">
        <f t="shared" si="20"/>
        <v>-300</v>
      </c>
      <c r="Z16" s="44">
        <f t="shared" si="6"/>
        <v>0</v>
      </c>
      <c r="AA16" s="50">
        <f t="shared" si="21"/>
        <v>0</v>
      </c>
      <c r="AB16" s="51">
        <f t="shared" si="22"/>
        <v>0</v>
      </c>
      <c r="AC16" s="44">
        <f t="shared" si="23"/>
        <v>0</v>
      </c>
      <c r="AD16" s="44">
        <f t="shared" si="24"/>
        <v>0</v>
      </c>
      <c r="AE16" s="44">
        <f t="shared" si="25"/>
        <v>0</v>
      </c>
      <c r="AF16" s="52" t="e">
        <f>HLOOKUP(I16,ElecAvoidedCostsWOCC!$A$5:$Q$50,G16+1,FALSE)</f>
        <v>#N/A</v>
      </c>
      <c r="AG16" s="44" t="e">
        <f t="shared" si="26"/>
        <v>#N/A</v>
      </c>
      <c r="AH16" s="52" t="e">
        <f>HLOOKUP(I16,ElecAvoidedCostsWOCC!$A$5:$Q$50,T16+1,FALSE)</f>
        <v>#N/A</v>
      </c>
      <c r="AI16" s="44" t="e">
        <f t="shared" si="27"/>
        <v>#N/A</v>
      </c>
      <c r="AJ16" s="44" t="e">
        <f t="shared" si="28"/>
        <v>#N/A</v>
      </c>
      <c r="AK16" s="44" t="e">
        <f>HLOOKUP(I16,ElecAvoidedCostsWOCC!$A$5:$Q$50,G16+1,FALSE)*J16*L16</f>
        <v>#N/A</v>
      </c>
      <c r="AL16" s="44" t="e">
        <f t="shared" si="29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0"/>
        <v>0</v>
      </c>
      <c r="AO16" s="47">
        <f t="shared" si="31"/>
        <v>0</v>
      </c>
      <c r="AP16" s="47" t="e">
        <f t="shared" si="32"/>
        <v>#DIV/0!</v>
      </c>
    </row>
    <row r="17" spans="1:42" ht="13.5" customHeight="1" x14ac:dyDescent="0.35">
      <c r="A17" s="58" t="s">
        <v>252</v>
      </c>
      <c r="B17" s="97" t="s">
        <v>67</v>
      </c>
      <c r="C17" s="98">
        <v>18230716</v>
      </c>
      <c r="D17" s="61" t="s">
        <v>550</v>
      </c>
      <c r="E17" s="38" t="s">
        <v>1350</v>
      </c>
      <c r="F17" s="39" t="s">
        <v>1351</v>
      </c>
      <c r="G17" s="39"/>
      <c r="H17" s="39"/>
      <c r="I17" s="40"/>
      <c r="J17" s="41">
        <v>4</v>
      </c>
      <c r="K17" s="41">
        <v>0</v>
      </c>
      <c r="L17" s="41"/>
      <c r="M17" s="42">
        <v>50</v>
      </c>
      <c r="N17" s="42">
        <v>0</v>
      </c>
      <c r="O17" s="43">
        <v>0</v>
      </c>
      <c r="P17" s="44">
        <v>200</v>
      </c>
      <c r="Q17" s="44">
        <v>0</v>
      </c>
      <c r="R17" s="45">
        <v>0</v>
      </c>
      <c r="S17" s="46">
        <v>0</v>
      </c>
      <c r="T17" s="39">
        <f t="shared" si="18"/>
        <v>0</v>
      </c>
      <c r="U17" s="47">
        <f t="shared" si="1"/>
        <v>0</v>
      </c>
      <c r="V17" s="48">
        <f t="shared" si="19"/>
        <v>-50</v>
      </c>
      <c r="W17" s="49">
        <f t="shared" si="3"/>
        <v>0</v>
      </c>
      <c r="X17" s="44">
        <f t="shared" si="4"/>
        <v>0</v>
      </c>
      <c r="Y17" s="44">
        <f t="shared" si="20"/>
        <v>-200</v>
      </c>
      <c r="Z17" s="44">
        <f t="shared" si="6"/>
        <v>0</v>
      </c>
      <c r="AA17" s="50">
        <f t="shared" si="21"/>
        <v>0</v>
      </c>
      <c r="AB17" s="51">
        <f t="shared" si="22"/>
        <v>0</v>
      </c>
      <c r="AC17" s="44">
        <f t="shared" si="23"/>
        <v>0</v>
      </c>
      <c r="AD17" s="44">
        <f t="shared" si="24"/>
        <v>0</v>
      </c>
      <c r="AE17" s="44">
        <f t="shared" si="25"/>
        <v>0</v>
      </c>
      <c r="AF17" s="52" t="e">
        <f>HLOOKUP(I17,ElecAvoidedCostsWOCC!$A$5:$Q$50,G17+1,FALSE)</f>
        <v>#N/A</v>
      </c>
      <c r="AG17" s="44" t="e">
        <f t="shared" si="26"/>
        <v>#N/A</v>
      </c>
      <c r="AH17" s="52" t="e">
        <f>HLOOKUP(I17,ElecAvoidedCostsWOCC!$A$5:$Q$50,T17+1,FALSE)</f>
        <v>#N/A</v>
      </c>
      <c r="AI17" s="44" t="e">
        <f t="shared" si="27"/>
        <v>#N/A</v>
      </c>
      <c r="AJ17" s="44" t="e">
        <f t="shared" si="28"/>
        <v>#N/A</v>
      </c>
      <c r="AK17" s="44" t="e">
        <f>HLOOKUP(I17,ElecAvoidedCostsWOCC!$A$5:$Q$50,G17+1,FALSE)*J17*L17</f>
        <v>#N/A</v>
      </c>
      <c r="AL17" s="44" t="e">
        <f t="shared" si="29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0"/>
        <v>0</v>
      </c>
      <c r="AO17" s="47">
        <f t="shared" si="31"/>
        <v>0</v>
      </c>
      <c r="AP17" s="47" t="e">
        <f t="shared" si="32"/>
        <v>#DIV/0!</v>
      </c>
    </row>
    <row r="18" spans="1:42" ht="13.5" customHeight="1" x14ac:dyDescent="0.35">
      <c r="A18" s="59">
        <f>A6+A8</f>
        <v>509446.65</v>
      </c>
      <c r="B18" s="97" t="s">
        <v>67</v>
      </c>
      <c r="C18" s="98">
        <v>18230716</v>
      </c>
      <c r="D18" s="61" t="s">
        <v>550</v>
      </c>
      <c r="E18" s="38" t="s">
        <v>1352</v>
      </c>
      <c r="F18" s="39" t="s">
        <v>1353</v>
      </c>
      <c r="G18" s="39"/>
      <c r="H18" s="39"/>
      <c r="I18" s="40"/>
      <c r="J18" s="41">
        <v>19</v>
      </c>
      <c r="K18" s="41">
        <v>0</v>
      </c>
      <c r="L18" s="41"/>
      <c r="M18" s="42">
        <v>50</v>
      </c>
      <c r="N18" s="42">
        <v>0</v>
      </c>
      <c r="O18" s="43">
        <v>0</v>
      </c>
      <c r="P18" s="44">
        <v>950</v>
      </c>
      <c r="Q18" s="44">
        <v>0</v>
      </c>
      <c r="R18" s="45">
        <v>0</v>
      </c>
      <c r="S18" s="46">
        <v>0</v>
      </c>
      <c r="T18" s="39">
        <f t="shared" si="18"/>
        <v>0</v>
      </c>
      <c r="U18" s="47">
        <f t="shared" si="1"/>
        <v>0</v>
      </c>
      <c r="V18" s="48">
        <f t="shared" si="19"/>
        <v>-50</v>
      </c>
      <c r="W18" s="49">
        <f t="shared" si="3"/>
        <v>0</v>
      </c>
      <c r="X18" s="44">
        <f t="shared" si="4"/>
        <v>0</v>
      </c>
      <c r="Y18" s="44">
        <f t="shared" si="20"/>
        <v>-950</v>
      </c>
      <c r="Z18" s="44">
        <f t="shared" si="6"/>
        <v>0</v>
      </c>
      <c r="AA18" s="50">
        <f t="shared" si="21"/>
        <v>0</v>
      </c>
      <c r="AB18" s="51">
        <f t="shared" si="22"/>
        <v>0</v>
      </c>
      <c r="AC18" s="44">
        <f t="shared" si="23"/>
        <v>0</v>
      </c>
      <c r="AD18" s="44">
        <f t="shared" si="24"/>
        <v>0</v>
      </c>
      <c r="AE18" s="44">
        <f t="shared" si="25"/>
        <v>0</v>
      </c>
      <c r="AF18" s="52" t="e">
        <f>HLOOKUP(I18,ElecAvoidedCostsWOCC!$A$5:$Q$50,G18+1,FALSE)</f>
        <v>#N/A</v>
      </c>
      <c r="AG18" s="44" t="e">
        <f t="shared" si="26"/>
        <v>#N/A</v>
      </c>
      <c r="AH18" s="52" t="e">
        <f>HLOOKUP(I18,ElecAvoidedCostsWOCC!$A$5:$Q$50,T18+1,FALSE)</f>
        <v>#N/A</v>
      </c>
      <c r="AI18" s="44" t="e">
        <f t="shared" si="27"/>
        <v>#N/A</v>
      </c>
      <c r="AJ18" s="44" t="e">
        <f t="shared" si="28"/>
        <v>#N/A</v>
      </c>
      <c r="AK18" s="44" t="e">
        <f>HLOOKUP(I18,ElecAvoidedCostsWOCC!$A$5:$Q$50,G18+1,FALSE)*J18*L18</f>
        <v>#N/A</v>
      </c>
      <c r="AL18" s="44" t="e">
        <f t="shared" si="29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0"/>
        <v>0</v>
      </c>
      <c r="AO18" s="47">
        <f t="shared" si="31"/>
        <v>0</v>
      </c>
      <c r="AP18" s="47" t="e">
        <f t="shared" si="32"/>
        <v>#DIV/0!</v>
      </c>
    </row>
    <row r="19" spans="1:42" ht="13.5" customHeight="1" x14ac:dyDescent="0.35">
      <c r="A19" s="58" t="s">
        <v>222</v>
      </c>
      <c r="B19" s="97" t="s">
        <v>67</v>
      </c>
      <c r="C19" s="98">
        <v>18230716</v>
      </c>
      <c r="D19" s="61" t="s">
        <v>550</v>
      </c>
      <c r="E19" s="38" t="s">
        <v>1356</v>
      </c>
      <c r="F19" s="39" t="s">
        <v>1357</v>
      </c>
      <c r="G19" s="39"/>
      <c r="H19" s="39"/>
      <c r="I19" s="40"/>
      <c r="J19" s="41">
        <v>9</v>
      </c>
      <c r="K19" s="41">
        <v>0</v>
      </c>
      <c r="L19" s="41"/>
      <c r="M19" s="42">
        <v>300</v>
      </c>
      <c r="N19" s="42">
        <v>0</v>
      </c>
      <c r="O19" s="43">
        <v>0</v>
      </c>
      <c r="P19" s="44">
        <v>2700</v>
      </c>
      <c r="Q19" s="44">
        <v>0</v>
      </c>
      <c r="R19" s="45">
        <v>0</v>
      </c>
      <c r="S19" s="46">
        <v>0</v>
      </c>
      <c r="T19" s="39">
        <f t="shared" si="18"/>
        <v>0</v>
      </c>
      <c r="U19" s="47">
        <f t="shared" si="1"/>
        <v>0</v>
      </c>
      <c r="V19" s="48">
        <f t="shared" si="19"/>
        <v>-300</v>
      </c>
      <c r="W19" s="49">
        <f t="shared" si="3"/>
        <v>0</v>
      </c>
      <c r="X19" s="44">
        <f t="shared" si="4"/>
        <v>0</v>
      </c>
      <c r="Y19" s="44">
        <f t="shared" si="20"/>
        <v>-2700</v>
      </c>
      <c r="Z19" s="44">
        <f t="shared" si="6"/>
        <v>0</v>
      </c>
      <c r="AA19" s="50">
        <f t="shared" si="21"/>
        <v>0</v>
      </c>
      <c r="AB19" s="51">
        <f t="shared" si="22"/>
        <v>0</v>
      </c>
      <c r="AC19" s="44">
        <f t="shared" si="23"/>
        <v>0</v>
      </c>
      <c r="AD19" s="44">
        <f t="shared" si="24"/>
        <v>0</v>
      </c>
      <c r="AE19" s="44">
        <f t="shared" si="25"/>
        <v>0</v>
      </c>
      <c r="AF19" s="52" t="e">
        <f>HLOOKUP(I19,ElecAvoidedCostsWOCC!$A$5:$Q$50,G19+1,FALSE)</f>
        <v>#N/A</v>
      </c>
      <c r="AG19" s="44" t="e">
        <f t="shared" si="26"/>
        <v>#N/A</v>
      </c>
      <c r="AH19" s="52" t="e">
        <f>HLOOKUP(I19,ElecAvoidedCostsWOCC!$A$5:$Q$50,T19+1,FALSE)</f>
        <v>#N/A</v>
      </c>
      <c r="AI19" s="44" t="e">
        <f t="shared" si="27"/>
        <v>#N/A</v>
      </c>
      <c r="AJ19" s="44" t="e">
        <f t="shared" si="28"/>
        <v>#N/A</v>
      </c>
      <c r="AK19" s="44" t="e">
        <f>HLOOKUP(I19,ElecAvoidedCostsWOCC!$A$5:$Q$50,G19+1,FALSE)*J19*L19</f>
        <v>#N/A</v>
      </c>
      <c r="AL19" s="44" t="e">
        <f t="shared" si="29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0"/>
        <v>0</v>
      </c>
      <c r="AO19" s="47">
        <f t="shared" si="31"/>
        <v>0</v>
      </c>
      <c r="AP19" s="47" t="e">
        <f t="shared" si="32"/>
        <v>#DIV/0!</v>
      </c>
    </row>
    <row r="20" spans="1:42" ht="13.5" customHeight="1" x14ac:dyDescent="0.35">
      <c r="A20" s="59">
        <f>A8+SUM(Q5:Q842)</f>
        <v>365773.64</v>
      </c>
      <c r="B20" s="97" t="s">
        <v>67</v>
      </c>
      <c r="C20" s="98">
        <v>18230716</v>
      </c>
      <c r="D20" s="61" t="s">
        <v>550</v>
      </c>
      <c r="E20" s="38" t="s">
        <v>1358</v>
      </c>
      <c r="F20" s="39" t="s">
        <v>1359</v>
      </c>
      <c r="G20" s="39">
        <v>10</v>
      </c>
      <c r="H20" s="39"/>
      <c r="I20" s="40" t="s">
        <v>263</v>
      </c>
      <c r="J20" s="41">
        <v>1</v>
      </c>
      <c r="K20" s="41">
        <v>2840</v>
      </c>
      <c r="L20" s="41"/>
      <c r="M20" s="42">
        <v>550</v>
      </c>
      <c r="N20" s="42">
        <v>597.41</v>
      </c>
      <c r="O20" s="43">
        <v>2840</v>
      </c>
      <c r="P20" s="44">
        <v>550</v>
      </c>
      <c r="Q20" s="44">
        <v>597.41</v>
      </c>
      <c r="R20" s="45">
        <v>0</v>
      </c>
      <c r="S20" s="46">
        <v>0</v>
      </c>
      <c r="T20" s="39">
        <f t="shared" si="18"/>
        <v>10</v>
      </c>
      <c r="U20" s="47">
        <f t="shared" si="1"/>
        <v>2.0789390125964965E-2</v>
      </c>
      <c r="V20" s="48">
        <f t="shared" si="19"/>
        <v>47.409999999999968</v>
      </c>
      <c r="W20" s="49">
        <f t="shared" si="3"/>
        <v>2.0789390125964965E-3</v>
      </c>
      <c r="X20" s="44">
        <f t="shared" si="4"/>
        <v>238.75514800933104</v>
      </c>
      <c r="Y20" s="44">
        <f t="shared" si="20"/>
        <v>47.409999999999968</v>
      </c>
      <c r="Z20" s="44">
        <f t="shared" si="6"/>
        <v>1059.1085155215928</v>
      </c>
      <c r="AA20" s="50">
        <f t="shared" si="21"/>
        <v>836.16514800933101</v>
      </c>
      <c r="AB20" s="51">
        <f t="shared" si="22"/>
        <v>991.67464000149141</v>
      </c>
      <c r="AC20" s="44">
        <f t="shared" si="23"/>
        <v>782.92616854806272</v>
      </c>
      <c r="AD20" s="44">
        <f t="shared" si="24"/>
        <v>0</v>
      </c>
      <c r="AE20" s="44">
        <f t="shared" si="25"/>
        <v>0</v>
      </c>
      <c r="AF20" s="52">
        <f>HLOOKUP(I20,ElecAvoidedCostsWOCC!$A$5:$Q$50,G20+1,FALSE)</f>
        <v>0.7517576463959158</v>
      </c>
      <c r="AG20" s="44">
        <f t="shared" si="26"/>
        <v>2134.9917157644009</v>
      </c>
      <c r="AH20" s="52">
        <f>HLOOKUP(I20,ElecAvoidedCostsWOCC!$A$5:$Q$50,T20+1,FALSE)</f>
        <v>0.7517576463959158</v>
      </c>
      <c r="AI20" s="44">
        <f t="shared" si="27"/>
        <v>0</v>
      </c>
      <c r="AJ20" s="44">
        <f t="shared" si="28"/>
        <v>2134.9917157644009</v>
      </c>
      <c r="AK20" s="44">
        <f>HLOOKUP(I20,ElecAvoidedCostsWOCC!$A$5:$Q$50,G20+1,FALSE)*J20*L20</f>
        <v>0</v>
      </c>
      <c r="AL20" s="44">
        <f t="shared" si="29"/>
        <v>2134.9917157644009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2134.9917157644009</v>
      </c>
      <c r="AN20" s="48">
        <f t="shared" si="30"/>
        <v>2348.4908873408413</v>
      </c>
      <c r="AO20" s="47">
        <f t="shared" si="31"/>
        <v>2.152915512451937</v>
      </c>
      <c r="AP20" s="47">
        <f t="shared" si="32"/>
        <v>2.9996326367480086</v>
      </c>
    </row>
    <row r="21" spans="1:42" ht="13.5" customHeight="1" x14ac:dyDescent="0.35">
      <c r="A21" s="58" t="s">
        <v>236</v>
      </c>
      <c r="B21" s="97" t="s">
        <v>67</v>
      </c>
      <c r="C21" s="98">
        <v>18230716</v>
      </c>
      <c r="D21" s="61" t="s">
        <v>550</v>
      </c>
      <c r="E21" s="38" t="s">
        <v>1360</v>
      </c>
      <c r="F21" s="39" t="s">
        <v>1361</v>
      </c>
      <c r="G21" s="39">
        <v>12</v>
      </c>
      <c r="H21" s="39"/>
      <c r="I21" s="40" t="s">
        <v>265</v>
      </c>
      <c r="J21" s="41">
        <v>8</v>
      </c>
      <c r="K21" s="41">
        <v>3772</v>
      </c>
      <c r="L21" s="41"/>
      <c r="M21" s="42">
        <v>1200</v>
      </c>
      <c r="N21" s="42">
        <v>1476</v>
      </c>
      <c r="O21" s="43">
        <v>30176</v>
      </c>
      <c r="P21" s="44">
        <v>9600</v>
      </c>
      <c r="Q21" s="44">
        <v>11808</v>
      </c>
      <c r="R21" s="45">
        <v>0</v>
      </c>
      <c r="S21" s="46">
        <v>0</v>
      </c>
      <c r="T21" s="39">
        <f t="shared" si="18"/>
        <v>12</v>
      </c>
      <c r="U21" s="47">
        <f t="shared" si="1"/>
        <v>0.26507350835540233</v>
      </c>
      <c r="V21" s="48">
        <f t="shared" si="19"/>
        <v>276</v>
      </c>
      <c r="W21" s="49">
        <f t="shared" si="3"/>
        <v>2.208945902961686E-2</v>
      </c>
      <c r="X21" s="44">
        <f t="shared" si="4"/>
        <v>2536.85751631323</v>
      </c>
      <c r="Y21" s="44">
        <f t="shared" si="20"/>
        <v>2208</v>
      </c>
      <c r="Z21" s="44">
        <f t="shared" si="6"/>
        <v>11253.40090295056</v>
      </c>
      <c r="AA21" s="50">
        <f t="shared" si="21"/>
        <v>14344.85751631323</v>
      </c>
      <c r="AB21" s="51">
        <f t="shared" si="22"/>
        <v>10536.892231227115</v>
      </c>
      <c r="AC21" s="44">
        <f t="shared" si="23"/>
        <v>13431.514528383173</v>
      </c>
      <c r="AD21" s="44">
        <f t="shared" si="24"/>
        <v>0</v>
      </c>
      <c r="AE21" s="44">
        <f t="shared" si="25"/>
        <v>0</v>
      </c>
      <c r="AF21" s="52">
        <f>HLOOKUP(I21,ElecAvoidedCostsWOCC!$A$5:$Q$50,G21+1,FALSE)</f>
        <v>0.88470520788483886</v>
      </c>
      <c r="AG21" s="44">
        <f t="shared" si="26"/>
        <v>26696.864353132896</v>
      </c>
      <c r="AH21" s="52">
        <f>HLOOKUP(I21,ElecAvoidedCostsWOCC!$A$5:$Q$50,T21+1,FALSE)</f>
        <v>0.88470520788483886</v>
      </c>
      <c r="AI21" s="44">
        <f t="shared" si="27"/>
        <v>0</v>
      </c>
      <c r="AJ21" s="44">
        <f t="shared" si="28"/>
        <v>26696.864353132896</v>
      </c>
      <c r="AK21" s="44">
        <f>HLOOKUP(I21,ElecAvoidedCostsWOCC!$A$5:$Q$50,G21+1,FALSE)*J21*L21</f>
        <v>0</v>
      </c>
      <c r="AL21" s="44">
        <f t="shared" si="29"/>
        <v>26696.864353132896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26696.864353132896</v>
      </c>
      <c r="AN21" s="48">
        <f t="shared" si="30"/>
        <v>29366.550788446188</v>
      </c>
      <c r="AO21" s="47">
        <f t="shared" si="31"/>
        <v>2.533656391968603</v>
      </c>
      <c r="AP21" s="47">
        <f t="shared" si="32"/>
        <v>2.1863916184872121</v>
      </c>
    </row>
    <row r="22" spans="1:42" ht="13.5" customHeight="1" x14ac:dyDescent="0.35">
      <c r="A22" s="60">
        <f>(SUM(AM5:AM936)/(SUM(AB5:AB936)))</f>
        <v>2.6857219078045338</v>
      </c>
      <c r="B22" s="97" t="s">
        <v>67</v>
      </c>
      <c r="C22" s="98">
        <v>18230716</v>
      </c>
      <c r="D22" s="61" t="s">
        <v>550</v>
      </c>
      <c r="E22" s="38" t="s">
        <v>1364</v>
      </c>
      <c r="F22" s="39" t="s">
        <v>1365</v>
      </c>
      <c r="G22" s="39">
        <v>12</v>
      </c>
      <c r="H22" s="39"/>
      <c r="I22" s="40" t="s">
        <v>263</v>
      </c>
      <c r="J22" s="41">
        <v>5</v>
      </c>
      <c r="K22" s="41">
        <v>5190</v>
      </c>
      <c r="L22" s="41"/>
      <c r="M22" s="42">
        <v>2000</v>
      </c>
      <c r="N22" s="42">
        <v>0</v>
      </c>
      <c r="O22" s="43">
        <v>25950</v>
      </c>
      <c r="P22" s="44">
        <v>10000</v>
      </c>
      <c r="Q22" s="44">
        <v>0</v>
      </c>
      <c r="R22" s="45">
        <v>0</v>
      </c>
      <c r="S22" s="46">
        <v>0</v>
      </c>
      <c r="T22" s="39">
        <f t="shared" si="18"/>
        <v>12</v>
      </c>
      <c r="U22" s="47">
        <f t="shared" si="1"/>
        <v>0.22795127060653136</v>
      </c>
      <c r="V22" s="48">
        <f t="shared" si="19"/>
        <v>-2000</v>
      </c>
      <c r="W22" s="49">
        <f t="shared" si="3"/>
        <v>1.8995939217210947E-2</v>
      </c>
      <c r="X22" s="44">
        <f t="shared" si="4"/>
        <v>2181.5831305782185</v>
      </c>
      <c r="Y22" s="44">
        <f t="shared" si="20"/>
        <v>-10000</v>
      </c>
      <c r="Z22" s="44">
        <f t="shared" si="6"/>
        <v>9677.4175978117401</v>
      </c>
      <c r="AA22" s="50">
        <f t="shared" si="21"/>
        <v>2181.5831305782185</v>
      </c>
      <c r="AB22" s="51">
        <f t="shared" si="22"/>
        <v>9061.252432407995</v>
      </c>
      <c r="AC22" s="44">
        <f t="shared" si="23"/>
        <v>2042.6808338747362</v>
      </c>
      <c r="AD22" s="44">
        <f t="shared" si="24"/>
        <v>0</v>
      </c>
      <c r="AE22" s="44">
        <f t="shared" si="25"/>
        <v>0</v>
      </c>
      <c r="AF22" s="52">
        <f>HLOOKUP(I22,ElecAvoidedCostsWOCC!$A$5:$Q$50,G22+1,FALSE)</f>
        <v>0.88596079543344408</v>
      </c>
      <c r="AG22" s="44">
        <f t="shared" si="26"/>
        <v>22990.682641497875</v>
      </c>
      <c r="AH22" s="52">
        <f>HLOOKUP(I22,ElecAvoidedCostsWOCC!$A$5:$Q$50,T22+1,FALSE)</f>
        <v>0.88596079543344408</v>
      </c>
      <c r="AI22" s="44">
        <f t="shared" si="27"/>
        <v>0</v>
      </c>
      <c r="AJ22" s="44">
        <f t="shared" si="28"/>
        <v>22990.682641497875</v>
      </c>
      <c r="AK22" s="44">
        <f>HLOOKUP(I22,ElecAvoidedCostsWOCC!$A$5:$Q$50,G22+1,FALSE)*J22*L22</f>
        <v>0</v>
      </c>
      <c r="AL22" s="44">
        <f t="shared" si="29"/>
        <v>22990.682641497875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22990.682641497875</v>
      </c>
      <c r="AN22" s="48">
        <f t="shared" si="30"/>
        <v>25289.750905647663</v>
      </c>
      <c r="AO22" s="47">
        <f t="shared" si="31"/>
        <v>2.5372521969778283</v>
      </c>
      <c r="AP22" s="47">
        <f t="shared" si="32"/>
        <v>12.380666860067338</v>
      </c>
    </row>
    <row r="23" spans="1:42" ht="13.5" customHeight="1" x14ac:dyDescent="0.35">
      <c r="A23" s="58" t="s">
        <v>237</v>
      </c>
      <c r="B23" s="97" t="s">
        <v>67</v>
      </c>
      <c r="C23" s="98">
        <v>18230716</v>
      </c>
      <c r="D23" s="61" t="s">
        <v>550</v>
      </c>
      <c r="E23" s="38" t="s">
        <v>1368</v>
      </c>
      <c r="F23" s="39" t="s">
        <v>1369</v>
      </c>
      <c r="G23" s="39">
        <v>12</v>
      </c>
      <c r="H23" s="39"/>
      <c r="I23" s="40" t="s">
        <v>263</v>
      </c>
      <c r="J23" s="41">
        <v>16</v>
      </c>
      <c r="K23" s="41">
        <v>2595</v>
      </c>
      <c r="L23" s="41"/>
      <c r="M23" s="42">
        <v>1000</v>
      </c>
      <c r="N23" s="42">
        <v>1191</v>
      </c>
      <c r="O23" s="43">
        <v>41520</v>
      </c>
      <c r="P23" s="44">
        <v>16000</v>
      </c>
      <c r="Q23" s="44">
        <v>19056</v>
      </c>
      <c r="R23" s="45">
        <v>0</v>
      </c>
      <c r="S23" s="46">
        <v>0</v>
      </c>
      <c r="T23" s="39">
        <f t="shared" si="18"/>
        <v>12</v>
      </c>
      <c r="U23" s="47">
        <f t="shared" si="1"/>
        <v>0.36472203297045014</v>
      </c>
      <c r="V23" s="48">
        <f t="shared" si="19"/>
        <v>191</v>
      </c>
      <c r="W23" s="49">
        <f t="shared" si="3"/>
        <v>3.0393502747537514E-2</v>
      </c>
      <c r="X23" s="44">
        <f t="shared" si="4"/>
        <v>3490.5330089251497</v>
      </c>
      <c r="Y23" s="44">
        <f t="shared" si="20"/>
        <v>3056</v>
      </c>
      <c r="Z23" s="44">
        <f t="shared" si="6"/>
        <v>15483.868156498782</v>
      </c>
      <c r="AA23" s="50">
        <f t="shared" si="21"/>
        <v>22546.533008925151</v>
      </c>
      <c r="AB23" s="51">
        <f t="shared" si="22"/>
        <v>14498.003891852792</v>
      </c>
      <c r="AC23" s="44">
        <f t="shared" si="23"/>
        <v>21110.985963413063</v>
      </c>
      <c r="AD23" s="44">
        <f t="shared" si="24"/>
        <v>0</v>
      </c>
      <c r="AE23" s="44">
        <f t="shared" si="25"/>
        <v>0</v>
      </c>
      <c r="AF23" s="52">
        <f>HLOOKUP(I23,ElecAvoidedCostsWOCC!$A$5:$Q$50,G23+1,FALSE)</f>
        <v>0.88596079543344408</v>
      </c>
      <c r="AG23" s="44">
        <f t="shared" si="26"/>
        <v>36785.092226396599</v>
      </c>
      <c r="AH23" s="52">
        <f>HLOOKUP(I23,ElecAvoidedCostsWOCC!$A$5:$Q$50,T23+1,FALSE)</f>
        <v>0.88596079543344408</v>
      </c>
      <c r="AI23" s="44">
        <f t="shared" si="27"/>
        <v>0</v>
      </c>
      <c r="AJ23" s="44">
        <f t="shared" si="28"/>
        <v>36785.092226396599</v>
      </c>
      <c r="AK23" s="44">
        <f>HLOOKUP(I23,ElecAvoidedCostsWOCC!$A$5:$Q$50,G23+1,FALSE)*J23*L23</f>
        <v>0</v>
      </c>
      <c r="AL23" s="44">
        <f t="shared" si="29"/>
        <v>36785.092226396599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36785.092226396599</v>
      </c>
      <c r="AN23" s="48">
        <f t="shared" si="30"/>
        <v>40463.601449036265</v>
      </c>
      <c r="AO23" s="47">
        <f t="shared" si="31"/>
        <v>2.5372521969778283</v>
      </c>
      <c r="AP23" s="47">
        <f t="shared" si="32"/>
        <v>1.9167082730841065</v>
      </c>
    </row>
    <row r="24" spans="1:42" ht="13.5" customHeight="1" x14ac:dyDescent="0.35">
      <c r="A24" s="60">
        <f>(SUM(AN5:AN936)/SUM(AC5:AC936))</f>
        <v>6.3163140007121905</v>
      </c>
      <c r="B24" s="97" t="s">
        <v>67</v>
      </c>
      <c r="C24" s="98">
        <v>18230716</v>
      </c>
      <c r="D24" s="61" t="s">
        <v>550</v>
      </c>
      <c r="E24" s="38" t="s">
        <v>1374</v>
      </c>
      <c r="F24" s="39" t="s">
        <v>1375</v>
      </c>
      <c r="G24" s="39">
        <v>12</v>
      </c>
      <c r="H24" s="39"/>
      <c r="I24" s="40" t="s">
        <v>263</v>
      </c>
      <c r="J24" s="41">
        <v>11</v>
      </c>
      <c r="K24" s="41">
        <v>36468</v>
      </c>
      <c r="L24" s="41"/>
      <c r="M24" s="42">
        <v>2300</v>
      </c>
      <c r="N24" s="42">
        <v>2393</v>
      </c>
      <c r="O24" s="43">
        <v>401148</v>
      </c>
      <c r="P24" s="44">
        <v>25300</v>
      </c>
      <c r="Q24" s="44">
        <v>26323</v>
      </c>
      <c r="R24" s="45">
        <v>1887.14</v>
      </c>
      <c r="S24" s="46">
        <v>0</v>
      </c>
      <c r="T24" s="39">
        <f t="shared" si="18"/>
        <v>12</v>
      </c>
      <c r="U24" s="47">
        <f t="shared" si="1"/>
        <v>3.5237840578523638</v>
      </c>
      <c r="V24" s="48">
        <f t="shared" si="19"/>
        <v>93</v>
      </c>
      <c r="W24" s="49">
        <f t="shared" si="3"/>
        <v>0.29364867148769697</v>
      </c>
      <c r="X24" s="44">
        <f t="shared" si="4"/>
        <v>33723.996518889835</v>
      </c>
      <c r="Y24" s="44">
        <f t="shared" si="20"/>
        <v>1023</v>
      </c>
      <c r="Z24" s="44">
        <f t="shared" si="6"/>
        <v>149598.33196635774</v>
      </c>
      <c r="AA24" s="50">
        <f t="shared" si="21"/>
        <v>60046.996518889835</v>
      </c>
      <c r="AB24" s="51">
        <f t="shared" si="22"/>
        <v>140073.34453778813</v>
      </c>
      <c r="AC24" s="44">
        <f t="shared" si="23"/>
        <v>56223.77951206913</v>
      </c>
      <c r="AD24" s="44">
        <f t="shared" si="24"/>
        <v>166650.42369654903</v>
      </c>
      <c r="AE24" s="44">
        <f t="shared" si="25"/>
        <v>0</v>
      </c>
      <c r="AF24" s="52">
        <f>HLOOKUP(I24,ElecAvoidedCostsWOCC!$A$5:$Q$50,G24+1,FALSE)</f>
        <v>0.88596079543344408</v>
      </c>
      <c r="AG24" s="44">
        <f t="shared" si="26"/>
        <v>355401.40116653527</v>
      </c>
      <c r="AH24" s="52">
        <f>HLOOKUP(I24,ElecAvoidedCostsWOCC!$A$5:$Q$50,T24+1,FALSE)</f>
        <v>0.88596079543344408</v>
      </c>
      <c r="AI24" s="44">
        <f t="shared" si="27"/>
        <v>0</v>
      </c>
      <c r="AJ24" s="44">
        <f t="shared" si="28"/>
        <v>355401.40116653527</v>
      </c>
      <c r="AK24" s="44">
        <f>HLOOKUP(I24,ElecAvoidedCostsWOCC!$A$5:$Q$50,G24+1,FALSE)*J24*L24</f>
        <v>0</v>
      </c>
      <c r="AL24" s="44">
        <f t="shared" si="29"/>
        <v>355401.40116653527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355401.40116653522</v>
      </c>
      <c r="AN24" s="48">
        <f t="shared" si="30"/>
        <v>557591.96497973776</v>
      </c>
      <c r="AO24" s="47">
        <f t="shared" si="31"/>
        <v>2.5372521969778283</v>
      </c>
      <c r="AP24" s="47">
        <f t="shared" si="32"/>
        <v>9.9173689463555856</v>
      </c>
    </row>
    <row r="25" spans="1:42" ht="13.5" customHeight="1" x14ac:dyDescent="0.35">
      <c r="B25" s="97" t="s">
        <v>67</v>
      </c>
      <c r="C25" s="98">
        <v>18230716</v>
      </c>
      <c r="D25" s="61" t="s">
        <v>550</v>
      </c>
      <c r="E25" s="38" t="s">
        <v>1376</v>
      </c>
      <c r="F25" s="39" t="s">
        <v>1377</v>
      </c>
      <c r="G25" s="39"/>
      <c r="H25" s="39"/>
      <c r="I25" s="40"/>
      <c r="J25" s="41">
        <v>8</v>
      </c>
      <c r="K25" s="41">
        <v>0</v>
      </c>
      <c r="L25" s="41"/>
      <c r="M25" s="42">
        <v>100</v>
      </c>
      <c r="N25" s="42">
        <v>0</v>
      </c>
      <c r="O25" s="43">
        <v>0</v>
      </c>
      <c r="P25" s="44">
        <v>800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"/>
        <v>0</v>
      </c>
      <c r="V25" s="48">
        <f t="shared" si="19"/>
        <v>-100</v>
      </c>
      <c r="W25" s="49">
        <f t="shared" si="3"/>
        <v>0</v>
      </c>
      <c r="X25" s="44">
        <f t="shared" si="4"/>
        <v>0</v>
      </c>
      <c r="Y25" s="44">
        <f t="shared" si="20"/>
        <v>-800</v>
      </c>
      <c r="Z25" s="44">
        <f t="shared" si="6"/>
        <v>0</v>
      </c>
      <c r="AA25" s="50">
        <f t="shared" si="21"/>
        <v>0</v>
      </c>
      <c r="AB25" s="51">
        <f t="shared" si="22"/>
        <v>0</v>
      </c>
      <c r="AC25" s="44">
        <f t="shared" si="23"/>
        <v>0</v>
      </c>
      <c r="AD25" s="44">
        <f t="shared" si="24"/>
        <v>0</v>
      </c>
      <c r="AE25" s="44">
        <f t="shared" si="25"/>
        <v>0</v>
      </c>
      <c r="AF25" s="52" t="e">
        <f>HLOOKUP(I25,ElecAvoidedCostsWOCC!$A$5:$Q$50,G25+1,FALSE)</f>
        <v>#N/A</v>
      </c>
      <c r="AG25" s="44" t="e">
        <f t="shared" si="26"/>
        <v>#N/A</v>
      </c>
      <c r="AH25" s="52" t="e">
        <f>HLOOKUP(I25,ElecAvoidedCostsWOCC!$A$5:$Q$50,T25+1,FALSE)</f>
        <v>#N/A</v>
      </c>
      <c r="AI25" s="44" t="e">
        <f t="shared" si="27"/>
        <v>#N/A</v>
      </c>
      <c r="AJ25" s="44" t="e">
        <f t="shared" si="28"/>
        <v>#N/A</v>
      </c>
      <c r="AK25" s="44" t="e">
        <f>HLOOKUP(I25,ElecAvoidedCostsWOCC!$A$5:$Q$50,G25+1,FALSE)*J25*L25</f>
        <v>#N/A</v>
      </c>
      <c r="AL25" s="44" t="e">
        <f t="shared" si="29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0"/>
        <v>0</v>
      </c>
      <c r="AO25" s="47">
        <f t="shared" si="31"/>
        <v>0</v>
      </c>
      <c r="AP25" s="47" t="e">
        <f t="shared" si="32"/>
        <v>#DIV/0!</v>
      </c>
    </row>
    <row r="26" spans="1:42" ht="13.5" customHeight="1" x14ac:dyDescent="0.35">
      <c r="B26" s="97" t="s">
        <v>67</v>
      </c>
      <c r="C26" s="98">
        <v>18230716</v>
      </c>
      <c r="D26" s="61" t="s">
        <v>550</v>
      </c>
      <c r="E26" s="38" t="s">
        <v>1378</v>
      </c>
      <c r="F26" s="39" t="s">
        <v>1379</v>
      </c>
      <c r="G26" s="39"/>
      <c r="H26" s="39"/>
      <c r="I26" s="40"/>
      <c r="J26" s="41">
        <v>12</v>
      </c>
      <c r="K26" s="41">
        <v>0</v>
      </c>
      <c r="L26" s="41"/>
      <c r="M26" s="42">
        <v>100</v>
      </c>
      <c r="N26" s="42">
        <v>0</v>
      </c>
      <c r="O26" s="43">
        <v>0</v>
      </c>
      <c r="P26" s="44">
        <v>1200</v>
      </c>
      <c r="Q26" s="44">
        <v>0</v>
      </c>
      <c r="R26" s="45">
        <v>0</v>
      </c>
      <c r="S26" s="46">
        <v>0</v>
      </c>
      <c r="T26" s="39">
        <f t="shared" si="18"/>
        <v>0</v>
      </c>
      <c r="U26" s="47">
        <f t="shared" si="1"/>
        <v>0</v>
      </c>
      <c r="V26" s="48">
        <f t="shared" si="19"/>
        <v>-100</v>
      </c>
      <c r="W26" s="49">
        <f t="shared" si="3"/>
        <v>0</v>
      </c>
      <c r="X26" s="44">
        <f t="shared" si="4"/>
        <v>0</v>
      </c>
      <c r="Y26" s="44">
        <f t="shared" si="20"/>
        <v>-1200</v>
      </c>
      <c r="Z26" s="44">
        <f t="shared" si="6"/>
        <v>0</v>
      </c>
      <c r="AA26" s="50">
        <f t="shared" si="21"/>
        <v>0</v>
      </c>
      <c r="AB26" s="51">
        <f t="shared" si="22"/>
        <v>0</v>
      </c>
      <c r="AC26" s="44">
        <f t="shared" si="23"/>
        <v>0</v>
      </c>
      <c r="AD26" s="44">
        <f t="shared" si="24"/>
        <v>0</v>
      </c>
      <c r="AE26" s="44">
        <f t="shared" si="25"/>
        <v>0</v>
      </c>
      <c r="AF26" s="52" t="e">
        <f>HLOOKUP(I26,ElecAvoidedCostsWOCC!$A$5:$Q$50,G26+1,FALSE)</f>
        <v>#N/A</v>
      </c>
      <c r="AG26" s="44" t="e">
        <f t="shared" si="26"/>
        <v>#N/A</v>
      </c>
      <c r="AH26" s="52" t="e">
        <f>HLOOKUP(I26,ElecAvoidedCostsWOCC!$A$5:$Q$50,T26+1,FALSE)</f>
        <v>#N/A</v>
      </c>
      <c r="AI26" s="44" t="e">
        <f t="shared" si="27"/>
        <v>#N/A</v>
      </c>
      <c r="AJ26" s="44" t="e">
        <f t="shared" si="28"/>
        <v>#N/A</v>
      </c>
      <c r="AK26" s="44" t="e">
        <f>HLOOKUP(I26,ElecAvoidedCostsWOCC!$A$5:$Q$50,G26+1,FALSE)*J26*L26</f>
        <v>#N/A</v>
      </c>
      <c r="AL26" s="44" t="e">
        <f t="shared" si="29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0"/>
        <v>0</v>
      </c>
      <c r="AO26" s="47">
        <f t="shared" si="31"/>
        <v>0</v>
      </c>
      <c r="AP26" s="47" t="e">
        <f t="shared" si="32"/>
        <v>#DIV/0!</v>
      </c>
    </row>
    <row r="27" spans="1:42" ht="13.5" customHeight="1" x14ac:dyDescent="0.35">
      <c r="B27" s="97" t="s">
        <v>67</v>
      </c>
      <c r="C27" s="98">
        <v>18230716</v>
      </c>
      <c r="D27" s="61" t="s">
        <v>550</v>
      </c>
      <c r="E27" s="38" t="s">
        <v>1382</v>
      </c>
      <c r="F27" s="39" t="s">
        <v>1383</v>
      </c>
      <c r="G27" s="39">
        <v>15</v>
      </c>
      <c r="H27" s="39"/>
      <c r="I27" s="40" t="s">
        <v>263</v>
      </c>
      <c r="J27" s="41">
        <v>1</v>
      </c>
      <c r="K27" s="41">
        <v>11333.92</v>
      </c>
      <c r="L27" s="41"/>
      <c r="M27" s="42">
        <v>2650</v>
      </c>
      <c r="N27" s="42">
        <v>2659</v>
      </c>
      <c r="O27" s="43">
        <v>11333.92</v>
      </c>
      <c r="P27" s="44">
        <v>2650</v>
      </c>
      <c r="Q27" s="44">
        <v>2659</v>
      </c>
      <c r="R27" s="45">
        <v>763.14</v>
      </c>
      <c r="S27" s="46">
        <v>0</v>
      </c>
      <c r="T27" s="39">
        <f t="shared" si="18"/>
        <v>15</v>
      </c>
      <c r="U27" s="47">
        <f t="shared" si="1"/>
        <v>0.12444997422701241</v>
      </c>
      <c r="V27" s="48">
        <f t="shared" si="19"/>
        <v>9</v>
      </c>
      <c r="W27" s="49">
        <f t="shared" si="3"/>
        <v>8.2966649484674942E-3</v>
      </c>
      <c r="X27" s="44">
        <f t="shared" si="4"/>
        <v>952.82807997391444</v>
      </c>
      <c r="Y27" s="44">
        <f t="shared" si="20"/>
        <v>9</v>
      </c>
      <c r="Z27" s="44">
        <f t="shared" si="6"/>
        <v>4226.7081641691875</v>
      </c>
      <c r="AA27" s="50">
        <f t="shared" si="21"/>
        <v>3611.8280799739146</v>
      </c>
      <c r="AB27" s="51">
        <f t="shared" si="22"/>
        <v>3957.5919140160931</v>
      </c>
      <c r="AC27" s="44">
        <f t="shared" si="23"/>
        <v>3381.8614981029159</v>
      </c>
      <c r="AD27" s="44">
        <f t="shared" si="24"/>
        <v>7039.2747762349036</v>
      </c>
      <c r="AE27" s="44">
        <f t="shared" si="25"/>
        <v>0</v>
      </c>
      <c r="AF27" s="52">
        <f>HLOOKUP(I27,ElecAvoidedCostsWOCC!$A$5:$Q$50,G27+1,FALSE)</f>
        <v>1.0631737127788627</v>
      </c>
      <c r="AG27" s="44">
        <f t="shared" si="26"/>
        <v>12049.925806738609</v>
      </c>
      <c r="AH27" s="52">
        <f>HLOOKUP(I27,ElecAvoidedCostsWOCC!$A$5:$Q$50,T27+1,FALSE)</f>
        <v>1.0631737127788627</v>
      </c>
      <c r="AI27" s="44">
        <f t="shared" si="27"/>
        <v>0</v>
      </c>
      <c r="AJ27" s="44">
        <f t="shared" si="28"/>
        <v>12049.925806738609</v>
      </c>
      <c r="AK27" s="44">
        <f>HLOOKUP(I27,ElecAvoidedCostsWOCC!$A$5:$Q$50,G27+1,FALSE)*J27*L27</f>
        <v>0</v>
      </c>
      <c r="AL27" s="44">
        <f t="shared" si="29"/>
        <v>12049.925806738609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12049.925806738609</v>
      </c>
      <c r="AN27" s="48">
        <f t="shared" si="30"/>
        <v>20294.193163647375</v>
      </c>
      <c r="AO27" s="47">
        <f t="shared" si="31"/>
        <v>3.0447620847573851</v>
      </c>
      <c r="AP27" s="47">
        <f t="shared" si="32"/>
        <v>6.0008942338506692</v>
      </c>
    </row>
    <row r="28" spans="1:42" x14ac:dyDescent="0.35">
      <c r="B28" s="97" t="s">
        <v>67</v>
      </c>
      <c r="C28" s="98">
        <v>18230716</v>
      </c>
      <c r="D28" s="61" t="s">
        <v>550</v>
      </c>
      <c r="E28" s="38" t="s">
        <v>1384</v>
      </c>
      <c r="F28" s="39" t="s">
        <v>1385</v>
      </c>
      <c r="G28" s="39">
        <v>15</v>
      </c>
      <c r="H28" s="39"/>
      <c r="I28" s="40" t="s">
        <v>263</v>
      </c>
      <c r="J28" s="41">
        <v>3</v>
      </c>
      <c r="K28" s="41">
        <v>5013.3500000000004</v>
      </c>
      <c r="L28" s="41"/>
      <c r="M28" s="42">
        <v>2400</v>
      </c>
      <c r="N28" s="42">
        <v>2400.4899999999998</v>
      </c>
      <c r="O28" s="43">
        <v>15040.05</v>
      </c>
      <c r="P28" s="44">
        <v>7200</v>
      </c>
      <c r="Q28" s="44">
        <v>7201.47</v>
      </c>
      <c r="R28" s="45">
        <v>763.14</v>
      </c>
      <c r="S28" s="46">
        <v>0</v>
      </c>
      <c r="T28" s="39">
        <f t="shared" si="18"/>
        <v>15</v>
      </c>
      <c r="U28" s="47">
        <f t="shared" si="1"/>
        <v>0.16514443677677079</v>
      </c>
      <c r="V28" s="48">
        <f t="shared" si="19"/>
        <v>0.48999999999978172</v>
      </c>
      <c r="W28" s="49">
        <f t="shared" si="3"/>
        <v>1.1009629118451386E-2</v>
      </c>
      <c r="X28" s="44">
        <f t="shared" si="4"/>
        <v>1264.3976633161053</v>
      </c>
      <c r="Y28" s="44">
        <f t="shared" si="20"/>
        <v>1.4700000000002547</v>
      </c>
      <c r="Z28" s="44">
        <f t="shared" si="6"/>
        <v>5608.8186721375123</v>
      </c>
      <c r="AA28" s="50">
        <f t="shared" si="21"/>
        <v>8465.8676633161049</v>
      </c>
      <c r="AB28" s="51">
        <f t="shared" si="22"/>
        <v>5251.7028765332507</v>
      </c>
      <c r="AC28" s="44">
        <f t="shared" si="23"/>
        <v>7926.84238138212</v>
      </c>
      <c r="AD28" s="44">
        <f t="shared" si="24"/>
        <v>21117.824328704712</v>
      </c>
      <c r="AE28" s="44">
        <f t="shared" si="25"/>
        <v>0</v>
      </c>
      <c r="AF28" s="52">
        <f>HLOOKUP(I28,ElecAvoidedCostsWOCC!$A$5:$Q$50,G28+1,FALSE)</f>
        <v>1.0631737127788627</v>
      </c>
      <c r="AG28" s="44">
        <f t="shared" si="26"/>
        <v>15990.185798879736</v>
      </c>
      <c r="AH28" s="52">
        <f>HLOOKUP(I28,ElecAvoidedCostsWOCC!$A$5:$Q$50,T28+1,FALSE)</f>
        <v>1.0631737127788627</v>
      </c>
      <c r="AI28" s="44">
        <f t="shared" si="27"/>
        <v>0</v>
      </c>
      <c r="AJ28" s="44">
        <f t="shared" si="28"/>
        <v>15990.185798879736</v>
      </c>
      <c r="AK28" s="44">
        <f>HLOOKUP(I28,ElecAvoidedCostsWOCC!$A$5:$Q$50,G28+1,FALSE)*J28*L28</f>
        <v>0</v>
      </c>
      <c r="AL28" s="44">
        <f t="shared" si="29"/>
        <v>15990.185798879736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15990.185798879736</v>
      </c>
      <c r="AN28" s="48">
        <f t="shared" si="30"/>
        <v>38707.028707472418</v>
      </c>
      <c r="AO28" s="47">
        <f t="shared" si="31"/>
        <v>3.0447620847573851</v>
      </c>
      <c r="AP28" s="47">
        <f t="shared" si="32"/>
        <v>4.8830324667971361</v>
      </c>
    </row>
    <row r="29" spans="1:42" x14ac:dyDescent="0.35">
      <c r="B29" s="97" t="s">
        <v>67</v>
      </c>
      <c r="C29" s="98">
        <v>18230716</v>
      </c>
      <c r="D29" s="61" t="s">
        <v>550</v>
      </c>
      <c r="E29" s="38" t="s">
        <v>1388</v>
      </c>
      <c r="F29" s="39" t="s">
        <v>1389</v>
      </c>
      <c r="G29" s="39">
        <v>15</v>
      </c>
      <c r="H29" s="39"/>
      <c r="I29" s="40" t="s">
        <v>263</v>
      </c>
      <c r="J29" s="41">
        <v>1</v>
      </c>
      <c r="K29" s="41">
        <v>14537</v>
      </c>
      <c r="L29" s="41"/>
      <c r="M29" s="42">
        <v>2500</v>
      </c>
      <c r="N29" s="42">
        <v>2659</v>
      </c>
      <c r="O29" s="43">
        <v>14537</v>
      </c>
      <c r="P29" s="44">
        <v>2500</v>
      </c>
      <c r="Q29" s="44">
        <v>2659</v>
      </c>
      <c r="R29" s="45">
        <v>1755.2309</v>
      </c>
      <c r="S29" s="46">
        <v>0</v>
      </c>
      <c r="T29" s="39">
        <f t="shared" si="18"/>
        <v>15</v>
      </c>
      <c r="U29" s="47">
        <f t="shared" si="1"/>
        <v>0.15962079098300319</v>
      </c>
      <c r="V29" s="48">
        <f t="shared" si="19"/>
        <v>159</v>
      </c>
      <c r="W29" s="49">
        <f t="shared" si="3"/>
        <v>1.0641386065533547E-2</v>
      </c>
      <c r="X29" s="44">
        <f t="shared" si="4"/>
        <v>1222.1068966942414</v>
      </c>
      <c r="Y29" s="44">
        <f t="shared" si="20"/>
        <v>159</v>
      </c>
      <c r="Z29" s="44">
        <f t="shared" si="6"/>
        <v>5421.2184824427459</v>
      </c>
      <c r="AA29" s="50">
        <f t="shared" si="21"/>
        <v>3881.1068966942412</v>
      </c>
      <c r="AB29" s="51">
        <f t="shared" si="22"/>
        <v>5076.0472682048176</v>
      </c>
      <c r="AC29" s="44">
        <f t="shared" si="23"/>
        <v>3633.9952216238212</v>
      </c>
      <c r="AD29" s="44">
        <f t="shared" si="24"/>
        <v>16190.414079773158</v>
      </c>
      <c r="AE29" s="44">
        <f t="shared" si="25"/>
        <v>0</v>
      </c>
      <c r="AF29" s="52">
        <f>HLOOKUP(I29,ElecAvoidedCostsWOCC!$A$5:$Q$50,G29+1,FALSE)</f>
        <v>1.0631737127788627</v>
      </c>
      <c r="AG29" s="44">
        <f t="shared" si="26"/>
        <v>15455.356262666328</v>
      </c>
      <c r="AH29" s="52">
        <f>HLOOKUP(I29,ElecAvoidedCostsWOCC!$A$5:$Q$50,T29+1,FALSE)</f>
        <v>1.0631737127788627</v>
      </c>
      <c r="AI29" s="44">
        <f t="shared" si="27"/>
        <v>0</v>
      </c>
      <c r="AJ29" s="44">
        <f t="shared" si="28"/>
        <v>15455.356262666328</v>
      </c>
      <c r="AK29" s="44">
        <f>HLOOKUP(I29,ElecAvoidedCostsWOCC!$A$5:$Q$50,G29+1,FALSE)*J29*L29</f>
        <v>0</v>
      </c>
      <c r="AL29" s="44">
        <f t="shared" si="29"/>
        <v>15455.356262666328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15455.356262666328</v>
      </c>
      <c r="AN29" s="48">
        <f t="shared" si="30"/>
        <v>33191.305968706118</v>
      </c>
      <c r="AO29" s="47">
        <f t="shared" si="31"/>
        <v>3.0447620847573846</v>
      </c>
      <c r="AP29" s="47">
        <f t="shared" si="32"/>
        <v>9.1335579560489499</v>
      </c>
    </row>
    <row r="30" spans="1:42" x14ac:dyDescent="0.35">
      <c r="B30" s="97" t="s">
        <v>67</v>
      </c>
      <c r="C30" s="98">
        <v>18230716</v>
      </c>
      <c r="D30" s="61" t="s">
        <v>550</v>
      </c>
      <c r="E30" s="38" t="s">
        <v>1390</v>
      </c>
      <c r="F30" s="39" t="s">
        <v>1389</v>
      </c>
      <c r="G30" s="39">
        <v>15</v>
      </c>
      <c r="H30" s="39"/>
      <c r="I30" s="40" t="s">
        <v>263</v>
      </c>
      <c r="J30" s="41">
        <v>2</v>
      </c>
      <c r="K30" s="41">
        <v>15621.35</v>
      </c>
      <c r="L30" s="41"/>
      <c r="M30" s="42">
        <v>2650</v>
      </c>
      <c r="N30" s="42">
        <v>2659</v>
      </c>
      <c r="O30" s="43">
        <v>31242.7</v>
      </c>
      <c r="P30" s="44">
        <v>5300</v>
      </c>
      <c r="Q30" s="44">
        <v>5318</v>
      </c>
      <c r="R30" s="45">
        <v>1755.23</v>
      </c>
      <c r="S30" s="46">
        <v>0</v>
      </c>
      <c r="T30" s="39">
        <f t="shared" si="18"/>
        <v>15</v>
      </c>
      <c r="U30" s="47">
        <f t="shared" si="1"/>
        <v>0.34305458391997484</v>
      </c>
      <c r="V30" s="48">
        <f t="shared" si="19"/>
        <v>9</v>
      </c>
      <c r="W30" s="49">
        <f t="shared" si="3"/>
        <v>2.2870305594664988E-2</v>
      </c>
      <c r="X30" s="44">
        <f t="shared" si="4"/>
        <v>2626.5336136306787</v>
      </c>
      <c r="Y30" s="44">
        <f t="shared" si="20"/>
        <v>18</v>
      </c>
      <c r="Z30" s="44">
        <f t="shared" si="6"/>
        <v>11651.200569678338</v>
      </c>
      <c r="AA30" s="50">
        <f t="shared" si="21"/>
        <v>7944.5336136306787</v>
      </c>
      <c r="AB30" s="51">
        <f t="shared" si="22"/>
        <v>10909.363829286833</v>
      </c>
      <c r="AC30" s="44">
        <f t="shared" si="23"/>
        <v>7438.7018854219832</v>
      </c>
      <c r="AD30" s="44">
        <f t="shared" si="24"/>
        <v>32380.811556177872</v>
      </c>
      <c r="AE30" s="44">
        <f t="shared" si="25"/>
        <v>0</v>
      </c>
      <c r="AF30" s="52">
        <f>HLOOKUP(I30,ElecAvoidedCostsWOCC!$A$5:$Q$50,G30+1,FALSE)</f>
        <v>1.0631737127788627</v>
      </c>
      <c r="AG30" s="44">
        <f t="shared" si="26"/>
        <v>33216.417356236176</v>
      </c>
      <c r="AH30" s="52">
        <f>HLOOKUP(I30,ElecAvoidedCostsWOCC!$A$5:$Q$50,T30+1,FALSE)</f>
        <v>1.0631737127788627</v>
      </c>
      <c r="AI30" s="44">
        <f t="shared" si="27"/>
        <v>0</v>
      </c>
      <c r="AJ30" s="44">
        <f t="shared" si="28"/>
        <v>33216.417356236176</v>
      </c>
      <c r="AK30" s="44">
        <f>HLOOKUP(I30,ElecAvoidedCostsWOCC!$A$5:$Q$50,G30+1,FALSE)*J30*L30</f>
        <v>0</v>
      </c>
      <c r="AL30" s="44">
        <f t="shared" si="29"/>
        <v>33216.417356236176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33216.417356236176</v>
      </c>
      <c r="AN30" s="48">
        <f t="shared" si="30"/>
        <v>68918.870648037671</v>
      </c>
      <c r="AO30" s="47">
        <f t="shared" si="31"/>
        <v>3.0447620847573842</v>
      </c>
      <c r="AP30" s="47">
        <f t="shared" si="32"/>
        <v>9.2649055856239677</v>
      </c>
    </row>
    <row r="31" spans="1:42" x14ac:dyDescent="0.35">
      <c r="B31" s="97" t="s">
        <v>67</v>
      </c>
      <c r="C31" s="98">
        <v>18230716</v>
      </c>
      <c r="D31" s="61" t="s">
        <v>550</v>
      </c>
      <c r="E31" s="38" t="s">
        <v>1393</v>
      </c>
      <c r="F31" s="39" t="s">
        <v>1394</v>
      </c>
      <c r="G31" s="39">
        <v>20</v>
      </c>
      <c r="H31" s="39"/>
      <c r="I31" s="40" t="s">
        <v>263</v>
      </c>
      <c r="J31" s="41">
        <v>1</v>
      </c>
      <c r="K31" s="41">
        <v>9867.2099999999991</v>
      </c>
      <c r="L31" s="41"/>
      <c r="M31" s="42">
        <v>5850</v>
      </c>
      <c r="N31" s="42">
        <v>5882</v>
      </c>
      <c r="O31" s="43">
        <v>9867.2099999999991</v>
      </c>
      <c r="P31" s="44">
        <v>5850</v>
      </c>
      <c r="Q31" s="44">
        <v>5882</v>
      </c>
      <c r="R31" s="45">
        <v>4683.4399999999996</v>
      </c>
      <c r="S31" s="46">
        <v>0</v>
      </c>
      <c r="T31" s="39">
        <f t="shared" si="18"/>
        <v>20</v>
      </c>
      <c r="U31" s="47">
        <f t="shared" si="1"/>
        <v>0.14446005503156531</v>
      </c>
      <c r="V31" s="48">
        <f t="shared" si="19"/>
        <v>32</v>
      </c>
      <c r="W31" s="49">
        <f t="shared" si="3"/>
        <v>7.2230027515782658E-3</v>
      </c>
      <c r="X31" s="44">
        <f t="shared" si="4"/>
        <v>829.52365633420811</v>
      </c>
      <c r="Y31" s="44">
        <f t="shared" si="20"/>
        <v>32</v>
      </c>
      <c r="Z31" s="44">
        <f t="shared" si="6"/>
        <v>3679.7345547323298</v>
      </c>
      <c r="AA31" s="50">
        <f t="shared" si="21"/>
        <v>6711.5236563342078</v>
      </c>
      <c r="AB31" s="51">
        <f t="shared" si="22"/>
        <v>3445.4443396370129</v>
      </c>
      <c r="AC31" s="44">
        <f t="shared" si="23"/>
        <v>6284.1981800882095</v>
      </c>
      <c r="AD31" s="44">
        <f t="shared" si="24"/>
        <v>50397.137411415781</v>
      </c>
      <c r="AE31" s="44">
        <f t="shared" si="25"/>
        <v>0</v>
      </c>
      <c r="AF31" s="52">
        <f>HLOOKUP(I31,ElecAvoidedCostsWOCC!$A$5:$Q$50,G31+1,FALSE)</f>
        <v>1.3380620279399396</v>
      </c>
      <c r="AG31" s="44">
        <f t="shared" si="26"/>
        <v>13202.93902270925</v>
      </c>
      <c r="AH31" s="52">
        <f>HLOOKUP(I31,ElecAvoidedCostsWOCC!$A$5:$Q$50,T31+1,FALSE)</f>
        <v>1.3380620279399396</v>
      </c>
      <c r="AI31" s="44">
        <f t="shared" si="27"/>
        <v>0</v>
      </c>
      <c r="AJ31" s="44">
        <f t="shared" si="28"/>
        <v>13202.93902270925</v>
      </c>
      <c r="AK31" s="44">
        <f>HLOOKUP(I31,ElecAvoidedCostsWOCC!$A$5:$Q$50,G31+1,FALSE)*J31*L31</f>
        <v>0</v>
      </c>
      <c r="AL31" s="44">
        <f t="shared" si="29"/>
        <v>13202.93902270925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13202.93902270925</v>
      </c>
      <c r="AN31" s="48">
        <f t="shared" si="30"/>
        <v>64920.370336395958</v>
      </c>
      <c r="AO31" s="47">
        <f t="shared" si="31"/>
        <v>3.8319989299552044</v>
      </c>
      <c r="AP31" s="47">
        <f t="shared" si="32"/>
        <v>10.330732493780884</v>
      </c>
    </row>
    <row r="32" spans="1:42" x14ac:dyDescent="0.35">
      <c r="B32" s="97" t="s">
        <v>67</v>
      </c>
      <c r="C32" s="98">
        <v>18230716</v>
      </c>
      <c r="D32" s="61" t="s">
        <v>550</v>
      </c>
      <c r="E32" s="38" t="s">
        <v>1395</v>
      </c>
      <c r="F32" s="39" t="s">
        <v>1396</v>
      </c>
      <c r="G32" s="39">
        <v>20</v>
      </c>
      <c r="H32" s="39"/>
      <c r="I32" s="40" t="s">
        <v>263</v>
      </c>
      <c r="J32" s="41">
        <v>2</v>
      </c>
      <c r="K32" s="41">
        <v>6029.73</v>
      </c>
      <c r="L32" s="41"/>
      <c r="M32" s="42">
        <v>3550</v>
      </c>
      <c r="N32" s="42">
        <v>3583.43</v>
      </c>
      <c r="O32" s="43">
        <v>12059.46</v>
      </c>
      <c r="P32" s="44">
        <v>7100</v>
      </c>
      <c r="Q32" s="44">
        <v>7166.86</v>
      </c>
      <c r="R32" s="45">
        <v>4683.4399999999996</v>
      </c>
      <c r="S32" s="46">
        <v>0</v>
      </c>
      <c r="T32" s="39">
        <f t="shared" si="18"/>
        <v>20</v>
      </c>
      <c r="U32" s="47">
        <f t="shared" si="1"/>
        <v>0.17655550609047144</v>
      </c>
      <c r="V32" s="48">
        <f t="shared" si="19"/>
        <v>33.429999999999836</v>
      </c>
      <c r="W32" s="49">
        <f t="shared" si="3"/>
        <v>8.8277753045235725E-3</v>
      </c>
      <c r="X32" s="44">
        <f t="shared" si="4"/>
        <v>1013.8232947931716</v>
      </c>
      <c r="Y32" s="44">
        <f t="shared" si="20"/>
        <v>66.859999999999673</v>
      </c>
      <c r="Z32" s="44">
        <f t="shared" si="6"/>
        <v>4497.2805558422642</v>
      </c>
      <c r="AA32" s="50">
        <f t="shared" si="21"/>
        <v>8180.6832947931716</v>
      </c>
      <c r="AB32" s="51">
        <f t="shared" si="22"/>
        <v>4210.9368500395731</v>
      </c>
      <c r="AC32" s="44">
        <f t="shared" si="23"/>
        <v>7659.8158190947297</v>
      </c>
      <c r="AD32" s="44">
        <f t="shared" si="24"/>
        <v>100794.27482283156</v>
      </c>
      <c r="AE32" s="44">
        <f t="shared" si="25"/>
        <v>0</v>
      </c>
      <c r="AF32" s="52">
        <f>HLOOKUP(I32,ElecAvoidedCostsWOCC!$A$5:$Q$50,G32+1,FALSE)</f>
        <v>1.3380620279399396</v>
      </c>
      <c r="AG32" s="44">
        <f t="shared" si="26"/>
        <v>16136.305503460582</v>
      </c>
      <c r="AH32" s="52">
        <f>HLOOKUP(I32,ElecAvoidedCostsWOCC!$A$5:$Q$50,T32+1,FALSE)</f>
        <v>1.3380620279399396</v>
      </c>
      <c r="AI32" s="44">
        <f t="shared" si="27"/>
        <v>0</v>
      </c>
      <c r="AJ32" s="44">
        <f t="shared" si="28"/>
        <v>16136.305503460582</v>
      </c>
      <c r="AK32" s="44">
        <f>HLOOKUP(I32,ElecAvoidedCostsWOCC!$A$5:$Q$50,G32+1,FALSE)*J32*L32</f>
        <v>0</v>
      </c>
      <c r="AL32" s="44">
        <f t="shared" si="29"/>
        <v>16136.305503460582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16136.305503460582</v>
      </c>
      <c r="AN32" s="48">
        <f t="shared" si="30"/>
        <v>118544.2108766382</v>
      </c>
      <c r="AO32" s="47">
        <f t="shared" si="31"/>
        <v>3.8319989299552044</v>
      </c>
      <c r="AP32" s="47">
        <f t="shared" si="32"/>
        <v>15.476117660835385</v>
      </c>
    </row>
    <row r="33" spans="2:42" x14ac:dyDescent="0.35">
      <c r="B33" s="97" t="s">
        <v>67</v>
      </c>
      <c r="C33" s="98">
        <v>18230716</v>
      </c>
      <c r="D33" s="61" t="s">
        <v>550</v>
      </c>
      <c r="E33" s="38" t="s">
        <v>1397</v>
      </c>
      <c r="F33" s="39" t="s">
        <v>1398</v>
      </c>
      <c r="G33" s="39">
        <v>10</v>
      </c>
      <c r="H33" s="39"/>
      <c r="I33" s="40" t="s">
        <v>263</v>
      </c>
      <c r="J33" s="41">
        <v>1</v>
      </c>
      <c r="K33" s="41">
        <v>2854</v>
      </c>
      <c r="L33" s="41"/>
      <c r="M33" s="42">
        <v>200</v>
      </c>
      <c r="N33" s="42">
        <v>232</v>
      </c>
      <c r="O33" s="43">
        <v>2854</v>
      </c>
      <c r="P33" s="44">
        <v>200</v>
      </c>
      <c r="Q33" s="44">
        <v>232</v>
      </c>
      <c r="R33" s="45">
        <v>110.1473</v>
      </c>
      <c r="S33" s="46">
        <v>0</v>
      </c>
      <c r="T33" s="39">
        <f t="shared" si="18"/>
        <v>10</v>
      </c>
      <c r="U33" s="47">
        <f t="shared" si="1"/>
        <v>2.0891873035036625E-2</v>
      </c>
      <c r="V33" s="48">
        <f t="shared" si="19"/>
        <v>32</v>
      </c>
      <c r="W33" s="49">
        <f t="shared" si="3"/>
        <v>2.0891873035036625E-3</v>
      </c>
      <c r="X33" s="44">
        <f t="shared" si="4"/>
        <v>239.93211000656015</v>
      </c>
      <c r="Y33" s="44">
        <f t="shared" si="20"/>
        <v>32</v>
      </c>
      <c r="Z33" s="44">
        <f t="shared" si="6"/>
        <v>1064.3294729924742</v>
      </c>
      <c r="AA33" s="50">
        <f t="shared" si="21"/>
        <v>471.93211000656015</v>
      </c>
      <c r="AB33" s="51">
        <f t="shared" si="22"/>
        <v>996.56317695924542</v>
      </c>
      <c r="AC33" s="44">
        <f t="shared" si="23"/>
        <v>441.88399813348326</v>
      </c>
      <c r="AD33" s="44">
        <f t="shared" si="24"/>
        <v>780.83167389713901</v>
      </c>
      <c r="AE33" s="44">
        <f t="shared" si="25"/>
        <v>0</v>
      </c>
      <c r="AF33" s="52">
        <f>HLOOKUP(I33,ElecAvoidedCostsWOCC!$A$5:$Q$50,G33+1,FALSE)</f>
        <v>0.7517576463959158</v>
      </c>
      <c r="AG33" s="44">
        <f t="shared" si="26"/>
        <v>2145.5163228139436</v>
      </c>
      <c r="AH33" s="52">
        <f>HLOOKUP(I33,ElecAvoidedCostsWOCC!$A$5:$Q$50,T33+1,FALSE)</f>
        <v>0.7517576463959158</v>
      </c>
      <c r="AI33" s="44">
        <f t="shared" si="27"/>
        <v>0</v>
      </c>
      <c r="AJ33" s="44">
        <f t="shared" si="28"/>
        <v>2145.5163228139436</v>
      </c>
      <c r="AK33" s="44">
        <f>HLOOKUP(I33,ElecAvoidedCostsWOCC!$A$5:$Q$50,G33+1,FALSE)*J33*L33</f>
        <v>0</v>
      </c>
      <c r="AL33" s="44">
        <f t="shared" si="29"/>
        <v>2145.5163228139436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2145.5163228139436</v>
      </c>
      <c r="AN33" s="48">
        <f t="shared" si="30"/>
        <v>3140.8996289924771</v>
      </c>
      <c r="AO33" s="47">
        <f t="shared" si="31"/>
        <v>2.1529155124519361</v>
      </c>
      <c r="AP33" s="47">
        <f t="shared" si="32"/>
        <v>7.1079732288556006</v>
      </c>
    </row>
    <row r="34" spans="2:42" x14ac:dyDescent="0.35">
      <c r="B34" s="97" t="s">
        <v>67</v>
      </c>
      <c r="C34" s="98">
        <v>18230716</v>
      </c>
      <c r="D34" s="61" t="s">
        <v>550</v>
      </c>
      <c r="E34" s="38" t="s">
        <v>1399</v>
      </c>
      <c r="F34" s="39" t="s">
        <v>1398</v>
      </c>
      <c r="G34" s="39">
        <v>10</v>
      </c>
      <c r="H34" s="39"/>
      <c r="I34" s="40" t="s">
        <v>263</v>
      </c>
      <c r="J34" s="41">
        <v>4</v>
      </c>
      <c r="K34" s="41">
        <v>3871.96</v>
      </c>
      <c r="L34" s="41"/>
      <c r="M34" s="42">
        <v>230</v>
      </c>
      <c r="N34" s="42">
        <v>232</v>
      </c>
      <c r="O34" s="43">
        <v>15487.84</v>
      </c>
      <c r="P34" s="44">
        <v>920</v>
      </c>
      <c r="Q34" s="44">
        <v>928</v>
      </c>
      <c r="R34" s="45">
        <v>110.15</v>
      </c>
      <c r="S34" s="46">
        <v>0</v>
      </c>
      <c r="T34" s="39">
        <f t="shared" si="18"/>
        <v>10</v>
      </c>
      <c r="U34" s="47">
        <f t="shared" si="1"/>
        <v>0.11337420703117086</v>
      </c>
      <c r="V34" s="48">
        <f t="shared" si="19"/>
        <v>2</v>
      </c>
      <c r="W34" s="49">
        <f t="shared" si="3"/>
        <v>1.1337420703117086E-2</v>
      </c>
      <c r="X34" s="44">
        <f t="shared" si="4"/>
        <v>1302.0427927974781</v>
      </c>
      <c r="Y34" s="44">
        <f t="shared" si="20"/>
        <v>8</v>
      </c>
      <c r="Z34" s="44">
        <f t="shared" si="6"/>
        <v>5775.8109968436438</v>
      </c>
      <c r="AA34" s="50">
        <f t="shared" si="21"/>
        <v>2230.0427927974779</v>
      </c>
      <c r="AB34" s="51">
        <f t="shared" si="22"/>
        <v>5408.0627311270073</v>
      </c>
      <c r="AC34" s="44">
        <f t="shared" si="23"/>
        <v>2088.0550494358404</v>
      </c>
      <c r="AD34" s="44">
        <f t="shared" si="24"/>
        <v>3123.4032565399193</v>
      </c>
      <c r="AE34" s="44">
        <f t="shared" si="25"/>
        <v>0</v>
      </c>
      <c r="AF34" s="52">
        <f>HLOOKUP(I34,ElecAvoidedCostsWOCC!$A$5:$Q$50,G34+1,FALSE)</f>
        <v>0.7517576463959158</v>
      </c>
      <c r="AG34" s="44">
        <f t="shared" si="26"/>
        <v>11643.102146156521</v>
      </c>
      <c r="AH34" s="52">
        <f>HLOOKUP(I34,ElecAvoidedCostsWOCC!$A$5:$Q$50,T34+1,FALSE)</f>
        <v>0.7517576463959158</v>
      </c>
      <c r="AI34" s="44">
        <f t="shared" si="27"/>
        <v>0</v>
      </c>
      <c r="AJ34" s="44">
        <f t="shared" si="28"/>
        <v>11643.102146156521</v>
      </c>
      <c r="AK34" s="44">
        <f>HLOOKUP(I34,ElecAvoidedCostsWOCC!$A$5:$Q$50,G34+1,FALSE)*J34*L34</f>
        <v>0</v>
      </c>
      <c r="AL34" s="44">
        <f t="shared" si="29"/>
        <v>11643.102146156521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11643.102146156521</v>
      </c>
      <c r="AN34" s="48">
        <f t="shared" si="30"/>
        <v>15930.815617312093</v>
      </c>
      <c r="AO34" s="47">
        <f t="shared" si="31"/>
        <v>2.1529155124519366</v>
      </c>
      <c r="AP34" s="47">
        <f t="shared" si="32"/>
        <v>7.6294998168828689</v>
      </c>
    </row>
    <row r="35" spans="2:42" x14ac:dyDescent="0.35">
      <c r="B35" s="97" t="s">
        <v>67</v>
      </c>
      <c r="C35" s="98">
        <v>18230716</v>
      </c>
      <c r="D35" s="61" t="s">
        <v>550</v>
      </c>
      <c r="E35" s="38" t="s">
        <v>1402</v>
      </c>
      <c r="F35" s="39" t="s">
        <v>1403</v>
      </c>
      <c r="G35" s="39">
        <v>12</v>
      </c>
      <c r="H35" s="39"/>
      <c r="I35" s="40" t="s">
        <v>263</v>
      </c>
      <c r="J35" s="41">
        <v>22</v>
      </c>
      <c r="K35" s="41">
        <v>15115</v>
      </c>
      <c r="L35" s="41"/>
      <c r="M35" s="42">
        <v>1000</v>
      </c>
      <c r="N35" s="42">
        <v>1053</v>
      </c>
      <c r="O35" s="43">
        <v>332530</v>
      </c>
      <c r="P35" s="44">
        <v>22000</v>
      </c>
      <c r="Q35" s="44">
        <v>23166</v>
      </c>
      <c r="R35" s="45">
        <v>493.08</v>
      </c>
      <c r="S35" s="46">
        <v>0</v>
      </c>
      <c r="T35" s="39">
        <f t="shared" si="18"/>
        <v>12</v>
      </c>
      <c r="U35" s="47">
        <f t="shared" si="1"/>
        <v>2.9210264360227312</v>
      </c>
      <c r="V35" s="48">
        <f t="shared" si="19"/>
        <v>53</v>
      </c>
      <c r="W35" s="49">
        <f t="shared" si="3"/>
        <v>0.24341886966856091</v>
      </c>
      <c r="X35" s="44">
        <f t="shared" si="4"/>
        <v>27955.369495613679</v>
      </c>
      <c r="Y35" s="44">
        <f t="shared" si="20"/>
        <v>1166</v>
      </c>
      <c r="Z35" s="44">
        <f t="shared" si="6"/>
        <v>124008.92769943496</v>
      </c>
      <c r="AA35" s="50">
        <f t="shared" si="21"/>
        <v>51121.369495613675</v>
      </c>
      <c r="AB35" s="51">
        <f t="shared" si="22"/>
        <v>116113.22818299153</v>
      </c>
      <c r="AC35" s="44">
        <f t="shared" si="23"/>
        <v>47866.450838589582</v>
      </c>
      <c r="AD35" s="44">
        <f t="shared" si="24"/>
        <v>87086.269080507423</v>
      </c>
      <c r="AE35" s="44">
        <f t="shared" si="25"/>
        <v>0</v>
      </c>
      <c r="AF35" s="52">
        <f>HLOOKUP(I35,ElecAvoidedCostsWOCC!$A$5:$Q$50,G35+1,FALSE)</f>
        <v>0.88596079543344408</v>
      </c>
      <c r="AG35" s="44">
        <f t="shared" si="26"/>
        <v>294608.54330548318</v>
      </c>
      <c r="AH35" s="52">
        <f>HLOOKUP(I35,ElecAvoidedCostsWOCC!$A$5:$Q$50,T35+1,FALSE)</f>
        <v>0.88596079543344408</v>
      </c>
      <c r="AI35" s="44">
        <f t="shared" si="27"/>
        <v>0</v>
      </c>
      <c r="AJ35" s="44">
        <f t="shared" si="28"/>
        <v>294608.54330548318</v>
      </c>
      <c r="AK35" s="44">
        <f>HLOOKUP(I35,ElecAvoidedCostsWOCC!$A$5:$Q$50,G35+1,FALSE)*J35*L35</f>
        <v>0</v>
      </c>
      <c r="AL35" s="44">
        <f t="shared" si="29"/>
        <v>294608.54330548318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294608.54330548318</v>
      </c>
      <c r="AN35" s="48">
        <f t="shared" si="30"/>
        <v>411155.66671653895</v>
      </c>
      <c r="AO35" s="47">
        <f t="shared" si="31"/>
        <v>2.5372521969778288</v>
      </c>
      <c r="AP35" s="47">
        <f t="shared" si="32"/>
        <v>8.5896417953149822</v>
      </c>
    </row>
    <row r="36" spans="2:42" x14ac:dyDescent="0.35">
      <c r="B36" s="97" t="s">
        <v>67</v>
      </c>
      <c r="C36" s="98">
        <v>18230716</v>
      </c>
      <c r="D36" s="61" t="s">
        <v>550</v>
      </c>
      <c r="E36" s="38" t="s">
        <v>1412</v>
      </c>
      <c r="F36" s="39" t="s">
        <v>1413</v>
      </c>
      <c r="G36" s="39">
        <v>12</v>
      </c>
      <c r="H36" s="39"/>
      <c r="I36" s="40" t="s">
        <v>263</v>
      </c>
      <c r="J36" s="41">
        <v>3</v>
      </c>
      <c r="K36" s="41">
        <v>36468</v>
      </c>
      <c r="L36" s="41"/>
      <c r="M36" s="42">
        <v>3450</v>
      </c>
      <c r="N36" s="42">
        <v>2393</v>
      </c>
      <c r="O36" s="43">
        <v>109404</v>
      </c>
      <c r="P36" s="44">
        <v>10350</v>
      </c>
      <c r="Q36" s="44">
        <v>7179</v>
      </c>
      <c r="R36" s="45">
        <v>1887.14</v>
      </c>
      <c r="S36" s="46">
        <v>0</v>
      </c>
      <c r="T36" s="39">
        <f t="shared" si="18"/>
        <v>12</v>
      </c>
      <c r="U36" s="47">
        <f t="shared" si="1"/>
        <v>0.9610320157779173</v>
      </c>
      <c r="V36" s="48">
        <f t="shared" si="19"/>
        <v>-1057</v>
      </c>
      <c r="W36" s="49">
        <f t="shared" si="3"/>
        <v>8.0086001314826447E-2</v>
      </c>
      <c r="X36" s="44">
        <f t="shared" si="4"/>
        <v>9197.4535960608628</v>
      </c>
      <c r="Y36" s="44">
        <f t="shared" si="20"/>
        <v>-3171</v>
      </c>
      <c r="Z36" s="44">
        <f t="shared" si="6"/>
        <v>40799.54508173393</v>
      </c>
      <c r="AA36" s="50">
        <f t="shared" si="21"/>
        <v>16376.453596060863</v>
      </c>
      <c r="AB36" s="51">
        <f t="shared" si="22"/>
        <v>38201.821237578581</v>
      </c>
      <c r="AC36" s="44">
        <f t="shared" si="23"/>
        <v>15333.758048746125</v>
      </c>
      <c r="AD36" s="44">
        <f t="shared" si="24"/>
        <v>45450.115553604279</v>
      </c>
      <c r="AE36" s="44">
        <f t="shared" si="25"/>
        <v>0</v>
      </c>
      <c r="AF36" s="52">
        <f>HLOOKUP(I36,ElecAvoidedCostsWOCC!$A$5:$Q$50,G36+1,FALSE)</f>
        <v>0.88596079543344408</v>
      </c>
      <c r="AG36" s="44">
        <f t="shared" si="26"/>
        <v>96927.654863600503</v>
      </c>
      <c r="AH36" s="52">
        <f>HLOOKUP(I36,ElecAvoidedCostsWOCC!$A$5:$Q$50,T36+1,FALSE)</f>
        <v>0.88596079543344408</v>
      </c>
      <c r="AI36" s="44">
        <f t="shared" si="27"/>
        <v>0</v>
      </c>
      <c r="AJ36" s="44">
        <f t="shared" si="28"/>
        <v>96927.654863600503</v>
      </c>
      <c r="AK36" s="44">
        <f>HLOOKUP(I36,ElecAvoidedCostsWOCC!$A$5:$Q$50,G36+1,FALSE)*J36*L36</f>
        <v>0</v>
      </c>
      <c r="AL36" s="44">
        <f t="shared" si="29"/>
        <v>96927.654863600503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96927.654863600517</v>
      </c>
      <c r="AN36" s="48">
        <f t="shared" si="30"/>
        <v>152070.53590356486</v>
      </c>
      <c r="AO36" s="47">
        <f t="shared" si="31"/>
        <v>2.5372521969778283</v>
      </c>
      <c r="AP36" s="47">
        <f t="shared" si="32"/>
        <v>9.9173689463555874</v>
      </c>
    </row>
    <row r="37" spans="2:42" x14ac:dyDescent="0.35">
      <c r="B37" s="97" t="s">
        <v>67</v>
      </c>
      <c r="C37" s="98">
        <v>18230716</v>
      </c>
      <c r="D37" s="61" t="s">
        <v>550</v>
      </c>
      <c r="E37" s="38" t="s">
        <v>1414</v>
      </c>
      <c r="F37" s="39" t="s">
        <v>1415</v>
      </c>
      <c r="G37" s="39">
        <v>10</v>
      </c>
      <c r="H37" s="39"/>
      <c r="I37" s="40" t="s">
        <v>265</v>
      </c>
      <c r="J37" s="41">
        <v>3</v>
      </c>
      <c r="K37" s="41">
        <v>666</v>
      </c>
      <c r="L37" s="41"/>
      <c r="M37" s="42">
        <v>375</v>
      </c>
      <c r="N37" s="42">
        <v>272.88</v>
      </c>
      <c r="O37" s="43">
        <v>1998</v>
      </c>
      <c r="P37" s="44">
        <v>1125</v>
      </c>
      <c r="Q37" s="44">
        <v>818.64</v>
      </c>
      <c r="R37" s="45">
        <v>878.03</v>
      </c>
      <c r="S37" s="46">
        <v>0</v>
      </c>
      <c r="T37" s="39">
        <f t="shared" ref="T37:T53" si="33">G37+H37</f>
        <v>10</v>
      </c>
      <c r="U37" s="47">
        <f t="shared" ref="U37:U53" si="34">(O37/$A$10)*T37</f>
        <v>1.4625775166083804E-2</v>
      </c>
      <c r="V37" s="48">
        <f t="shared" ref="V37:V53" si="35">N37-M37</f>
        <v>-102.12</v>
      </c>
      <c r="W37" s="49">
        <f t="shared" ref="W37:W53" si="36">(O37/A$10)</f>
        <v>1.4625775166083803E-3</v>
      </c>
      <c r="X37" s="44">
        <f t="shared" ref="X37:X53" si="37">W37*A$8</f>
        <v>167.96929074740964</v>
      </c>
      <c r="Y37" s="44">
        <f t="shared" ref="Y37:Y53" si="38">Q37-P37</f>
        <v>-306.36</v>
      </c>
      <c r="Z37" s="44">
        <f t="shared" ref="Z37:Z53" si="39">X37+(A$6*W37)</f>
        <v>745.1052162014588</v>
      </c>
      <c r="AA37" s="50">
        <f t="shared" ref="AA37:AA53" si="40">Q37+X37</f>
        <v>986.60929074740966</v>
      </c>
      <c r="AB37" s="51">
        <f t="shared" ref="AB37:AB53" si="41">Z37/(1+ElecDiscountRate)^1</f>
        <v>697.66406011372544</v>
      </c>
      <c r="AC37" s="44">
        <f t="shared" ref="AC37:AC53" si="42">AA37/(1+ElecDiscountRate)^1</f>
        <v>923.79147073727495</v>
      </c>
      <c r="AD37" s="44">
        <f t="shared" ref="AD37:AD53" si="43">-PV(ElecDiscountRate,T37,R37)*J37</f>
        <v>18673.003368178022</v>
      </c>
      <c r="AE37" s="44">
        <f t="shared" ref="AE37:AE53" si="44">-PV(ElecDiscountRate,T37,S37)*J37</f>
        <v>0</v>
      </c>
      <c r="AF37" s="52">
        <f>HLOOKUP(I37,ElecAvoidedCostsWOCC!$A$5:$Q$50,G37+1,FALSE)</f>
        <v>0.75060359248592257</v>
      </c>
      <c r="AG37" s="44">
        <f t="shared" ref="AG37:AG53" si="45">AF37*J37*K37</f>
        <v>1499.7059777868733</v>
      </c>
      <c r="AH37" s="52">
        <f>HLOOKUP(I37,ElecAvoidedCostsWOCC!$A$5:$Q$50,T37+1,FALSE)</f>
        <v>0.75060359248592257</v>
      </c>
      <c r="AI37" s="44">
        <f t="shared" ref="AI37:AI53" si="46">AH37*J37*L37</f>
        <v>0</v>
      </c>
      <c r="AJ37" s="44">
        <f t="shared" ref="AJ37:AJ53" si="47">AG37+AI37</f>
        <v>1499.7059777868733</v>
      </c>
      <c r="AK37" s="44">
        <f>HLOOKUP(I37,ElecAvoidedCostsWOCC!$A$5:$Q$50,G37+1,FALSE)*J37*L37</f>
        <v>0</v>
      </c>
      <c r="AL37" s="44">
        <f t="shared" ref="AL37:AL53" si="48">AG37+AI37-AK37</f>
        <v>1499.7059777868733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1499.7059777868733</v>
      </c>
      <c r="AN37" s="48">
        <f t="shared" ref="AN37:AN53" si="49">AM37*1.1+AD37+AE37</f>
        <v>20322.679943743584</v>
      </c>
      <c r="AO37" s="47">
        <f t="shared" ref="AO37:AO53" si="50">IFERROR(AM37/AB37,0)</f>
        <v>2.1496104837941745</v>
      </c>
      <c r="AP37" s="47">
        <f t="shared" ref="AP37:AP53" si="51">AN37/AC37</f>
        <v>21.999207166877305</v>
      </c>
    </row>
    <row r="38" spans="2:42" x14ac:dyDescent="0.35">
      <c r="B38" s="97" t="s">
        <v>67</v>
      </c>
      <c r="C38" s="98">
        <v>18230716</v>
      </c>
      <c r="D38" s="61" t="s">
        <v>550</v>
      </c>
      <c r="E38" s="38" t="s">
        <v>1416</v>
      </c>
      <c r="F38" s="39" t="s">
        <v>1417</v>
      </c>
      <c r="G38" s="39">
        <v>10</v>
      </c>
      <c r="H38" s="39"/>
      <c r="I38" s="40" t="s">
        <v>265</v>
      </c>
      <c r="J38" s="41">
        <v>2</v>
      </c>
      <c r="K38" s="41">
        <v>414</v>
      </c>
      <c r="L38" s="41"/>
      <c r="M38" s="42">
        <v>262.5</v>
      </c>
      <c r="N38" s="42">
        <v>199.15</v>
      </c>
      <c r="O38" s="43">
        <v>828</v>
      </c>
      <c r="P38" s="44">
        <v>525</v>
      </c>
      <c r="Q38" s="44">
        <v>398.3</v>
      </c>
      <c r="R38" s="45">
        <v>878.03</v>
      </c>
      <c r="S38" s="46">
        <v>0</v>
      </c>
      <c r="T38" s="39">
        <f t="shared" si="33"/>
        <v>10</v>
      </c>
      <c r="U38" s="47">
        <f t="shared" si="34"/>
        <v>6.0611320508095045E-3</v>
      </c>
      <c r="V38" s="48">
        <f t="shared" si="35"/>
        <v>-63.349999999999994</v>
      </c>
      <c r="W38" s="49">
        <f t="shared" si="36"/>
        <v>6.0611320508095041E-4</v>
      </c>
      <c r="X38" s="44">
        <f t="shared" si="37"/>
        <v>69.608895264692293</v>
      </c>
      <c r="Y38" s="44">
        <f t="shared" si="38"/>
        <v>-126.69999999999999</v>
      </c>
      <c r="Z38" s="44">
        <f t="shared" si="39"/>
        <v>308.78234184925316</v>
      </c>
      <c r="AA38" s="50">
        <f t="shared" si="40"/>
        <v>467.90889526469232</v>
      </c>
      <c r="AB38" s="51">
        <f t="shared" si="41"/>
        <v>289.1220429300123</v>
      </c>
      <c r="AC38" s="44">
        <f t="shared" si="42"/>
        <v>438.11694313173433</v>
      </c>
      <c r="AD38" s="44">
        <f t="shared" si="43"/>
        <v>12448.668912118681</v>
      </c>
      <c r="AE38" s="44">
        <f t="shared" si="44"/>
        <v>0</v>
      </c>
      <c r="AF38" s="52">
        <f>HLOOKUP(I38,ElecAvoidedCostsWOCC!$A$5:$Q$50,G38+1,FALSE)</f>
        <v>0.75060359248592257</v>
      </c>
      <c r="AG38" s="44">
        <f t="shared" si="45"/>
        <v>621.49977457834393</v>
      </c>
      <c r="AH38" s="52">
        <f>HLOOKUP(I38,ElecAvoidedCostsWOCC!$A$5:$Q$50,T38+1,FALSE)</f>
        <v>0.75060359248592257</v>
      </c>
      <c r="AI38" s="44">
        <f t="shared" si="46"/>
        <v>0</v>
      </c>
      <c r="AJ38" s="44">
        <f t="shared" si="47"/>
        <v>621.49977457834393</v>
      </c>
      <c r="AK38" s="44">
        <f>HLOOKUP(I38,ElecAvoidedCostsWOCC!$A$5:$Q$50,G38+1,FALSE)*J38*L38</f>
        <v>0</v>
      </c>
      <c r="AL38" s="44">
        <f t="shared" si="48"/>
        <v>621.49977457834393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621.49977457834393</v>
      </c>
      <c r="AN38" s="48">
        <f t="shared" si="49"/>
        <v>13132.31866415486</v>
      </c>
      <c r="AO38" s="47">
        <f t="shared" si="50"/>
        <v>2.149610483794175</v>
      </c>
      <c r="AP38" s="47">
        <f t="shared" si="51"/>
        <v>29.974459719094213</v>
      </c>
    </row>
    <row r="39" spans="2:42" x14ac:dyDescent="0.35">
      <c r="B39" s="97" t="s">
        <v>67</v>
      </c>
      <c r="C39" s="98">
        <v>18230716</v>
      </c>
      <c r="D39" s="61" t="s">
        <v>550</v>
      </c>
      <c r="E39" s="38" t="s">
        <v>1418</v>
      </c>
      <c r="F39" s="39" t="s">
        <v>1419</v>
      </c>
      <c r="G39" s="39">
        <v>10</v>
      </c>
      <c r="H39" s="39"/>
      <c r="I39" s="40" t="s">
        <v>265</v>
      </c>
      <c r="J39" s="41">
        <v>1</v>
      </c>
      <c r="K39" s="41">
        <v>2123</v>
      </c>
      <c r="L39" s="41"/>
      <c r="M39" s="42">
        <v>750</v>
      </c>
      <c r="N39" s="42">
        <v>513.35</v>
      </c>
      <c r="O39" s="43">
        <v>2123</v>
      </c>
      <c r="P39" s="44">
        <v>750</v>
      </c>
      <c r="Q39" s="44">
        <v>513.35</v>
      </c>
      <c r="R39" s="45">
        <v>878.03</v>
      </c>
      <c r="S39" s="46">
        <v>0</v>
      </c>
      <c r="T39" s="39">
        <f t="shared" si="33"/>
        <v>10</v>
      </c>
      <c r="U39" s="47">
        <f t="shared" si="34"/>
        <v>1.5540801139937895E-2</v>
      </c>
      <c r="V39" s="48">
        <f t="shared" si="35"/>
        <v>-236.64999999999998</v>
      </c>
      <c r="W39" s="49">
        <f t="shared" si="36"/>
        <v>1.5540801139937895E-3</v>
      </c>
      <c r="X39" s="44">
        <f t="shared" si="37"/>
        <v>178.47788000838372</v>
      </c>
      <c r="Y39" s="44">
        <f t="shared" si="38"/>
        <v>-236.64999999999998</v>
      </c>
      <c r="Z39" s="44">
        <f t="shared" si="39"/>
        <v>791.72090790575419</v>
      </c>
      <c r="AA39" s="50">
        <f t="shared" si="40"/>
        <v>691.82788000838377</v>
      </c>
      <c r="AB39" s="51">
        <f t="shared" si="41"/>
        <v>741.31171152224169</v>
      </c>
      <c r="AC39" s="44">
        <f t="shared" si="42"/>
        <v>647.77891386552778</v>
      </c>
      <c r="AD39" s="44">
        <f t="shared" si="43"/>
        <v>6224.3344560593405</v>
      </c>
      <c r="AE39" s="44">
        <f t="shared" si="44"/>
        <v>0</v>
      </c>
      <c r="AF39" s="52">
        <f>HLOOKUP(I39,ElecAvoidedCostsWOCC!$A$5:$Q$50,G39+1,FALSE)</f>
        <v>0.75060359248592257</v>
      </c>
      <c r="AG39" s="44">
        <f t="shared" si="45"/>
        <v>1593.5314268476136</v>
      </c>
      <c r="AH39" s="52">
        <f>HLOOKUP(I39,ElecAvoidedCostsWOCC!$A$5:$Q$50,T39+1,FALSE)</f>
        <v>0.75060359248592257</v>
      </c>
      <c r="AI39" s="44">
        <f t="shared" si="46"/>
        <v>0</v>
      </c>
      <c r="AJ39" s="44">
        <f t="shared" si="47"/>
        <v>1593.5314268476136</v>
      </c>
      <c r="AK39" s="44">
        <f>HLOOKUP(I39,ElecAvoidedCostsWOCC!$A$5:$Q$50,G39+1,FALSE)*J39*L39</f>
        <v>0</v>
      </c>
      <c r="AL39" s="44">
        <f t="shared" si="48"/>
        <v>1593.5314268476136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1593.5314268476136</v>
      </c>
      <c r="AN39" s="48">
        <f t="shared" si="49"/>
        <v>7977.2190255917158</v>
      </c>
      <c r="AO39" s="47">
        <f t="shared" si="50"/>
        <v>2.1496104837941745</v>
      </c>
      <c r="AP39" s="47">
        <f t="shared" si="51"/>
        <v>12.314724753834305</v>
      </c>
    </row>
    <row r="40" spans="2:42" x14ac:dyDescent="0.35">
      <c r="B40" s="97" t="s">
        <v>67</v>
      </c>
      <c r="C40" s="98">
        <v>18230716</v>
      </c>
      <c r="D40" s="61" t="s">
        <v>550</v>
      </c>
      <c r="E40" s="38" t="s">
        <v>1420</v>
      </c>
      <c r="F40" s="39" t="s">
        <v>1421</v>
      </c>
      <c r="G40" s="39">
        <v>10</v>
      </c>
      <c r="H40" s="39"/>
      <c r="I40" s="40" t="s">
        <v>265</v>
      </c>
      <c r="J40" s="41">
        <v>1</v>
      </c>
      <c r="K40" s="41">
        <v>745</v>
      </c>
      <c r="L40" s="41"/>
      <c r="M40" s="42">
        <v>300</v>
      </c>
      <c r="N40" s="42">
        <v>224.48</v>
      </c>
      <c r="O40" s="43">
        <v>745</v>
      </c>
      <c r="P40" s="44">
        <v>300</v>
      </c>
      <c r="Q40" s="44">
        <v>224.48</v>
      </c>
      <c r="R40" s="45">
        <v>878.03</v>
      </c>
      <c r="S40" s="46">
        <v>0</v>
      </c>
      <c r="T40" s="39">
        <f t="shared" si="33"/>
        <v>10</v>
      </c>
      <c r="U40" s="47">
        <f t="shared" si="34"/>
        <v>5.4535548041703867E-3</v>
      </c>
      <c r="V40" s="48">
        <f t="shared" si="35"/>
        <v>-75.52000000000001</v>
      </c>
      <c r="W40" s="49">
        <f t="shared" si="36"/>
        <v>5.453554804170387E-4</v>
      </c>
      <c r="X40" s="44">
        <f t="shared" si="37"/>
        <v>62.631191995405501</v>
      </c>
      <c r="Y40" s="44">
        <f t="shared" si="38"/>
        <v>-75.52000000000001</v>
      </c>
      <c r="Z40" s="44">
        <f t="shared" si="39"/>
        <v>277.82952255760097</v>
      </c>
      <c r="AA40" s="50">
        <f t="shared" si="40"/>
        <v>287.11119199540548</v>
      </c>
      <c r="AB40" s="51">
        <f t="shared" si="41"/>
        <v>260.14000239475746</v>
      </c>
      <c r="AC40" s="44">
        <f t="shared" si="42"/>
        <v>268.8307041155482</v>
      </c>
      <c r="AD40" s="44">
        <f t="shared" si="43"/>
        <v>6224.3344560593405</v>
      </c>
      <c r="AE40" s="44">
        <f t="shared" si="44"/>
        <v>0</v>
      </c>
      <c r="AF40" s="52">
        <f>HLOOKUP(I40,ElecAvoidedCostsWOCC!$A$5:$Q$50,G40+1,FALSE)</f>
        <v>0.75060359248592257</v>
      </c>
      <c r="AG40" s="44">
        <f t="shared" si="45"/>
        <v>559.1996764020123</v>
      </c>
      <c r="AH40" s="52">
        <f>HLOOKUP(I40,ElecAvoidedCostsWOCC!$A$5:$Q$50,T40+1,FALSE)</f>
        <v>0.75060359248592257</v>
      </c>
      <c r="AI40" s="44">
        <f t="shared" si="46"/>
        <v>0</v>
      </c>
      <c r="AJ40" s="44">
        <f t="shared" si="47"/>
        <v>559.1996764020123</v>
      </c>
      <c r="AK40" s="44">
        <f>HLOOKUP(I40,ElecAvoidedCostsWOCC!$A$5:$Q$50,G40+1,FALSE)*J40*L40</f>
        <v>0</v>
      </c>
      <c r="AL40" s="44">
        <f t="shared" si="48"/>
        <v>559.1996764020123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559.1996764020123</v>
      </c>
      <c r="AN40" s="48">
        <f t="shared" si="49"/>
        <v>6839.4541001015541</v>
      </c>
      <c r="AO40" s="47">
        <f t="shared" si="50"/>
        <v>2.1496104837941745</v>
      </c>
      <c r="AP40" s="47">
        <f t="shared" si="51"/>
        <v>25.441491598228435</v>
      </c>
    </row>
    <row r="41" spans="2:42" x14ac:dyDescent="0.35">
      <c r="B41" s="97" t="s">
        <v>67</v>
      </c>
      <c r="C41" s="98">
        <v>18230716</v>
      </c>
      <c r="D41" s="61" t="s">
        <v>550</v>
      </c>
      <c r="E41" s="38" t="s">
        <v>1422</v>
      </c>
      <c r="F41" s="39" t="s">
        <v>1423</v>
      </c>
      <c r="G41" s="39"/>
      <c r="H41" s="39"/>
      <c r="I41" s="40"/>
      <c r="J41" s="41">
        <v>1</v>
      </c>
      <c r="K41" s="41">
        <v>0</v>
      </c>
      <c r="L41" s="41"/>
      <c r="M41" s="42">
        <v>50</v>
      </c>
      <c r="N41" s="42">
        <v>0</v>
      </c>
      <c r="O41" s="43">
        <v>0</v>
      </c>
      <c r="P41" s="44">
        <v>50</v>
      </c>
      <c r="Q41" s="44">
        <v>0</v>
      </c>
      <c r="R41" s="45">
        <v>0</v>
      </c>
      <c r="S41" s="46">
        <v>0</v>
      </c>
      <c r="T41" s="39">
        <f t="shared" si="33"/>
        <v>0</v>
      </c>
      <c r="U41" s="47">
        <f t="shared" si="34"/>
        <v>0</v>
      </c>
      <c r="V41" s="48">
        <f t="shared" si="35"/>
        <v>-50</v>
      </c>
      <c r="W41" s="49">
        <f t="shared" si="36"/>
        <v>0</v>
      </c>
      <c r="X41" s="44">
        <f t="shared" si="37"/>
        <v>0</v>
      </c>
      <c r="Y41" s="44">
        <f t="shared" si="38"/>
        <v>-50</v>
      </c>
      <c r="Z41" s="44">
        <f t="shared" si="39"/>
        <v>0</v>
      </c>
      <c r="AA41" s="50">
        <f t="shared" si="40"/>
        <v>0</v>
      </c>
      <c r="AB41" s="51">
        <f t="shared" si="41"/>
        <v>0</v>
      </c>
      <c r="AC41" s="44">
        <f t="shared" si="42"/>
        <v>0</v>
      </c>
      <c r="AD41" s="44">
        <f t="shared" si="43"/>
        <v>0</v>
      </c>
      <c r="AE41" s="44">
        <f t="shared" si="44"/>
        <v>0</v>
      </c>
      <c r="AF41" s="52" t="e">
        <f>HLOOKUP(I41,ElecAvoidedCostsWOCC!$A$5:$Q$50,G41+1,FALSE)</f>
        <v>#N/A</v>
      </c>
      <c r="AG41" s="44" t="e">
        <f t="shared" si="45"/>
        <v>#N/A</v>
      </c>
      <c r="AH41" s="52" t="e">
        <f>HLOOKUP(I41,ElecAvoidedCostsWOCC!$A$5:$Q$50,T41+1,FALSE)</f>
        <v>#N/A</v>
      </c>
      <c r="AI41" s="44" t="e">
        <f t="shared" si="46"/>
        <v>#N/A</v>
      </c>
      <c r="AJ41" s="44" t="e">
        <f t="shared" si="47"/>
        <v>#N/A</v>
      </c>
      <c r="AK41" s="44" t="e">
        <f>HLOOKUP(I41,ElecAvoidedCostsWOCC!$A$5:$Q$50,G41+1,FALSE)*J41*L41</f>
        <v>#N/A</v>
      </c>
      <c r="AL41" s="44" t="e">
        <f t="shared" si="48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49"/>
        <v>0</v>
      </c>
      <c r="AO41" s="47">
        <f t="shared" si="50"/>
        <v>0</v>
      </c>
      <c r="AP41" s="47" t="e">
        <f t="shared" si="51"/>
        <v>#DIV/0!</v>
      </c>
    </row>
    <row r="42" spans="2:42" x14ac:dyDescent="0.35">
      <c r="B42" s="97" t="s">
        <v>67</v>
      </c>
      <c r="C42" s="98">
        <v>18230716</v>
      </c>
      <c r="D42" s="61" t="s">
        <v>550</v>
      </c>
      <c r="E42" s="38" t="s">
        <v>1426</v>
      </c>
      <c r="F42" s="39" t="s">
        <v>1427</v>
      </c>
      <c r="G42" s="39"/>
      <c r="H42" s="39"/>
      <c r="I42" s="40"/>
      <c r="J42" s="41">
        <v>3</v>
      </c>
      <c r="K42" s="41">
        <v>0</v>
      </c>
      <c r="L42" s="41"/>
      <c r="M42" s="42">
        <v>50</v>
      </c>
      <c r="N42" s="42">
        <v>0</v>
      </c>
      <c r="O42" s="43">
        <v>0</v>
      </c>
      <c r="P42" s="44">
        <v>150</v>
      </c>
      <c r="Q42" s="44">
        <v>0</v>
      </c>
      <c r="R42" s="45">
        <v>0</v>
      </c>
      <c r="S42" s="46">
        <v>0</v>
      </c>
      <c r="T42" s="39">
        <f t="shared" si="33"/>
        <v>0</v>
      </c>
      <c r="U42" s="47">
        <f t="shared" si="34"/>
        <v>0</v>
      </c>
      <c r="V42" s="48">
        <f t="shared" si="35"/>
        <v>-50</v>
      </c>
      <c r="W42" s="49">
        <f t="shared" si="36"/>
        <v>0</v>
      </c>
      <c r="X42" s="44">
        <f t="shared" si="37"/>
        <v>0</v>
      </c>
      <c r="Y42" s="44">
        <f t="shared" si="38"/>
        <v>-150</v>
      </c>
      <c r="Z42" s="44">
        <f t="shared" si="39"/>
        <v>0</v>
      </c>
      <c r="AA42" s="50">
        <f t="shared" si="40"/>
        <v>0</v>
      </c>
      <c r="AB42" s="51">
        <f t="shared" si="41"/>
        <v>0</v>
      </c>
      <c r="AC42" s="44">
        <f t="shared" si="42"/>
        <v>0</v>
      </c>
      <c r="AD42" s="44">
        <f t="shared" si="43"/>
        <v>0</v>
      </c>
      <c r="AE42" s="44">
        <f t="shared" si="44"/>
        <v>0</v>
      </c>
      <c r="AF42" s="52" t="e">
        <f>HLOOKUP(I42,ElecAvoidedCostsWOCC!$A$5:$Q$50,G42+1,FALSE)</f>
        <v>#N/A</v>
      </c>
      <c r="AG42" s="44" t="e">
        <f t="shared" si="45"/>
        <v>#N/A</v>
      </c>
      <c r="AH42" s="52" t="e">
        <f>HLOOKUP(I42,ElecAvoidedCostsWOCC!$A$5:$Q$50,T42+1,FALSE)</f>
        <v>#N/A</v>
      </c>
      <c r="AI42" s="44" t="e">
        <f t="shared" si="46"/>
        <v>#N/A</v>
      </c>
      <c r="AJ42" s="44" t="e">
        <f t="shared" si="47"/>
        <v>#N/A</v>
      </c>
      <c r="AK42" s="44" t="e">
        <f>HLOOKUP(I42,ElecAvoidedCostsWOCC!$A$5:$Q$50,G42+1,FALSE)*J42*L42</f>
        <v>#N/A</v>
      </c>
      <c r="AL42" s="44" t="e">
        <f t="shared" si="48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49"/>
        <v>0</v>
      </c>
      <c r="AO42" s="47">
        <f t="shared" si="50"/>
        <v>0</v>
      </c>
      <c r="AP42" s="47" t="e">
        <f t="shared" si="51"/>
        <v>#DIV/0!</v>
      </c>
    </row>
    <row r="43" spans="2:42" x14ac:dyDescent="0.35">
      <c r="B43" s="97" t="s">
        <v>67</v>
      </c>
      <c r="C43" s="98">
        <v>18230716</v>
      </c>
      <c r="D43" s="61" t="s">
        <v>550</v>
      </c>
      <c r="E43" s="38" t="s">
        <v>1428</v>
      </c>
      <c r="F43" s="39" t="s">
        <v>1429</v>
      </c>
      <c r="G43" s="39"/>
      <c r="H43" s="39"/>
      <c r="I43" s="40"/>
      <c r="J43" s="41">
        <v>10</v>
      </c>
      <c r="K43" s="41">
        <v>0</v>
      </c>
      <c r="L43" s="41"/>
      <c r="M43" s="42">
        <v>100</v>
      </c>
      <c r="N43" s="42">
        <v>0</v>
      </c>
      <c r="O43" s="43">
        <v>0</v>
      </c>
      <c r="P43" s="44">
        <v>1000</v>
      </c>
      <c r="Q43" s="44">
        <v>0</v>
      </c>
      <c r="R43" s="45">
        <v>0</v>
      </c>
      <c r="S43" s="46">
        <v>0</v>
      </c>
      <c r="T43" s="39">
        <f t="shared" si="33"/>
        <v>0</v>
      </c>
      <c r="U43" s="47">
        <f t="shared" si="34"/>
        <v>0</v>
      </c>
      <c r="V43" s="48">
        <f t="shared" si="35"/>
        <v>-100</v>
      </c>
      <c r="W43" s="49">
        <f t="shared" si="36"/>
        <v>0</v>
      </c>
      <c r="X43" s="44">
        <f t="shared" si="37"/>
        <v>0</v>
      </c>
      <c r="Y43" s="44">
        <f t="shared" si="38"/>
        <v>-1000</v>
      </c>
      <c r="Z43" s="44">
        <f t="shared" si="39"/>
        <v>0</v>
      </c>
      <c r="AA43" s="50">
        <f t="shared" si="40"/>
        <v>0</v>
      </c>
      <c r="AB43" s="51">
        <f t="shared" si="41"/>
        <v>0</v>
      </c>
      <c r="AC43" s="44">
        <f t="shared" si="42"/>
        <v>0</v>
      </c>
      <c r="AD43" s="44">
        <f t="shared" si="43"/>
        <v>0</v>
      </c>
      <c r="AE43" s="44">
        <f t="shared" si="44"/>
        <v>0</v>
      </c>
      <c r="AF43" s="52" t="e">
        <f>HLOOKUP(I43,ElecAvoidedCostsWOCC!$A$5:$Q$50,G43+1,FALSE)</f>
        <v>#N/A</v>
      </c>
      <c r="AG43" s="44" t="e">
        <f t="shared" si="45"/>
        <v>#N/A</v>
      </c>
      <c r="AH43" s="52" t="e">
        <f>HLOOKUP(I43,ElecAvoidedCostsWOCC!$A$5:$Q$50,T43+1,FALSE)</f>
        <v>#N/A</v>
      </c>
      <c r="AI43" s="44" t="e">
        <f t="shared" si="46"/>
        <v>#N/A</v>
      </c>
      <c r="AJ43" s="44" t="e">
        <f t="shared" si="47"/>
        <v>#N/A</v>
      </c>
      <c r="AK43" s="44" t="e">
        <f>HLOOKUP(I43,ElecAvoidedCostsWOCC!$A$5:$Q$50,G43+1,FALSE)*J43*L43</f>
        <v>#N/A</v>
      </c>
      <c r="AL43" s="44" t="e">
        <f t="shared" si="48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49"/>
        <v>0</v>
      </c>
      <c r="AO43" s="47">
        <f t="shared" si="50"/>
        <v>0</v>
      </c>
      <c r="AP43" s="47" t="e">
        <f t="shared" si="51"/>
        <v>#DIV/0!</v>
      </c>
    </row>
    <row r="44" spans="2:42" x14ac:dyDescent="0.35">
      <c r="B44" s="97" t="s">
        <v>67</v>
      </c>
      <c r="C44" s="98">
        <v>18230716</v>
      </c>
      <c r="D44" s="61" t="s">
        <v>550</v>
      </c>
      <c r="E44" s="38" t="s">
        <v>1434</v>
      </c>
      <c r="F44" s="39" t="s">
        <v>1435</v>
      </c>
      <c r="G44" s="39"/>
      <c r="H44" s="39"/>
      <c r="I44" s="40"/>
      <c r="J44" s="41">
        <v>7</v>
      </c>
      <c r="K44" s="41">
        <v>0</v>
      </c>
      <c r="L44" s="41"/>
      <c r="M44" s="42">
        <v>100</v>
      </c>
      <c r="N44" s="42">
        <v>0</v>
      </c>
      <c r="O44" s="43">
        <v>0</v>
      </c>
      <c r="P44" s="44">
        <v>700</v>
      </c>
      <c r="Q44" s="44">
        <v>0</v>
      </c>
      <c r="R44" s="45">
        <v>0</v>
      </c>
      <c r="S44" s="46">
        <v>0</v>
      </c>
      <c r="T44" s="39">
        <f t="shared" si="33"/>
        <v>0</v>
      </c>
      <c r="U44" s="47">
        <f t="shared" si="34"/>
        <v>0</v>
      </c>
      <c r="V44" s="48">
        <f t="shared" si="35"/>
        <v>-100</v>
      </c>
      <c r="W44" s="49">
        <f t="shared" si="36"/>
        <v>0</v>
      </c>
      <c r="X44" s="44">
        <f t="shared" si="37"/>
        <v>0</v>
      </c>
      <c r="Y44" s="44">
        <f t="shared" si="38"/>
        <v>-700</v>
      </c>
      <c r="Z44" s="44">
        <f t="shared" si="39"/>
        <v>0</v>
      </c>
      <c r="AA44" s="50">
        <f t="shared" si="40"/>
        <v>0</v>
      </c>
      <c r="AB44" s="51">
        <f t="shared" si="41"/>
        <v>0</v>
      </c>
      <c r="AC44" s="44">
        <f t="shared" si="42"/>
        <v>0</v>
      </c>
      <c r="AD44" s="44">
        <f t="shared" si="43"/>
        <v>0</v>
      </c>
      <c r="AE44" s="44">
        <f t="shared" si="44"/>
        <v>0</v>
      </c>
      <c r="AF44" s="52" t="e">
        <f>HLOOKUP(I44,ElecAvoidedCostsWOCC!$A$5:$Q$50,G44+1,FALSE)</f>
        <v>#N/A</v>
      </c>
      <c r="AG44" s="44" t="e">
        <f t="shared" si="45"/>
        <v>#N/A</v>
      </c>
      <c r="AH44" s="52" t="e">
        <f>HLOOKUP(I44,ElecAvoidedCostsWOCC!$A$5:$Q$50,T44+1,FALSE)</f>
        <v>#N/A</v>
      </c>
      <c r="AI44" s="44" t="e">
        <f t="shared" si="46"/>
        <v>#N/A</v>
      </c>
      <c r="AJ44" s="44" t="e">
        <f t="shared" si="47"/>
        <v>#N/A</v>
      </c>
      <c r="AK44" s="44" t="e">
        <f>HLOOKUP(I44,ElecAvoidedCostsWOCC!$A$5:$Q$50,G44+1,FALSE)*J44*L44</f>
        <v>#N/A</v>
      </c>
      <c r="AL44" s="44" t="e">
        <f t="shared" si="48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49"/>
        <v>0</v>
      </c>
      <c r="AO44" s="47">
        <f t="shared" si="50"/>
        <v>0</v>
      </c>
      <c r="AP44" s="47" t="e">
        <f t="shared" si="51"/>
        <v>#DIV/0!</v>
      </c>
    </row>
    <row r="45" spans="2:42" x14ac:dyDescent="0.35">
      <c r="B45" s="97" t="s">
        <v>67</v>
      </c>
      <c r="C45" s="98">
        <v>18230716</v>
      </c>
      <c r="D45" s="61" t="s">
        <v>550</v>
      </c>
      <c r="E45" s="38" t="s">
        <v>1436</v>
      </c>
      <c r="F45" s="39" t="s">
        <v>1437</v>
      </c>
      <c r="G45" s="39"/>
      <c r="H45" s="39"/>
      <c r="I45" s="40"/>
      <c r="J45" s="41">
        <v>11</v>
      </c>
      <c r="K45" s="41">
        <v>0</v>
      </c>
      <c r="L45" s="41"/>
      <c r="M45" s="42">
        <v>100</v>
      </c>
      <c r="N45" s="42">
        <v>0</v>
      </c>
      <c r="O45" s="43">
        <v>0</v>
      </c>
      <c r="P45" s="44">
        <v>1100</v>
      </c>
      <c r="Q45" s="44">
        <v>0</v>
      </c>
      <c r="R45" s="45">
        <v>0</v>
      </c>
      <c r="S45" s="46">
        <v>0</v>
      </c>
      <c r="T45" s="39">
        <f t="shared" si="33"/>
        <v>0</v>
      </c>
      <c r="U45" s="47">
        <f t="shared" si="34"/>
        <v>0</v>
      </c>
      <c r="V45" s="48">
        <f t="shared" si="35"/>
        <v>-100</v>
      </c>
      <c r="W45" s="49">
        <f t="shared" si="36"/>
        <v>0</v>
      </c>
      <c r="X45" s="44">
        <f t="shared" si="37"/>
        <v>0</v>
      </c>
      <c r="Y45" s="44">
        <f t="shared" si="38"/>
        <v>-1100</v>
      </c>
      <c r="Z45" s="44">
        <f t="shared" si="39"/>
        <v>0</v>
      </c>
      <c r="AA45" s="50">
        <f t="shared" si="40"/>
        <v>0</v>
      </c>
      <c r="AB45" s="51">
        <f t="shared" si="41"/>
        <v>0</v>
      </c>
      <c r="AC45" s="44">
        <f t="shared" si="42"/>
        <v>0</v>
      </c>
      <c r="AD45" s="44">
        <f t="shared" si="43"/>
        <v>0</v>
      </c>
      <c r="AE45" s="44">
        <f t="shared" si="44"/>
        <v>0</v>
      </c>
      <c r="AF45" s="52" t="e">
        <f>HLOOKUP(I45,ElecAvoidedCostsWOCC!$A$5:$Q$50,G45+1,FALSE)</f>
        <v>#N/A</v>
      </c>
      <c r="AG45" s="44" t="e">
        <f t="shared" si="45"/>
        <v>#N/A</v>
      </c>
      <c r="AH45" s="52" t="e">
        <f>HLOOKUP(I45,ElecAvoidedCostsWOCC!$A$5:$Q$50,T45+1,FALSE)</f>
        <v>#N/A</v>
      </c>
      <c r="AI45" s="44" t="e">
        <f t="shared" si="46"/>
        <v>#N/A</v>
      </c>
      <c r="AJ45" s="44" t="e">
        <f t="shared" si="47"/>
        <v>#N/A</v>
      </c>
      <c r="AK45" s="44" t="e">
        <f>HLOOKUP(I45,ElecAvoidedCostsWOCC!$A$5:$Q$50,G45+1,FALSE)*J45*L45</f>
        <v>#N/A</v>
      </c>
      <c r="AL45" s="44" t="e">
        <f t="shared" si="48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49"/>
        <v>0</v>
      </c>
      <c r="AO45" s="47">
        <f t="shared" si="50"/>
        <v>0</v>
      </c>
      <c r="AP45" s="47" t="e">
        <f t="shared" si="51"/>
        <v>#DIV/0!</v>
      </c>
    </row>
    <row r="46" spans="2:42" x14ac:dyDescent="0.35">
      <c r="B46" s="97" t="s">
        <v>67</v>
      </c>
      <c r="C46" s="98">
        <v>18230716</v>
      </c>
      <c r="D46" s="61" t="s">
        <v>550</v>
      </c>
      <c r="E46" s="38" t="s">
        <v>1440</v>
      </c>
      <c r="F46" s="39" t="s">
        <v>1441</v>
      </c>
      <c r="G46" s="39"/>
      <c r="H46" s="39"/>
      <c r="I46" s="40"/>
      <c r="J46" s="41">
        <v>3</v>
      </c>
      <c r="K46" s="41">
        <v>0</v>
      </c>
      <c r="L46" s="41"/>
      <c r="M46" s="42">
        <v>600</v>
      </c>
      <c r="N46" s="42">
        <v>0</v>
      </c>
      <c r="O46" s="43">
        <v>0</v>
      </c>
      <c r="P46" s="44">
        <v>1800</v>
      </c>
      <c r="Q46" s="44">
        <v>0</v>
      </c>
      <c r="R46" s="45">
        <v>0</v>
      </c>
      <c r="S46" s="46">
        <v>0</v>
      </c>
      <c r="T46" s="39">
        <f t="shared" si="33"/>
        <v>0</v>
      </c>
      <c r="U46" s="47">
        <f t="shared" si="34"/>
        <v>0</v>
      </c>
      <c r="V46" s="48">
        <f t="shared" si="35"/>
        <v>-600</v>
      </c>
      <c r="W46" s="49">
        <f t="shared" si="36"/>
        <v>0</v>
      </c>
      <c r="X46" s="44">
        <f t="shared" si="37"/>
        <v>0</v>
      </c>
      <c r="Y46" s="44">
        <f t="shared" si="38"/>
        <v>-1800</v>
      </c>
      <c r="Z46" s="44">
        <f t="shared" si="39"/>
        <v>0</v>
      </c>
      <c r="AA46" s="50">
        <f t="shared" si="40"/>
        <v>0</v>
      </c>
      <c r="AB46" s="51">
        <f t="shared" si="41"/>
        <v>0</v>
      </c>
      <c r="AC46" s="44">
        <f t="shared" si="42"/>
        <v>0</v>
      </c>
      <c r="AD46" s="44">
        <f t="shared" si="43"/>
        <v>0</v>
      </c>
      <c r="AE46" s="44">
        <f t="shared" si="44"/>
        <v>0</v>
      </c>
      <c r="AF46" s="52" t="e">
        <f>HLOOKUP(I46,ElecAvoidedCostsWOCC!$A$5:$Q$50,G46+1,FALSE)</f>
        <v>#N/A</v>
      </c>
      <c r="AG46" s="44" t="e">
        <f t="shared" si="45"/>
        <v>#N/A</v>
      </c>
      <c r="AH46" s="52" t="e">
        <f>HLOOKUP(I46,ElecAvoidedCostsWOCC!$A$5:$Q$50,T46+1,FALSE)</f>
        <v>#N/A</v>
      </c>
      <c r="AI46" s="44" t="e">
        <f t="shared" si="46"/>
        <v>#N/A</v>
      </c>
      <c r="AJ46" s="44" t="e">
        <f t="shared" si="47"/>
        <v>#N/A</v>
      </c>
      <c r="AK46" s="44" t="e">
        <f>HLOOKUP(I46,ElecAvoidedCostsWOCC!$A$5:$Q$50,G46+1,FALSE)*J46*L46</f>
        <v>#N/A</v>
      </c>
      <c r="AL46" s="44" t="e">
        <f t="shared" si="48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49"/>
        <v>0</v>
      </c>
      <c r="AO46" s="47">
        <f t="shared" si="50"/>
        <v>0</v>
      </c>
      <c r="AP46" s="47" t="e">
        <f t="shared" si="51"/>
        <v>#DIV/0!</v>
      </c>
    </row>
    <row r="47" spans="2:42" x14ac:dyDescent="0.35">
      <c r="B47" s="97" t="s">
        <v>67</v>
      </c>
      <c r="C47" s="98">
        <v>18230716</v>
      </c>
      <c r="D47" s="61" t="s">
        <v>550</v>
      </c>
      <c r="E47" s="38" t="s">
        <v>1442</v>
      </c>
      <c r="F47" s="39" t="s">
        <v>1443</v>
      </c>
      <c r="G47" s="39"/>
      <c r="H47" s="39"/>
      <c r="I47" s="40"/>
      <c r="J47" s="41">
        <v>5</v>
      </c>
      <c r="K47" s="41">
        <v>0</v>
      </c>
      <c r="L47" s="41"/>
      <c r="M47" s="42">
        <v>200</v>
      </c>
      <c r="N47" s="42">
        <v>0</v>
      </c>
      <c r="O47" s="43">
        <v>0</v>
      </c>
      <c r="P47" s="44">
        <v>1000</v>
      </c>
      <c r="Q47" s="44">
        <v>0</v>
      </c>
      <c r="R47" s="45">
        <v>0</v>
      </c>
      <c r="S47" s="46">
        <v>0</v>
      </c>
      <c r="T47" s="39">
        <f t="shared" si="33"/>
        <v>0</v>
      </c>
      <c r="U47" s="47">
        <f t="shared" si="34"/>
        <v>0</v>
      </c>
      <c r="V47" s="48">
        <f t="shared" si="35"/>
        <v>-200</v>
      </c>
      <c r="W47" s="49">
        <f t="shared" si="36"/>
        <v>0</v>
      </c>
      <c r="X47" s="44">
        <f t="shared" si="37"/>
        <v>0</v>
      </c>
      <c r="Y47" s="44">
        <f t="shared" si="38"/>
        <v>-1000</v>
      </c>
      <c r="Z47" s="44">
        <f t="shared" si="39"/>
        <v>0</v>
      </c>
      <c r="AA47" s="50">
        <f t="shared" si="40"/>
        <v>0</v>
      </c>
      <c r="AB47" s="51">
        <f t="shared" si="41"/>
        <v>0</v>
      </c>
      <c r="AC47" s="44">
        <f t="shared" si="42"/>
        <v>0</v>
      </c>
      <c r="AD47" s="44">
        <f t="shared" si="43"/>
        <v>0</v>
      </c>
      <c r="AE47" s="44">
        <f t="shared" si="44"/>
        <v>0</v>
      </c>
      <c r="AF47" s="52" t="e">
        <f>HLOOKUP(I47,ElecAvoidedCostsWOCC!$A$5:$Q$50,G47+1,FALSE)</f>
        <v>#N/A</v>
      </c>
      <c r="AG47" s="44" t="e">
        <f t="shared" si="45"/>
        <v>#N/A</v>
      </c>
      <c r="AH47" s="52" t="e">
        <f>HLOOKUP(I47,ElecAvoidedCostsWOCC!$A$5:$Q$50,T47+1,FALSE)</f>
        <v>#N/A</v>
      </c>
      <c r="AI47" s="44" t="e">
        <f t="shared" si="46"/>
        <v>#N/A</v>
      </c>
      <c r="AJ47" s="44" t="e">
        <f t="shared" si="47"/>
        <v>#N/A</v>
      </c>
      <c r="AK47" s="44" t="e">
        <f>HLOOKUP(I47,ElecAvoidedCostsWOCC!$A$5:$Q$50,G47+1,FALSE)*J47*L47</f>
        <v>#N/A</v>
      </c>
      <c r="AL47" s="44" t="e">
        <f t="shared" si="48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49"/>
        <v>0</v>
      </c>
      <c r="AO47" s="47">
        <f t="shared" si="50"/>
        <v>0</v>
      </c>
      <c r="AP47" s="47" t="e">
        <f t="shared" si="51"/>
        <v>#DIV/0!</v>
      </c>
    </row>
    <row r="48" spans="2:42" x14ac:dyDescent="0.35">
      <c r="B48" s="97" t="s">
        <v>67</v>
      </c>
      <c r="C48" s="98">
        <v>18230716</v>
      </c>
      <c r="D48" s="61" t="s">
        <v>550</v>
      </c>
      <c r="E48" s="38" t="s">
        <v>1444</v>
      </c>
      <c r="F48" s="39" t="s">
        <v>1445</v>
      </c>
      <c r="G48" s="39"/>
      <c r="H48" s="39"/>
      <c r="I48" s="40"/>
      <c r="J48" s="41">
        <v>2</v>
      </c>
      <c r="K48" s="41">
        <v>0</v>
      </c>
      <c r="L48" s="41"/>
      <c r="M48" s="42">
        <v>200</v>
      </c>
      <c r="N48" s="42">
        <v>0</v>
      </c>
      <c r="O48" s="43">
        <v>0</v>
      </c>
      <c r="P48" s="44">
        <v>400</v>
      </c>
      <c r="Q48" s="44">
        <v>0</v>
      </c>
      <c r="R48" s="45">
        <v>0</v>
      </c>
      <c r="S48" s="46">
        <v>0</v>
      </c>
      <c r="T48" s="39">
        <f t="shared" si="33"/>
        <v>0</v>
      </c>
      <c r="U48" s="47">
        <f t="shared" si="34"/>
        <v>0</v>
      </c>
      <c r="V48" s="48">
        <f t="shared" si="35"/>
        <v>-200</v>
      </c>
      <c r="W48" s="49">
        <f t="shared" si="36"/>
        <v>0</v>
      </c>
      <c r="X48" s="44">
        <f t="shared" si="37"/>
        <v>0</v>
      </c>
      <c r="Y48" s="44">
        <f t="shared" si="38"/>
        <v>-400</v>
      </c>
      <c r="Z48" s="44">
        <f t="shared" si="39"/>
        <v>0</v>
      </c>
      <c r="AA48" s="50">
        <f t="shared" si="40"/>
        <v>0</v>
      </c>
      <c r="AB48" s="51">
        <f t="shared" si="41"/>
        <v>0</v>
      </c>
      <c r="AC48" s="44">
        <f t="shared" si="42"/>
        <v>0</v>
      </c>
      <c r="AD48" s="44">
        <f t="shared" si="43"/>
        <v>0</v>
      </c>
      <c r="AE48" s="44">
        <f t="shared" si="44"/>
        <v>0</v>
      </c>
      <c r="AF48" s="52" t="e">
        <f>HLOOKUP(I48,ElecAvoidedCostsWOCC!$A$5:$Q$50,G48+1,FALSE)</f>
        <v>#N/A</v>
      </c>
      <c r="AG48" s="44" t="e">
        <f t="shared" si="45"/>
        <v>#N/A</v>
      </c>
      <c r="AH48" s="52" t="e">
        <f>HLOOKUP(I48,ElecAvoidedCostsWOCC!$A$5:$Q$50,T48+1,FALSE)</f>
        <v>#N/A</v>
      </c>
      <c r="AI48" s="44" t="e">
        <f t="shared" si="46"/>
        <v>#N/A</v>
      </c>
      <c r="AJ48" s="44" t="e">
        <f t="shared" si="47"/>
        <v>#N/A</v>
      </c>
      <c r="AK48" s="44" t="e">
        <f>HLOOKUP(I48,ElecAvoidedCostsWOCC!$A$5:$Q$50,G48+1,FALSE)*J48*L48</f>
        <v>#N/A</v>
      </c>
      <c r="AL48" s="44" t="e">
        <f t="shared" si="48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49"/>
        <v>0</v>
      </c>
      <c r="AO48" s="47">
        <f t="shared" si="50"/>
        <v>0</v>
      </c>
      <c r="AP48" s="47" t="e">
        <f t="shared" si="51"/>
        <v>#DIV/0!</v>
      </c>
    </row>
    <row r="49" spans="2:42" x14ac:dyDescent="0.35">
      <c r="B49" s="97" t="s">
        <v>67</v>
      </c>
      <c r="C49" s="98">
        <v>18230716</v>
      </c>
      <c r="D49" s="61" t="s">
        <v>550</v>
      </c>
      <c r="E49" s="38" t="s">
        <v>1448</v>
      </c>
      <c r="F49" s="39" t="s">
        <v>1449</v>
      </c>
      <c r="G49" s="39">
        <v>15</v>
      </c>
      <c r="H49" s="39"/>
      <c r="I49" s="40" t="s">
        <v>263</v>
      </c>
      <c r="J49" s="41">
        <v>2</v>
      </c>
      <c r="K49" s="41">
        <v>11333.92</v>
      </c>
      <c r="L49" s="41"/>
      <c r="M49" s="42">
        <v>3975</v>
      </c>
      <c r="N49" s="42">
        <v>2659</v>
      </c>
      <c r="O49" s="43">
        <v>22667.84</v>
      </c>
      <c r="P49" s="44">
        <v>7950</v>
      </c>
      <c r="Q49" s="44">
        <v>5318</v>
      </c>
      <c r="R49" s="45">
        <v>763.14</v>
      </c>
      <c r="S49" s="46">
        <v>0</v>
      </c>
      <c r="T49" s="39">
        <f t="shared" si="33"/>
        <v>15</v>
      </c>
      <c r="U49" s="47">
        <f t="shared" si="34"/>
        <v>0.24889994845402483</v>
      </c>
      <c r="V49" s="48">
        <f t="shared" si="35"/>
        <v>-1316</v>
      </c>
      <c r="W49" s="49">
        <f t="shared" si="36"/>
        <v>1.6593329896934988E-2</v>
      </c>
      <c r="X49" s="44">
        <f t="shared" si="37"/>
        <v>1905.6561599478289</v>
      </c>
      <c r="Y49" s="44">
        <f t="shared" si="38"/>
        <v>-2632</v>
      </c>
      <c r="Z49" s="44">
        <f t="shared" si="39"/>
        <v>8453.416328338375</v>
      </c>
      <c r="AA49" s="50">
        <f t="shared" si="40"/>
        <v>7223.6561599478291</v>
      </c>
      <c r="AB49" s="51">
        <f t="shared" si="41"/>
        <v>7915.1838280321863</v>
      </c>
      <c r="AC49" s="44">
        <f t="shared" si="42"/>
        <v>6763.7229962058318</v>
      </c>
      <c r="AD49" s="44">
        <f t="shared" si="43"/>
        <v>14078.549552469807</v>
      </c>
      <c r="AE49" s="44">
        <f t="shared" si="44"/>
        <v>0</v>
      </c>
      <c r="AF49" s="52">
        <f>HLOOKUP(I49,ElecAvoidedCostsWOCC!$A$5:$Q$50,G49+1,FALSE)</f>
        <v>1.0631737127788627</v>
      </c>
      <c r="AG49" s="44">
        <f t="shared" si="45"/>
        <v>24099.851613477218</v>
      </c>
      <c r="AH49" s="52">
        <f>HLOOKUP(I49,ElecAvoidedCostsWOCC!$A$5:$Q$50,T49+1,FALSE)</f>
        <v>1.0631737127788627</v>
      </c>
      <c r="AI49" s="44">
        <f t="shared" si="46"/>
        <v>0</v>
      </c>
      <c r="AJ49" s="44">
        <f t="shared" si="47"/>
        <v>24099.851613477218</v>
      </c>
      <c r="AK49" s="44">
        <f>HLOOKUP(I49,ElecAvoidedCostsWOCC!$A$5:$Q$50,G49+1,FALSE)*J49*L49</f>
        <v>0</v>
      </c>
      <c r="AL49" s="44">
        <f t="shared" si="48"/>
        <v>24099.851613477218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24099.851613477218</v>
      </c>
      <c r="AN49" s="48">
        <f t="shared" si="49"/>
        <v>40588.386327294749</v>
      </c>
      <c r="AO49" s="47">
        <f t="shared" si="50"/>
        <v>3.0447620847573851</v>
      </c>
      <c r="AP49" s="47">
        <f t="shared" si="51"/>
        <v>6.0008942338506692</v>
      </c>
    </row>
    <row r="50" spans="2:42" x14ac:dyDescent="0.35">
      <c r="B50" s="97" t="s">
        <v>67</v>
      </c>
      <c r="C50" s="98">
        <v>18230716</v>
      </c>
      <c r="D50" s="61" t="s">
        <v>550</v>
      </c>
      <c r="E50" s="38" t="s">
        <v>1450</v>
      </c>
      <c r="F50" s="39" t="s">
        <v>1451</v>
      </c>
      <c r="G50" s="39">
        <v>15</v>
      </c>
      <c r="H50" s="39"/>
      <c r="I50" s="40" t="s">
        <v>263</v>
      </c>
      <c r="J50" s="41">
        <v>2</v>
      </c>
      <c r="K50" s="41">
        <v>5013.3500000000004</v>
      </c>
      <c r="L50" s="41"/>
      <c r="M50" s="42">
        <v>3600</v>
      </c>
      <c r="N50" s="42">
        <v>2400.4899999999998</v>
      </c>
      <c r="O50" s="43">
        <v>10026.700000000001</v>
      </c>
      <c r="P50" s="44">
        <v>7200</v>
      </c>
      <c r="Q50" s="44">
        <v>4800.9799999999996</v>
      </c>
      <c r="R50" s="45">
        <v>763.14</v>
      </c>
      <c r="S50" s="46">
        <v>0</v>
      </c>
      <c r="T50" s="39">
        <f t="shared" si="33"/>
        <v>15</v>
      </c>
      <c r="U50" s="47">
        <f t="shared" si="34"/>
        <v>0.11009629118451388</v>
      </c>
      <c r="V50" s="48">
        <f t="shared" si="35"/>
        <v>-1199.5100000000002</v>
      </c>
      <c r="W50" s="49">
        <f t="shared" si="36"/>
        <v>7.3397527456342581E-3</v>
      </c>
      <c r="X50" s="44">
        <f t="shared" si="37"/>
        <v>842.93177554407032</v>
      </c>
      <c r="Y50" s="44">
        <f t="shared" si="38"/>
        <v>-2399.0200000000004</v>
      </c>
      <c r="Z50" s="44">
        <f t="shared" si="39"/>
        <v>3739.212448091675</v>
      </c>
      <c r="AA50" s="50">
        <f t="shared" si="40"/>
        <v>5643.9117755440702</v>
      </c>
      <c r="AB50" s="51">
        <f t="shared" si="41"/>
        <v>3501.1352510221673</v>
      </c>
      <c r="AC50" s="44">
        <f t="shared" si="42"/>
        <v>5284.5615875880803</v>
      </c>
      <c r="AD50" s="44">
        <f t="shared" si="43"/>
        <v>14078.549552469807</v>
      </c>
      <c r="AE50" s="44">
        <f t="shared" si="44"/>
        <v>0</v>
      </c>
      <c r="AF50" s="52">
        <f>HLOOKUP(I50,ElecAvoidedCostsWOCC!$A$5:$Q$50,G50+1,FALSE)</f>
        <v>1.0631737127788627</v>
      </c>
      <c r="AG50" s="44">
        <f t="shared" si="45"/>
        <v>10660.123865919824</v>
      </c>
      <c r="AH50" s="52">
        <f>HLOOKUP(I50,ElecAvoidedCostsWOCC!$A$5:$Q$50,T50+1,FALSE)</f>
        <v>1.0631737127788627</v>
      </c>
      <c r="AI50" s="44">
        <f t="shared" si="46"/>
        <v>0</v>
      </c>
      <c r="AJ50" s="44">
        <f t="shared" si="47"/>
        <v>10660.123865919824</v>
      </c>
      <c r="AK50" s="44">
        <f>HLOOKUP(I50,ElecAvoidedCostsWOCC!$A$5:$Q$50,G50+1,FALSE)*J50*L50</f>
        <v>0</v>
      </c>
      <c r="AL50" s="44">
        <f t="shared" si="48"/>
        <v>10660.123865919824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10660.123865919824</v>
      </c>
      <c r="AN50" s="48">
        <f t="shared" si="49"/>
        <v>25804.685804981615</v>
      </c>
      <c r="AO50" s="47">
        <f t="shared" si="50"/>
        <v>3.0447620847573851</v>
      </c>
      <c r="AP50" s="47">
        <f t="shared" si="51"/>
        <v>4.8830324667971361</v>
      </c>
    </row>
    <row r="51" spans="2:42" x14ac:dyDescent="0.35">
      <c r="B51" s="97" t="s">
        <v>67</v>
      </c>
      <c r="C51" s="98">
        <v>18230716</v>
      </c>
      <c r="D51" s="61" t="s">
        <v>550</v>
      </c>
      <c r="E51" s="38" t="s">
        <v>1452</v>
      </c>
      <c r="F51" s="39" t="s">
        <v>1453</v>
      </c>
      <c r="G51" s="39">
        <v>15</v>
      </c>
      <c r="H51" s="39"/>
      <c r="I51" s="40" t="s">
        <v>263</v>
      </c>
      <c r="J51" s="41">
        <v>4</v>
      </c>
      <c r="K51" s="41">
        <v>15621.35</v>
      </c>
      <c r="L51" s="41"/>
      <c r="M51" s="42">
        <v>3975</v>
      </c>
      <c r="N51" s="42">
        <v>2659</v>
      </c>
      <c r="O51" s="43">
        <v>62485.4</v>
      </c>
      <c r="P51" s="44">
        <v>15900</v>
      </c>
      <c r="Q51" s="44">
        <v>10636</v>
      </c>
      <c r="R51" s="45">
        <v>1755.23</v>
      </c>
      <c r="S51" s="46">
        <v>0</v>
      </c>
      <c r="T51" s="39">
        <f t="shared" si="33"/>
        <v>15</v>
      </c>
      <c r="U51" s="47">
        <f t="shared" si="34"/>
        <v>0.68610916783994969</v>
      </c>
      <c r="V51" s="48">
        <f t="shared" si="35"/>
        <v>-1316</v>
      </c>
      <c r="W51" s="49">
        <f t="shared" si="36"/>
        <v>4.5740611189329976E-2</v>
      </c>
      <c r="X51" s="44">
        <f t="shared" si="37"/>
        <v>5253.0672272613574</v>
      </c>
      <c r="Y51" s="44">
        <f t="shared" si="38"/>
        <v>-5264</v>
      </c>
      <c r="Z51" s="44">
        <f t="shared" si="39"/>
        <v>23302.401139356676</v>
      </c>
      <c r="AA51" s="50">
        <f t="shared" si="40"/>
        <v>15889.067227261357</v>
      </c>
      <c r="AB51" s="51">
        <f t="shared" si="41"/>
        <v>21818.727658573665</v>
      </c>
      <c r="AC51" s="44">
        <f t="shared" si="42"/>
        <v>14877.403770843966</v>
      </c>
      <c r="AD51" s="44">
        <f t="shared" si="43"/>
        <v>64761.623112355745</v>
      </c>
      <c r="AE51" s="44">
        <f t="shared" si="44"/>
        <v>0</v>
      </c>
      <c r="AF51" s="52">
        <f>HLOOKUP(I51,ElecAvoidedCostsWOCC!$A$5:$Q$50,G51+1,FALSE)</f>
        <v>1.0631737127788627</v>
      </c>
      <c r="AG51" s="44">
        <f t="shared" si="45"/>
        <v>66432.834712472351</v>
      </c>
      <c r="AH51" s="52">
        <f>HLOOKUP(I51,ElecAvoidedCostsWOCC!$A$5:$Q$50,T51+1,FALSE)</f>
        <v>1.0631737127788627</v>
      </c>
      <c r="AI51" s="44">
        <f t="shared" si="46"/>
        <v>0</v>
      </c>
      <c r="AJ51" s="44">
        <f t="shared" si="47"/>
        <v>66432.834712472351</v>
      </c>
      <c r="AK51" s="44">
        <f>HLOOKUP(I51,ElecAvoidedCostsWOCC!$A$5:$Q$50,G51+1,FALSE)*J51*L51</f>
        <v>0</v>
      </c>
      <c r="AL51" s="44">
        <f t="shared" si="48"/>
        <v>66432.834712472351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66432.834712472351</v>
      </c>
      <c r="AN51" s="48">
        <f t="shared" si="49"/>
        <v>137837.74129607534</v>
      </c>
      <c r="AO51" s="47">
        <f t="shared" si="50"/>
        <v>3.0447620847573842</v>
      </c>
      <c r="AP51" s="47">
        <f t="shared" si="51"/>
        <v>9.2649055856239677</v>
      </c>
    </row>
    <row r="52" spans="2:42" x14ac:dyDescent="0.35">
      <c r="B52" s="97" t="s">
        <v>67</v>
      </c>
      <c r="C52" s="98">
        <v>18230716</v>
      </c>
      <c r="D52" s="61" t="s">
        <v>550</v>
      </c>
      <c r="E52" s="38" t="s">
        <v>1456</v>
      </c>
      <c r="F52" s="39" t="s">
        <v>1457</v>
      </c>
      <c r="G52" s="39">
        <v>10</v>
      </c>
      <c r="H52" s="39"/>
      <c r="I52" s="40" t="s">
        <v>263</v>
      </c>
      <c r="J52" s="41">
        <v>4</v>
      </c>
      <c r="K52" s="41">
        <v>3871.96</v>
      </c>
      <c r="L52" s="41"/>
      <c r="M52" s="42">
        <v>345</v>
      </c>
      <c r="N52" s="42">
        <v>232</v>
      </c>
      <c r="O52" s="43">
        <v>15487.84</v>
      </c>
      <c r="P52" s="44">
        <v>1380</v>
      </c>
      <c r="Q52" s="44">
        <v>928</v>
      </c>
      <c r="R52" s="45">
        <v>110.15</v>
      </c>
      <c r="S52" s="46">
        <v>0</v>
      </c>
      <c r="T52" s="39">
        <f t="shared" si="33"/>
        <v>10</v>
      </c>
      <c r="U52" s="47">
        <f t="shared" si="34"/>
        <v>0.11337420703117086</v>
      </c>
      <c r="V52" s="48">
        <f t="shared" si="35"/>
        <v>-113</v>
      </c>
      <c r="W52" s="49">
        <f t="shared" si="36"/>
        <v>1.1337420703117086E-2</v>
      </c>
      <c r="X52" s="44">
        <f t="shared" si="37"/>
        <v>1302.0427927974781</v>
      </c>
      <c r="Y52" s="44">
        <f t="shared" si="38"/>
        <v>-452</v>
      </c>
      <c r="Z52" s="44">
        <f t="shared" si="39"/>
        <v>5775.8109968436438</v>
      </c>
      <c r="AA52" s="50">
        <f t="shared" si="40"/>
        <v>2230.0427927974779</v>
      </c>
      <c r="AB52" s="51">
        <f t="shared" si="41"/>
        <v>5408.0627311270073</v>
      </c>
      <c r="AC52" s="44">
        <f t="shared" si="42"/>
        <v>2088.0550494358404</v>
      </c>
      <c r="AD52" s="44">
        <f t="shared" si="43"/>
        <v>3123.4032565399193</v>
      </c>
      <c r="AE52" s="44">
        <f t="shared" si="44"/>
        <v>0</v>
      </c>
      <c r="AF52" s="52">
        <f>HLOOKUP(I52,ElecAvoidedCostsWOCC!$A$5:$Q$50,G52+1,FALSE)</f>
        <v>0.7517576463959158</v>
      </c>
      <c r="AG52" s="44">
        <f t="shared" si="45"/>
        <v>11643.102146156521</v>
      </c>
      <c r="AH52" s="52">
        <f>HLOOKUP(I52,ElecAvoidedCostsWOCC!$A$5:$Q$50,T52+1,FALSE)</f>
        <v>0.7517576463959158</v>
      </c>
      <c r="AI52" s="44">
        <f t="shared" si="46"/>
        <v>0</v>
      </c>
      <c r="AJ52" s="44">
        <f t="shared" si="47"/>
        <v>11643.102146156521</v>
      </c>
      <c r="AK52" s="44">
        <f>HLOOKUP(I52,ElecAvoidedCostsWOCC!$A$5:$Q$50,G52+1,FALSE)*J52*L52</f>
        <v>0</v>
      </c>
      <c r="AL52" s="44">
        <f t="shared" si="48"/>
        <v>11643.102146156521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11643.102146156521</v>
      </c>
      <c r="AN52" s="48">
        <f t="shared" si="49"/>
        <v>15930.815617312093</v>
      </c>
      <c r="AO52" s="47">
        <f t="shared" si="50"/>
        <v>2.1529155124519366</v>
      </c>
      <c r="AP52" s="47">
        <f t="shared" si="51"/>
        <v>7.6294998168828689</v>
      </c>
    </row>
    <row r="53" spans="2:42" x14ac:dyDescent="0.35">
      <c r="B53" s="97" t="s">
        <v>67</v>
      </c>
      <c r="C53" s="98">
        <v>18230716</v>
      </c>
      <c r="D53" s="61" t="s">
        <v>550</v>
      </c>
      <c r="E53" s="38" t="s">
        <v>1458</v>
      </c>
      <c r="F53" s="39" t="s">
        <v>1459</v>
      </c>
      <c r="G53" s="39">
        <v>10</v>
      </c>
      <c r="H53" s="39"/>
      <c r="I53" s="40" t="s">
        <v>263</v>
      </c>
      <c r="J53" s="41">
        <v>1</v>
      </c>
      <c r="K53" s="41">
        <v>2898.48</v>
      </c>
      <c r="L53" s="41"/>
      <c r="M53" s="42">
        <v>285</v>
      </c>
      <c r="N53" s="42">
        <v>192.37</v>
      </c>
      <c r="O53" s="43">
        <v>2898.48</v>
      </c>
      <c r="P53" s="44">
        <v>285</v>
      </c>
      <c r="Q53" s="44">
        <v>192.37</v>
      </c>
      <c r="R53" s="45">
        <v>110.15</v>
      </c>
      <c r="S53" s="46">
        <v>0</v>
      </c>
      <c r="T53" s="39">
        <f t="shared" si="33"/>
        <v>10</v>
      </c>
      <c r="U53" s="47">
        <f t="shared" si="34"/>
        <v>2.1217475877572861E-2</v>
      </c>
      <c r="V53" s="48">
        <f t="shared" si="35"/>
        <v>-92.63</v>
      </c>
      <c r="W53" s="49">
        <f t="shared" si="36"/>
        <v>2.1217475877572862E-3</v>
      </c>
      <c r="X53" s="44">
        <f t="shared" si="37"/>
        <v>243.67148640918512</v>
      </c>
      <c r="Y53" s="44">
        <f t="shared" si="38"/>
        <v>-92.63</v>
      </c>
      <c r="Z53" s="44">
        <f t="shared" si="39"/>
        <v>1080.9172007285306</v>
      </c>
      <c r="AA53" s="50">
        <f t="shared" si="40"/>
        <v>436.04148640918515</v>
      </c>
      <c r="AB53" s="51">
        <f t="shared" si="41"/>
        <v>1012.0947572364518</v>
      </c>
      <c r="AC53" s="44">
        <f t="shared" si="42"/>
        <v>408.27854532695238</v>
      </c>
      <c r="AD53" s="44">
        <f t="shared" si="43"/>
        <v>780.85081413497983</v>
      </c>
      <c r="AE53" s="44">
        <f t="shared" si="44"/>
        <v>0</v>
      </c>
      <c r="AF53" s="52">
        <f>HLOOKUP(I53,ElecAvoidedCostsWOCC!$A$5:$Q$50,G53+1,FALSE)</f>
        <v>0.7517576463959158</v>
      </c>
      <c r="AG53" s="44">
        <f t="shared" si="45"/>
        <v>2178.9545029256342</v>
      </c>
      <c r="AH53" s="52">
        <f>HLOOKUP(I53,ElecAvoidedCostsWOCC!$A$5:$Q$50,T53+1,FALSE)</f>
        <v>0.7517576463959158</v>
      </c>
      <c r="AI53" s="44">
        <f t="shared" si="46"/>
        <v>0</v>
      </c>
      <c r="AJ53" s="44">
        <f t="shared" si="47"/>
        <v>2178.9545029256342</v>
      </c>
      <c r="AK53" s="44">
        <f>HLOOKUP(I53,ElecAvoidedCostsWOCC!$A$5:$Q$50,G53+1,FALSE)*J53*L53</f>
        <v>0</v>
      </c>
      <c r="AL53" s="44">
        <f t="shared" si="48"/>
        <v>2178.9545029256342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2178.9545029256342</v>
      </c>
      <c r="AN53" s="48">
        <f t="shared" si="49"/>
        <v>3177.7007673531775</v>
      </c>
      <c r="AO53" s="47">
        <f t="shared" si="50"/>
        <v>2.152915512451937</v>
      </c>
      <c r="AP53" s="47">
        <f t="shared" si="51"/>
        <v>7.7831686326021661</v>
      </c>
    </row>
    <row r="54" spans="2:42" x14ac:dyDescent="0.35">
      <c r="B54" s="97" t="s">
        <v>67</v>
      </c>
      <c r="C54" s="98">
        <v>18230716</v>
      </c>
      <c r="D54" s="61" t="s">
        <v>550</v>
      </c>
      <c r="E54" s="38" t="s">
        <v>1462</v>
      </c>
      <c r="F54" s="39" t="s">
        <v>1463</v>
      </c>
      <c r="G54" s="39">
        <v>12</v>
      </c>
      <c r="H54" s="39"/>
      <c r="I54" s="40" t="s">
        <v>265</v>
      </c>
      <c r="J54" s="41">
        <v>5</v>
      </c>
      <c r="K54" s="41">
        <v>3772</v>
      </c>
      <c r="L54" s="41"/>
      <c r="M54" s="42">
        <v>1800</v>
      </c>
      <c r="N54" s="42">
        <v>1476</v>
      </c>
      <c r="O54" s="43">
        <v>18860</v>
      </c>
      <c r="P54" s="44">
        <v>9000</v>
      </c>
      <c r="Q54" s="44">
        <v>7380</v>
      </c>
      <c r="R54" s="45">
        <v>0</v>
      </c>
      <c r="S54" s="46">
        <v>0</v>
      </c>
      <c r="T54" s="39">
        <f t="shared" ref="T54:T111" si="52">G54+H54</f>
        <v>12</v>
      </c>
      <c r="U54" s="47">
        <f t="shared" ref="U54:U111" si="53">(O54/$A$10)*T54</f>
        <v>0.16567094272212646</v>
      </c>
      <c r="V54" s="48">
        <f t="shared" ref="V54:V111" si="54">N54-M54</f>
        <v>-324</v>
      </c>
      <c r="W54" s="49">
        <f t="shared" ref="W54:W111" si="55">(O54/A$10)</f>
        <v>1.3805911893510537E-2</v>
      </c>
      <c r="X54" s="44">
        <f t="shared" ref="X54:X111" si="56">W54*A$8</f>
        <v>1585.5359476957688</v>
      </c>
      <c r="Y54" s="44">
        <f t="shared" ref="Y54:Y111" si="57">Q54-P54</f>
        <v>-1620</v>
      </c>
      <c r="Z54" s="44">
        <f t="shared" ref="Z54:Z111" si="58">X54+(A$6*W54)</f>
        <v>7033.3755643441</v>
      </c>
      <c r="AA54" s="50">
        <f t="shared" ref="AA54:AA111" si="59">Q54+X54</f>
        <v>8965.5359476957692</v>
      </c>
      <c r="AB54" s="51">
        <f t="shared" ref="AB54:AB111" si="60">Z54/(1+ElecDiscountRate)^1</f>
        <v>6585.5576445169472</v>
      </c>
      <c r="AC54" s="44">
        <f t="shared" ref="AC54:AC111" si="61">AA54/(1+ElecDiscountRate)^1</f>
        <v>8394.6965802394843</v>
      </c>
      <c r="AD54" s="44">
        <f t="shared" ref="AD54:AD111" si="62">-PV(ElecDiscountRate,T54,R54)*J54</f>
        <v>0</v>
      </c>
      <c r="AE54" s="44">
        <f t="shared" ref="AE54:AE111" si="63">-PV(ElecDiscountRate,T54,S54)*J54</f>
        <v>0</v>
      </c>
      <c r="AF54" s="52">
        <f>HLOOKUP(I54,ElecAvoidedCostsWOCC!$A$5:$Q$50,G54+1,FALSE)</f>
        <v>0.88470520788483886</v>
      </c>
      <c r="AG54" s="44">
        <f t="shared" ref="AG54:AG111" si="64">AF54*J54*K54</f>
        <v>16685.540220708062</v>
      </c>
      <c r="AH54" s="52">
        <f>HLOOKUP(I54,ElecAvoidedCostsWOCC!$A$5:$Q$50,T54+1,FALSE)</f>
        <v>0.88470520788483886</v>
      </c>
      <c r="AI54" s="44">
        <f t="shared" ref="AI54:AI111" si="65">AH54*J54*L54</f>
        <v>0</v>
      </c>
      <c r="AJ54" s="44">
        <f t="shared" ref="AJ54:AJ111" si="66">AG54+AI54</f>
        <v>16685.540220708062</v>
      </c>
      <c r="AK54" s="44">
        <f>HLOOKUP(I54,ElecAvoidedCostsWOCC!$A$5:$Q$50,G54+1,FALSE)*J54*L54</f>
        <v>0</v>
      </c>
      <c r="AL54" s="44">
        <f t="shared" ref="AL54:AL111" si="67">AG54+AI54-AK54</f>
        <v>16685.540220708062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16685.540220708059</v>
      </c>
      <c r="AN54" s="48">
        <f t="shared" ref="AN54:AN111" si="68">AM54*1.1+AD54+AE54</f>
        <v>18354.094242778865</v>
      </c>
      <c r="AO54" s="47">
        <f t="shared" ref="AO54:AO111" si="69">IFERROR(AM54/AB54,0)</f>
        <v>2.5336563919686026</v>
      </c>
      <c r="AP54" s="47">
        <f t="shared" ref="AP54:AP111" si="70">AN54/AC54</f>
        <v>2.1863916184872116</v>
      </c>
    </row>
    <row r="55" spans="2:42" x14ac:dyDescent="0.35">
      <c r="B55" s="97" t="s">
        <v>67</v>
      </c>
      <c r="C55" s="98">
        <v>18230716</v>
      </c>
      <c r="D55" s="61" t="s">
        <v>550</v>
      </c>
      <c r="E55" s="38" t="s">
        <v>1464</v>
      </c>
      <c r="F55" s="39" t="s">
        <v>1465</v>
      </c>
      <c r="G55" s="39">
        <v>12</v>
      </c>
      <c r="H55" s="39"/>
      <c r="I55" s="40" t="s">
        <v>263</v>
      </c>
      <c r="J55" s="41">
        <v>4</v>
      </c>
      <c r="K55" s="41">
        <v>5190</v>
      </c>
      <c r="L55" s="41"/>
      <c r="M55" s="42">
        <v>3000</v>
      </c>
      <c r="N55" s="42">
        <v>2382</v>
      </c>
      <c r="O55" s="43">
        <v>20760</v>
      </c>
      <c r="P55" s="44">
        <v>12000</v>
      </c>
      <c r="Q55" s="44">
        <v>9528</v>
      </c>
      <c r="R55" s="45">
        <v>0</v>
      </c>
      <c r="S55" s="46">
        <v>0</v>
      </c>
      <c r="T55" s="39">
        <f t="shared" si="52"/>
        <v>12</v>
      </c>
      <c r="U55" s="47">
        <f t="shared" si="53"/>
        <v>0.18236101648522507</v>
      </c>
      <c r="V55" s="48">
        <f t="shared" si="54"/>
        <v>-618</v>
      </c>
      <c r="W55" s="49">
        <f t="shared" si="55"/>
        <v>1.5196751373768757E-2</v>
      </c>
      <c r="X55" s="44">
        <f t="shared" si="56"/>
        <v>1745.2665044625749</v>
      </c>
      <c r="Y55" s="44">
        <f t="shared" si="57"/>
        <v>-2472</v>
      </c>
      <c r="Z55" s="44">
        <f t="shared" si="58"/>
        <v>7741.934078249391</v>
      </c>
      <c r="AA55" s="50">
        <f t="shared" si="59"/>
        <v>11273.266504462576</v>
      </c>
      <c r="AB55" s="51">
        <f t="shared" si="60"/>
        <v>7249.0019459263958</v>
      </c>
      <c r="AC55" s="44">
        <f t="shared" si="61"/>
        <v>10555.492981706531</v>
      </c>
      <c r="AD55" s="44">
        <f t="shared" si="62"/>
        <v>0</v>
      </c>
      <c r="AE55" s="44">
        <f t="shared" si="63"/>
        <v>0</v>
      </c>
      <c r="AF55" s="52">
        <f>HLOOKUP(I55,ElecAvoidedCostsWOCC!$A$5:$Q$50,G55+1,FALSE)</f>
        <v>0.88596079543344408</v>
      </c>
      <c r="AG55" s="44">
        <f t="shared" si="64"/>
        <v>18392.546113198299</v>
      </c>
      <c r="AH55" s="52">
        <f>HLOOKUP(I55,ElecAvoidedCostsWOCC!$A$5:$Q$50,T55+1,FALSE)</f>
        <v>0.88596079543344408</v>
      </c>
      <c r="AI55" s="44">
        <f t="shared" si="65"/>
        <v>0</v>
      </c>
      <c r="AJ55" s="44">
        <f t="shared" si="66"/>
        <v>18392.546113198299</v>
      </c>
      <c r="AK55" s="44">
        <f>HLOOKUP(I55,ElecAvoidedCostsWOCC!$A$5:$Q$50,G55+1,FALSE)*J55*L55</f>
        <v>0</v>
      </c>
      <c r="AL55" s="44">
        <f t="shared" si="67"/>
        <v>18392.546113198299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18392.546113198299</v>
      </c>
      <c r="AN55" s="48">
        <f t="shared" si="68"/>
        <v>20231.800724518132</v>
      </c>
      <c r="AO55" s="47">
        <f t="shared" si="69"/>
        <v>2.5372521969778283</v>
      </c>
      <c r="AP55" s="47">
        <f t="shared" si="70"/>
        <v>1.9167082730841065</v>
      </c>
    </row>
    <row r="56" spans="2:42" x14ac:dyDescent="0.35">
      <c r="B56" s="97" t="s">
        <v>67</v>
      </c>
      <c r="C56" s="98">
        <v>18230716</v>
      </c>
      <c r="D56" s="61" t="s">
        <v>550</v>
      </c>
      <c r="E56" s="38" t="s">
        <v>1468</v>
      </c>
      <c r="F56" s="39" t="s">
        <v>1469</v>
      </c>
      <c r="G56" s="39">
        <v>12</v>
      </c>
      <c r="H56" s="39"/>
      <c r="I56" s="40" t="s">
        <v>263</v>
      </c>
      <c r="J56" s="41">
        <v>7</v>
      </c>
      <c r="K56" s="41">
        <v>2595</v>
      </c>
      <c r="L56" s="41"/>
      <c r="M56" s="42">
        <v>1500</v>
      </c>
      <c r="N56" s="42">
        <v>1191</v>
      </c>
      <c r="O56" s="43">
        <v>18165</v>
      </c>
      <c r="P56" s="44">
        <v>10500</v>
      </c>
      <c r="Q56" s="44">
        <v>8337</v>
      </c>
      <c r="R56" s="45">
        <v>0</v>
      </c>
      <c r="S56" s="46">
        <v>0</v>
      </c>
      <c r="T56" s="39">
        <f t="shared" si="52"/>
        <v>12</v>
      </c>
      <c r="U56" s="47">
        <f t="shared" si="53"/>
        <v>0.15956588942457195</v>
      </c>
      <c r="V56" s="48">
        <f t="shared" si="54"/>
        <v>-309</v>
      </c>
      <c r="W56" s="49">
        <f t="shared" si="55"/>
        <v>1.3297157452047662E-2</v>
      </c>
      <c r="X56" s="44">
        <f t="shared" si="56"/>
        <v>1527.1081914047529</v>
      </c>
      <c r="Y56" s="44">
        <f t="shared" si="57"/>
        <v>-2163</v>
      </c>
      <c r="Z56" s="44">
        <f t="shared" si="58"/>
        <v>6774.1923184682173</v>
      </c>
      <c r="AA56" s="50">
        <f t="shared" si="59"/>
        <v>9864.1081914047536</v>
      </c>
      <c r="AB56" s="51">
        <f t="shared" si="60"/>
        <v>6342.8767026855967</v>
      </c>
      <c r="AC56" s="44">
        <f t="shared" si="61"/>
        <v>9236.0563589932153</v>
      </c>
      <c r="AD56" s="44">
        <f t="shared" si="62"/>
        <v>0</v>
      </c>
      <c r="AE56" s="44">
        <f t="shared" si="63"/>
        <v>0</v>
      </c>
      <c r="AF56" s="52">
        <f>HLOOKUP(I56,ElecAvoidedCostsWOCC!$A$5:$Q$50,G56+1,FALSE)</f>
        <v>0.88596079543344408</v>
      </c>
      <c r="AG56" s="44">
        <f t="shared" si="64"/>
        <v>16093.477849048511</v>
      </c>
      <c r="AH56" s="52">
        <f>HLOOKUP(I56,ElecAvoidedCostsWOCC!$A$5:$Q$50,T56+1,FALSE)</f>
        <v>0.88596079543344408</v>
      </c>
      <c r="AI56" s="44">
        <f t="shared" si="65"/>
        <v>0</v>
      </c>
      <c r="AJ56" s="44">
        <f t="shared" si="66"/>
        <v>16093.477849048511</v>
      </c>
      <c r="AK56" s="44">
        <f>HLOOKUP(I56,ElecAvoidedCostsWOCC!$A$5:$Q$50,G56+1,FALSE)*J56*L56</f>
        <v>0</v>
      </c>
      <c r="AL56" s="44">
        <f t="shared" si="67"/>
        <v>16093.477849048511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16093.477849048511</v>
      </c>
      <c r="AN56" s="48">
        <f t="shared" si="68"/>
        <v>17702.825633953365</v>
      </c>
      <c r="AO56" s="47">
        <f t="shared" si="69"/>
        <v>2.5372521969778279</v>
      </c>
      <c r="AP56" s="47">
        <f t="shared" si="70"/>
        <v>1.9167082730841065</v>
      </c>
    </row>
    <row r="57" spans="2:42" x14ac:dyDescent="0.35">
      <c r="B57" s="97" t="s">
        <v>67</v>
      </c>
      <c r="C57" s="98">
        <v>18230716</v>
      </c>
      <c r="D57" s="61" t="s">
        <v>550</v>
      </c>
      <c r="E57" s="38" t="s">
        <v>1472</v>
      </c>
      <c r="F57" s="39" t="s">
        <v>1473</v>
      </c>
      <c r="G57" s="39">
        <v>12</v>
      </c>
      <c r="H57" s="39"/>
      <c r="I57" s="40" t="s">
        <v>263</v>
      </c>
      <c r="J57" s="41">
        <v>2</v>
      </c>
      <c r="K57" s="41">
        <v>15115</v>
      </c>
      <c r="L57" s="41"/>
      <c r="M57" s="42">
        <v>1500</v>
      </c>
      <c r="N57" s="42">
        <v>1053</v>
      </c>
      <c r="O57" s="43">
        <v>30230</v>
      </c>
      <c r="P57" s="44">
        <v>3000</v>
      </c>
      <c r="Q57" s="44">
        <v>2106</v>
      </c>
      <c r="R57" s="45">
        <v>493.08</v>
      </c>
      <c r="S57" s="46">
        <v>0</v>
      </c>
      <c r="T57" s="39">
        <f t="shared" si="52"/>
        <v>12</v>
      </c>
      <c r="U57" s="47">
        <f t="shared" si="53"/>
        <v>0.26554785782024826</v>
      </c>
      <c r="V57" s="48">
        <f t="shared" si="54"/>
        <v>-447</v>
      </c>
      <c r="W57" s="49">
        <f t="shared" si="55"/>
        <v>2.2128988151687356E-2</v>
      </c>
      <c r="X57" s="44">
        <f t="shared" si="56"/>
        <v>2541.3972268739708</v>
      </c>
      <c r="Y57" s="44">
        <f t="shared" si="57"/>
        <v>-894</v>
      </c>
      <c r="Z57" s="44">
        <f t="shared" si="58"/>
        <v>11273.538881766815</v>
      </c>
      <c r="AA57" s="50">
        <f t="shared" si="59"/>
        <v>4647.3972268739708</v>
      </c>
      <c r="AB57" s="51">
        <f t="shared" si="60"/>
        <v>10555.748016635594</v>
      </c>
      <c r="AC57" s="44">
        <f t="shared" si="61"/>
        <v>4351.4955307808714</v>
      </c>
      <c r="AD57" s="44">
        <f t="shared" si="62"/>
        <v>7916.933552773402</v>
      </c>
      <c r="AE57" s="44">
        <f t="shared" si="63"/>
        <v>0</v>
      </c>
      <c r="AF57" s="52">
        <f>HLOOKUP(I57,ElecAvoidedCostsWOCC!$A$5:$Q$50,G57+1,FALSE)</f>
        <v>0.88596079543344408</v>
      </c>
      <c r="AG57" s="44">
        <f t="shared" si="64"/>
        <v>26782.594845953015</v>
      </c>
      <c r="AH57" s="52">
        <f>HLOOKUP(I57,ElecAvoidedCostsWOCC!$A$5:$Q$50,T57+1,FALSE)</f>
        <v>0.88596079543344408</v>
      </c>
      <c r="AI57" s="44">
        <f t="shared" si="65"/>
        <v>0</v>
      </c>
      <c r="AJ57" s="44">
        <f t="shared" si="66"/>
        <v>26782.594845953015</v>
      </c>
      <c r="AK57" s="44">
        <f>HLOOKUP(I57,ElecAvoidedCostsWOCC!$A$5:$Q$50,G57+1,FALSE)*J57*L57</f>
        <v>0</v>
      </c>
      <c r="AL57" s="44">
        <f t="shared" si="67"/>
        <v>26782.594845953015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26782.594845953015</v>
      </c>
      <c r="AN57" s="48">
        <f t="shared" si="68"/>
        <v>37377.787883321718</v>
      </c>
      <c r="AO57" s="47">
        <f t="shared" si="69"/>
        <v>2.5372521969778283</v>
      </c>
      <c r="AP57" s="47">
        <f t="shared" si="70"/>
        <v>8.5896417953149804</v>
      </c>
    </row>
    <row r="58" spans="2:42" x14ac:dyDescent="0.35">
      <c r="B58" s="97" t="s">
        <v>67</v>
      </c>
      <c r="C58" s="98">
        <v>18230716</v>
      </c>
      <c r="D58" s="61" t="s">
        <v>550</v>
      </c>
      <c r="E58" s="38" t="s">
        <v>1480</v>
      </c>
      <c r="F58" s="39" t="s">
        <v>1481</v>
      </c>
      <c r="G58" s="39">
        <v>15</v>
      </c>
      <c r="H58" s="39"/>
      <c r="I58" s="40" t="s">
        <v>266</v>
      </c>
      <c r="J58" s="41">
        <v>1</v>
      </c>
      <c r="K58" s="41">
        <v>25020</v>
      </c>
      <c r="L58" s="41"/>
      <c r="M58" s="42">
        <v>18000</v>
      </c>
      <c r="N58" s="42">
        <v>20097.7</v>
      </c>
      <c r="O58" s="43">
        <v>25020</v>
      </c>
      <c r="P58" s="44">
        <v>13500</v>
      </c>
      <c r="Q58" s="44">
        <v>20097.7</v>
      </c>
      <c r="R58" s="45">
        <v>0</v>
      </c>
      <c r="S58" s="46">
        <v>0</v>
      </c>
      <c r="T58" s="39">
        <f t="shared" si="52"/>
        <v>15</v>
      </c>
      <c r="U58" s="47">
        <f t="shared" si="53"/>
        <v>0.27472739838995247</v>
      </c>
      <c r="V58" s="48">
        <f t="shared" si="54"/>
        <v>2097.7000000000007</v>
      </c>
      <c r="W58" s="49">
        <f t="shared" si="55"/>
        <v>1.83151598926635E-2</v>
      </c>
      <c r="X58" s="44">
        <f t="shared" si="56"/>
        <v>2103.3992264765711</v>
      </c>
      <c r="Y58" s="44">
        <f t="shared" si="57"/>
        <v>6597.7000000000007</v>
      </c>
      <c r="Z58" s="44">
        <f t="shared" si="58"/>
        <v>9330.59685153178</v>
      </c>
      <c r="AA58" s="50">
        <f t="shared" si="59"/>
        <v>22201.099226476574</v>
      </c>
      <c r="AB58" s="51">
        <f t="shared" si="60"/>
        <v>8736.5139059286321</v>
      </c>
      <c r="AC58" s="44">
        <f t="shared" si="61"/>
        <v>20787.546092206529</v>
      </c>
      <c r="AD58" s="44">
        <f t="shared" si="62"/>
        <v>0</v>
      </c>
      <c r="AE58" s="44">
        <f t="shared" si="63"/>
        <v>0</v>
      </c>
      <c r="AF58" s="52">
        <f>HLOOKUP(I58,ElecAvoidedCostsWOCC!$A$5:$Q$50,G58+1,FALSE)</f>
        <v>1.2903205727715383</v>
      </c>
      <c r="AG58" s="44">
        <f t="shared" si="64"/>
        <v>32283.82073074389</v>
      </c>
      <c r="AH58" s="52">
        <f>HLOOKUP(I58,ElecAvoidedCostsWOCC!$A$5:$Q$50,T58+1,FALSE)</f>
        <v>1.2903205727715383</v>
      </c>
      <c r="AI58" s="44">
        <f t="shared" si="65"/>
        <v>0</v>
      </c>
      <c r="AJ58" s="44">
        <f t="shared" si="66"/>
        <v>32283.82073074389</v>
      </c>
      <c r="AK58" s="44">
        <f>HLOOKUP(I58,ElecAvoidedCostsWOCC!$A$5:$Q$50,G58+1,FALSE)*J58*L58</f>
        <v>0</v>
      </c>
      <c r="AL58" s="44">
        <f t="shared" si="67"/>
        <v>32283.82073074389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32283.82073074389</v>
      </c>
      <c r="AN58" s="48">
        <f t="shared" si="68"/>
        <v>35512.202803818283</v>
      </c>
      <c r="AO58" s="47">
        <f t="shared" si="69"/>
        <v>3.6952749206792843</v>
      </c>
      <c r="AP58" s="47">
        <f t="shared" si="70"/>
        <v>1.708340303675006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2"/>
        <v>0</v>
      </c>
      <c r="U59" s="47">
        <f t="shared" si="53"/>
        <v>0</v>
      </c>
      <c r="V59" s="48">
        <f t="shared" si="54"/>
        <v>0</v>
      </c>
      <c r="W59" s="49">
        <f t="shared" si="55"/>
        <v>0</v>
      </c>
      <c r="X59" s="44">
        <f t="shared" si="56"/>
        <v>0</v>
      </c>
      <c r="Y59" s="44">
        <f t="shared" si="57"/>
        <v>0</v>
      </c>
      <c r="Z59" s="44">
        <f t="shared" si="58"/>
        <v>0</v>
      </c>
      <c r="AA59" s="50">
        <f t="shared" si="59"/>
        <v>0</v>
      </c>
      <c r="AB59" s="51">
        <f t="shared" si="60"/>
        <v>0</v>
      </c>
      <c r="AC59" s="44">
        <f t="shared" si="61"/>
        <v>0</v>
      </c>
      <c r="AD59" s="44">
        <f t="shared" si="62"/>
        <v>0</v>
      </c>
      <c r="AE59" s="44">
        <f t="shared" si="63"/>
        <v>0</v>
      </c>
      <c r="AF59" s="52" t="e">
        <f>HLOOKUP(I59,ElecAvoidedCostsWOCC!$A$5:$Q$50,G59+1,FALSE)</f>
        <v>#N/A</v>
      </c>
      <c r="AG59" s="44" t="e">
        <f t="shared" si="64"/>
        <v>#N/A</v>
      </c>
      <c r="AH59" s="52" t="e">
        <f>HLOOKUP(I59,ElecAvoidedCostsWOCC!$A$5:$Q$50,T59+1,FALSE)</f>
        <v>#N/A</v>
      </c>
      <c r="AI59" s="44" t="e">
        <f t="shared" si="65"/>
        <v>#N/A</v>
      </c>
      <c r="AJ59" s="44" t="e">
        <f t="shared" si="66"/>
        <v>#N/A</v>
      </c>
      <c r="AK59" s="44" t="e">
        <f>HLOOKUP(I59,ElecAvoidedCostsWOCC!$A$5:$Q$50,G59+1,FALSE)*J59*L59</f>
        <v>#N/A</v>
      </c>
      <c r="AL59" s="44" t="e">
        <f t="shared" si="67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68"/>
        <v>0</v>
      </c>
      <c r="AO59" s="47">
        <f t="shared" si="69"/>
        <v>0</v>
      </c>
      <c r="AP59" s="47" t="e">
        <f t="shared" si="70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2"/>
        <v>0</v>
      </c>
      <c r="U60" s="47">
        <f t="shared" si="53"/>
        <v>0</v>
      </c>
      <c r="V60" s="48">
        <f t="shared" si="54"/>
        <v>0</v>
      </c>
      <c r="W60" s="49">
        <f t="shared" si="55"/>
        <v>0</v>
      </c>
      <c r="X60" s="44">
        <f t="shared" si="56"/>
        <v>0</v>
      </c>
      <c r="Y60" s="44">
        <f t="shared" si="57"/>
        <v>0</v>
      </c>
      <c r="Z60" s="44">
        <f t="shared" si="58"/>
        <v>0</v>
      </c>
      <c r="AA60" s="50">
        <f t="shared" si="59"/>
        <v>0</v>
      </c>
      <c r="AB60" s="51">
        <f t="shared" si="60"/>
        <v>0</v>
      </c>
      <c r="AC60" s="44">
        <f t="shared" si="61"/>
        <v>0</v>
      </c>
      <c r="AD60" s="44">
        <f t="shared" si="62"/>
        <v>0</v>
      </c>
      <c r="AE60" s="44">
        <f t="shared" si="63"/>
        <v>0</v>
      </c>
      <c r="AF60" s="52" t="e">
        <f>HLOOKUP(I60,ElecAvoidedCostsWOCC!$A$5:$Q$50,G60+1,FALSE)</f>
        <v>#N/A</v>
      </c>
      <c r="AG60" s="44" t="e">
        <f t="shared" si="64"/>
        <v>#N/A</v>
      </c>
      <c r="AH60" s="52" t="e">
        <f>HLOOKUP(I60,ElecAvoidedCostsWOCC!$A$5:$Q$50,T60+1,FALSE)</f>
        <v>#N/A</v>
      </c>
      <c r="AI60" s="44" t="e">
        <f t="shared" si="65"/>
        <v>#N/A</v>
      </c>
      <c r="AJ60" s="44" t="e">
        <f t="shared" si="66"/>
        <v>#N/A</v>
      </c>
      <c r="AK60" s="44" t="e">
        <f>HLOOKUP(I60,ElecAvoidedCostsWOCC!$A$5:$Q$50,G60+1,FALSE)*J60*L60</f>
        <v>#N/A</v>
      </c>
      <c r="AL60" s="44" t="e">
        <f t="shared" si="67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68"/>
        <v>0</v>
      </c>
      <c r="AO60" s="47">
        <f t="shared" si="69"/>
        <v>0</v>
      </c>
      <c r="AP60" s="47" t="e">
        <f t="shared" si="70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2"/>
        <v>0</v>
      </c>
      <c r="U61" s="47">
        <f t="shared" si="53"/>
        <v>0</v>
      </c>
      <c r="V61" s="48">
        <f t="shared" si="54"/>
        <v>0</v>
      </c>
      <c r="W61" s="49">
        <f t="shared" si="55"/>
        <v>0</v>
      </c>
      <c r="X61" s="44">
        <f t="shared" si="56"/>
        <v>0</v>
      </c>
      <c r="Y61" s="44">
        <f t="shared" si="57"/>
        <v>0</v>
      </c>
      <c r="Z61" s="44">
        <f t="shared" si="58"/>
        <v>0</v>
      </c>
      <c r="AA61" s="50">
        <f t="shared" si="59"/>
        <v>0</v>
      </c>
      <c r="AB61" s="51">
        <f t="shared" si="60"/>
        <v>0</v>
      </c>
      <c r="AC61" s="44">
        <f t="shared" si="61"/>
        <v>0</v>
      </c>
      <c r="AD61" s="44">
        <f t="shared" si="62"/>
        <v>0</v>
      </c>
      <c r="AE61" s="44">
        <f t="shared" si="63"/>
        <v>0</v>
      </c>
      <c r="AF61" s="52" t="e">
        <f>HLOOKUP(I61,ElecAvoidedCostsWOCC!$A$5:$Q$50,G61+1,FALSE)</f>
        <v>#N/A</v>
      </c>
      <c r="AG61" s="44" t="e">
        <f t="shared" si="64"/>
        <v>#N/A</v>
      </c>
      <c r="AH61" s="52" t="e">
        <f>HLOOKUP(I61,ElecAvoidedCostsWOCC!$A$5:$Q$50,T61+1,FALSE)</f>
        <v>#N/A</v>
      </c>
      <c r="AI61" s="44" t="e">
        <f t="shared" si="65"/>
        <v>#N/A</v>
      </c>
      <c r="AJ61" s="44" t="e">
        <f t="shared" si="66"/>
        <v>#N/A</v>
      </c>
      <c r="AK61" s="44" t="e">
        <f>HLOOKUP(I61,ElecAvoidedCostsWOCC!$A$5:$Q$50,G61+1,FALSE)*J61*L61</f>
        <v>#N/A</v>
      </c>
      <c r="AL61" s="44" t="e">
        <f t="shared" si="67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68"/>
        <v>0</v>
      </c>
      <c r="AO61" s="47">
        <f t="shared" si="69"/>
        <v>0</v>
      </c>
      <c r="AP61" s="47" t="e">
        <f t="shared" si="70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2"/>
        <v>0</v>
      </c>
      <c r="U62" s="47">
        <f t="shared" si="53"/>
        <v>0</v>
      </c>
      <c r="V62" s="48">
        <f t="shared" si="54"/>
        <v>0</v>
      </c>
      <c r="W62" s="49">
        <f t="shared" si="55"/>
        <v>0</v>
      </c>
      <c r="X62" s="44">
        <f t="shared" si="56"/>
        <v>0</v>
      </c>
      <c r="Y62" s="44">
        <f t="shared" si="57"/>
        <v>0</v>
      </c>
      <c r="Z62" s="44">
        <f t="shared" si="58"/>
        <v>0</v>
      </c>
      <c r="AA62" s="50">
        <f t="shared" si="59"/>
        <v>0</v>
      </c>
      <c r="AB62" s="51">
        <f t="shared" si="60"/>
        <v>0</v>
      </c>
      <c r="AC62" s="44">
        <f t="shared" si="61"/>
        <v>0</v>
      </c>
      <c r="AD62" s="44">
        <f t="shared" si="62"/>
        <v>0</v>
      </c>
      <c r="AE62" s="44">
        <f t="shared" si="63"/>
        <v>0</v>
      </c>
      <c r="AF62" s="52" t="e">
        <f>HLOOKUP(I62,ElecAvoidedCostsWOCC!$A$5:$Q$50,G62+1,FALSE)</f>
        <v>#N/A</v>
      </c>
      <c r="AG62" s="44" t="e">
        <f t="shared" si="64"/>
        <v>#N/A</v>
      </c>
      <c r="AH62" s="52" t="e">
        <f>HLOOKUP(I62,ElecAvoidedCostsWOCC!$A$5:$Q$50,T62+1,FALSE)</f>
        <v>#N/A</v>
      </c>
      <c r="AI62" s="44" t="e">
        <f t="shared" si="65"/>
        <v>#N/A</v>
      </c>
      <c r="AJ62" s="44" t="e">
        <f t="shared" si="66"/>
        <v>#N/A</v>
      </c>
      <c r="AK62" s="44" t="e">
        <f>HLOOKUP(I62,ElecAvoidedCostsWOCC!$A$5:$Q$50,G62+1,FALSE)*J62*L62</f>
        <v>#N/A</v>
      </c>
      <c r="AL62" s="44" t="e">
        <f t="shared" si="67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68"/>
        <v>0</v>
      </c>
      <c r="AO62" s="47">
        <f t="shared" si="69"/>
        <v>0</v>
      </c>
      <c r="AP62" s="47" t="e">
        <f t="shared" si="70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52"/>
        <v>0</v>
      </c>
      <c r="U63" s="47">
        <f t="shared" si="53"/>
        <v>0</v>
      </c>
      <c r="V63" s="48">
        <f t="shared" si="54"/>
        <v>0</v>
      </c>
      <c r="W63" s="49">
        <f t="shared" si="55"/>
        <v>0</v>
      </c>
      <c r="X63" s="44">
        <f t="shared" si="56"/>
        <v>0</v>
      </c>
      <c r="Y63" s="44">
        <f t="shared" si="57"/>
        <v>0</v>
      </c>
      <c r="Z63" s="44">
        <f t="shared" si="58"/>
        <v>0</v>
      </c>
      <c r="AA63" s="50">
        <f t="shared" si="59"/>
        <v>0</v>
      </c>
      <c r="AB63" s="51">
        <f t="shared" si="60"/>
        <v>0</v>
      </c>
      <c r="AC63" s="44">
        <f t="shared" si="61"/>
        <v>0</v>
      </c>
      <c r="AD63" s="44">
        <f t="shared" si="62"/>
        <v>0</v>
      </c>
      <c r="AE63" s="44">
        <f t="shared" si="63"/>
        <v>0</v>
      </c>
      <c r="AF63" s="52" t="e">
        <f>HLOOKUP(I63,ElecAvoidedCostsWOCC!$A$5:$Q$50,G63+1,FALSE)</f>
        <v>#N/A</v>
      </c>
      <c r="AG63" s="44" t="e">
        <f t="shared" si="64"/>
        <v>#N/A</v>
      </c>
      <c r="AH63" s="52" t="e">
        <f>HLOOKUP(I63,ElecAvoidedCostsWOCC!$A$5:$Q$50,T63+1,FALSE)</f>
        <v>#N/A</v>
      </c>
      <c r="AI63" s="44" t="e">
        <f t="shared" si="65"/>
        <v>#N/A</v>
      </c>
      <c r="AJ63" s="44" t="e">
        <f t="shared" si="66"/>
        <v>#N/A</v>
      </c>
      <c r="AK63" s="44" t="e">
        <f>HLOOKUP(I63,ElecAvoidedCostsWOCC!$A$5:$Q$50,G63+1,FALSE)*J63*L63</f>
        <v>#N/A</v>
      </c>
      <c r="AL63" s="44" t="e">
        <f t="shared" si="67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68"/>
        <v>0</v>
      </c>
      <c r="AO63" s="47">
        <f t="shared" si="69"/>
        <v>0</v>
      </c>
      <c r="AP63" s="47" t="e">
        <f t="shared" si="70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52"/>
        <v>0</v>
      </c>
      <c r="U64" s="47">
        <f t="shared" si="53"/>
        <v>0</v>
      </c>
      <c r="V64" s="48">
        <f t="shared" si="54"/>
        <v>0</v>
      </c>
      <c r="W64" s="49">
        <f t="shared" si="55"/>
        <v>0</v>
      </c>
      <c r="X64" s="44">
        <f t="shared" si="56"/>
        <v>0</v>
      </c>
      <c r="Y64" s="44">
        <f t="shared" si="57"/>
        <v>0</v>
      </c>
      <c r="Z64" s="44">
        <f t="shared" si="58"/>
        <v>0</v>
      </c>
      <c r="AA64" s="50">
        <f t="shared" si="59"/>
        <v>0</v>
      </c>
      <c r="AB64" s="51">
        <f t="shared" si="60"/>
        <v>0</v>
      </c>
      <c r="AC64" s="44">
        <f t="shared" si="61"/>
        <v>0</v>
      </c>
      <c r="AD64" s="44">
        <f t="shared" si="62"/>
        <v>0</v>
      </c>
      <c r="AE64" s="44">
        <f t="shared" si="63"/>
        <v>0</v>
      </c>
      <c r="AF64" s="52" t="e">
        <f>HLOOKUP(I64,ElecAvoidedCostsWOCC!$A$5:$Q$50,G64+1,FALSE)</f>
        <v>#N/A</v>
      </c>
      <c r="AG64" s="44" t="e">
        <f t="shared" si="64"/>
        <v>#N/A</v>
      </c>
      <c r="AH64" s="52" t="e">
        <f>HLOOKUP(I64,ElecAvoidedCostsWOCC!$A$5:$Q$50,T64+1,FALSE)</f>
        <v>#N/A</v>
      </c>
      <c r="AI64" s="44" t="e">
        <f t="shared" si="65"/>
        <v>#N/A</v>
      </c>
      <c r="AJ64" s="44" t="e">
        <f t="shared" si="66"/>
        <v>#N/A</v>
      </c>
      <c r="AK64" s="44" t="e">
        <f>HLOOKUP(I64,ElecAvoidedCostsWOCC!$A$5:$Q$50,G64+1,FALSE)*J64*L64</f>
        <v>#N/A</v>
      </c>
      <c r="AL64" s="44" t="e">
        <f t="shared" si="67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68"/>
        <v>0</v>
      </c>
      <c r="AO64" s="47">
        <f t="shared" si="69"/>
        <v>0</v>
      </c>
      <c r="AP64" s="47" t="e">
        <f t="shared" si="70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52"/>
        <v>0</v>
      </c>
      <c r="U65" s="47">
        <f t="shared" si="53"/>
        <v>0</v>
      </c>
      <c r="V65" s="48">
        <f t="shared" si="54"/>
        <v>0</v>
      </c>
      <c r="W65" s="49">
        <f t="shared" si="55"/>
        <v>0</v>
      </c>
      <c r="X65" s="44">
        <f t="shared" si="56"/>
        <v>0</v>
      </c>
      <c r="Y65" s="44">
        <f t="shared" si="57"/>
        <v>0</v>
      </c>
      <c r="Z65" s="44">
        <f t="shared" si="58"/>
        <v>0</v>
      </c>
      <c r="AA65" s="50">
        <f t="shared" si="59"/>
        <v>0</v>
      </c>
      <c r="AB65" s="51">
        <f t="shared" si="60"/>
        <v>0</v>
      </c>
      <c r="AC65" s="44">
        <f t="shared" si="61"/>
        <v>0</v>
      </c>
      <c r="AD65" s="44">
        <f t="shared" si="62"/>
        <v>0</v>
      </c>
      <c r="AE65" s="44">
        <f t="shared" si="63"/>
        <v>0</v>
      </c>
      <c r="AF65" s="52" t="e">
        <f>HLOOKUP(I65,ElecAvoidedCostsWOCC!$A$5:$Q$50,G65+1,FALSE)</f>
        <v>#N/A</v>
      </c>
      <c r="AG65" s="44" t="e">
        <f t="shared" si="64"/>
        <v>#N/A</v>
      </c>
      <c r="AH65" s="52" t="e">
        <f>HLOOKUP(I65,ElecAvoidedCostsWOCC!$A$5:$Q$50,T65+1,FALSE)</f>
        <v>#N/A</v>
      </c>
      <c r="AI65" s="44" t="e">
        <f t="shared" si="65"/>
        <v>#N/A</v>
      </c>
      <c r="AJ65" s="44" t="e">
        <f t="shared" si="66"/>
        <v>#N/A</v>
      </c>
      <c r="AK65" s="44" t="e">
        <f>HLOOKUP(I65,ElecAvoidedCostsWOCC!$A$5:$Q$50,G65+1,FALSE)*J65*L65</f>
        <v>#N/A</v>
      </c>
      <c r="AL65" s="44" t="e">
        <f t="shared" si="67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68"/>
        <v>0</v>
      </c>
      <c r="AO65" s="47">
        <f t="shared" si="69"/>
        <v>0</v>
      </c>
      <c r="AP65" s="47" t="e">
        <f t="shared" si="70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52"/>
        <v>0</v>
      </c>
      <c r="U66" s="47">
        <f t="shared" si="53"/>
        <v>0</v>
      </c>
      <c r="V66" s="48">
        <f t="shared" si="54"/>
        <v>0</v>
      </c>
      <c r="W66" s="49">
        <f t="shared" si="55"/>
        <v>0</v>
      </c>
      <c r="X66" s="44">
        <f t="shared" si="56"/>
        <v>0</v>
      </c>
      <c r="Y66" s="44">
        <f t="shared" si="57"/>
        <v>0</v>
      </c>
      <c r="Z66" s="44">
        <f t="shared" si="58"/>
        <v>0</v>
      </c>
      <c r="AA66" s="50">
        <f t="shared" si="59"/>
        <v>0</v>
      </c>
      <c r="AB66" s="51">
        <f t="shared" si="60"/>
        <v>0</v>
      </c>
      <c r="AC66" s="44">
        <f t="shared" si="61"/>
        <v>0</v>
      </c>
      <c r="AD66" s="44">
        <f t="shared" si="62"/>
        <v>0</v>
      </c>
      <c r="AE66" s="44">
        <f t="shared" si="63"/>
        <v>0</v>
      </c>
      <c r="AF66" s="52" t="e">
        <f>HLOOKUP(I66,ElecAvoidedCostsWOCC!$A$5:$Q$50,G66+1,FALSE)</f>
        <v>#N/A</v>
      </c>
      <c r="AG66" s="44" t="e">
        <f t="shared" si="64"/>
        <v>#N/A</v>
      </c>
      <c r="AH66" s="52" t="e">
        <f>HLOOKUP(I66,ElecAvoidedCostsWOCC!$A$5:$Q$50,T66+1,FALSE)</f>
        <v>#N/A</v>
      </c>
      <c r="AI66" s="44" t="e">
        <f t="shared" si="65"/>
        <v>#N/A</v>
      </c>
      <c r="AJ66" s="44" t="e">
        <f t="shared" si="66"/>
        <v>#N/A</v>
      </c>
      <c r="AK66" s="44" t="e">
        <f>HLOOKUP(I66,ElecAvoidedCostsWOCC!$A$5:$Q$50,G66+1,FALSE)*J66*L66</f>
        <v>#N/A</v>
      </c>
      <c r="AL66" s="44" t="e">
        <f t="shared" si="67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68"/>
        <v>0</v>
      </c>
      <c r="AO66" s="47">
        <f t="shared" si="69"/>
        <v>0</v>
      </c>
      <c r="AP66" s="47" t="e">
        <f t="shared" si="70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52"/>
        <v>0</v>
      </c>
      <c r="U67" s="47">
        <f t="shared" si="53"/>
        <v>0</v>
      </c>
      <c r="V67" s="48">
        <f t="shared" si="54"/>
        <v>0</v>
      </c>
      <c r="W67" s="49">
        <f t="shared" si="55"/>
        <v>0</v>
      </c>
      <c r="X67" s="44">
        <f t="shared" si="56"/>
        <v>0</v>
      </c>
      <c r="Y67" s="44">
        <f t="shared" si="57"/>
        <v>0</v>
      </c>
      <c r="Z67" s="44">
        <f t="shared" si="58"/>
        <v>0</v>
      </c>
      <c r="AA67" s="50">
        <f t="shared" si="59"/>
        <v>0</v>
      </c>
      <c r="AB67" s="51">
        <f t="shared" si="60"/>
        <v>0</v>
      </c>
      <c r="AC67" s="44">
        <f t="shared" si="61"/>
        <v>0</v>
      </c>
      <c r="AD67" s="44">
        <f t="shared" si="62"/>
        <v>0</v>
      </c>
      <c r="AE67" s="44">
        <f t="shared" si="63"/>
        <v>0</v>
      </c>
      <c r="AF67" s="52" t="e">
        <f>HLOOKUP(I67,ElecAvoidedCostsWOCC!$A$5:$Q$50,G67+1,FALSE)</f>
        <v>#N/A</v>
      </c>
      <c r="AG67" s="44" t="e">
        <f t="shared" si="64"/>
        <v>#N/A</v>
      </c>
      <c r="AH67" s="52" t="e">
        <f>HLOOKUP(I67,ElecAvoidedCostsWOCC!$A$5:$Q$50,T67+1,FALSE)</f>
        <v>#N/A</v>
      </c>
      <c r="AI67" s="44" t="e">
        <f t="shared" si="65"/>
        <v>#N/A</v>
      </c>
      <c r="AJ67" s="44" t="e">
        <f t="shared" si="66"/>
        <v>#N/A</v>
      </c>
      <c r="AK67" s="44" t="e">
        <f>HLOOKUP(I67,ElecAvoidedCostsWOCC!$A$5:$Q$50,G67+1,FALSE)*J67*L67</f>
        <v>#N/A</v>
      </c>
      <c r="AL67" s="44" t="e">
        <f t="shared" si="67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68"/>
        <v>0</v>
      </c>
      <c r="AO67" s="47">
        <f t="shared" si="69"/>
        <v>0</v>
      </c>
      <c r="AP67" s="47" t="e">
        <f t="shared" si="70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52"/>
        <v>0</v>
      </c>
      <c r="U68" s="47">
        <f t="shared" si="53"/>
        <v>0</v>
      </c>
      <c r="V68" s="48">
        <f t="shared" si="54"/>
        <v>0</v>
      </c>
      <c r="W68" s="49">
        <f t="shared" si="55"/>
        <v>0</v>
      </c>
      <c r="X68" s="44">
        <f t="shared" si="56"/>
        <v>0</v>
      </c>
      <c r="Y68" s="44">
        <f t="shared" si="57"/>
        <v>0</v>
      </c>
      <c r="Z68" s="44">
        <f t="shared" si="58"/>
        <v>0</v>
      </c>
      <c r="AA68" s="50">
        <f t="shared" si="59"/>
        <v>0</v>
      </c>
      <c r="AB68" s="51">
        <f t="shared" si="60"/>
        <v>0</v>
      </c>
      <c r="AC68" s="44">
        <f t="shared" si="61"/>
        <v>0</v>
      </c>
      <c r="AD68" s="44">
        <f t="shared" si="62"/>
        <v>0</v>
      </c>
      <c r="AE68" s="44">
        <f t="shared" si="63"/>
        <v>0</v>
      </c>
      <c r="AF68" s="52" t="e">
        <f>HLOOKUP(I68,ElecAvoidedCostsWOCC!$A$5:$Q$50,G68+1,FALSE)</f>
        <v>#N/A</v>
      </c>
      <c r="AG68" s="44" t="e">
        <f t="shared" si="64"/>
        <v>#N/A</v>
      </c>
      <c r="AH68" s="52" t="e">
        <f>HLOOKUP(I68,ElecAvoidedCostsWOCC!$A$5:$Q$50,T68+1,FALSE)</f>
        <v>#N/A</v>
      </c>
      <c r="AI68" s="44" t="e">
        <f t="shared" si="65"/>
        <v>#N/A</v>
      </c>
      <c r="AJ68" s="44" t="e">
        <f t="shared" si="66"/>
        <v>#N/A</v>
      </c>
      <c r="AK68" s="44" t="e">
        <f>HLOOKUP(I68,ElecAvoidedCostsWOCC!$A$5:$Q$50,G68+1,FALSE)*J68*L68</f>
        <v>#N/A</v>
      </c>
      <c r="AL68" s="44" t="e">
        <f t="shared" si="67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68"/>
        <v>0</v>
      </c>
      <c r="AO68" s="47">
        <f t="shared" si="69"/>
        <v>0</v>
      </c>
      <c r="AP68" s="47" t="e">
        <f t="shared" si="70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52"/>
        <v>0</v>
      </c>
      <c r="U69" s="47">
        <f t="shared" si="53"/>
        <v>0</v>
      </c>
      <c r="V69" s="48">
        <f t="shared" si="54"/>
        <v>0</v>
      </c>
      <c r="W69" s="49">
        <f t="shared" si="55"/>
        <v>0</v>
      </c>
      <c r="X69" s="44">
        <f t="shared" si="56"/>
        <v>0</v>
      </c>
      <c r="Y69" s="44">
        <f t="shared" si="57"/>
        <v>0</v>
      </c>
      <c r="Z69" s="44">
        <f t="shared" si="58"/>
        <v>0</v>
      </c>
      <c r="AA69" s="50">
        <f t="shared" si="59"/>
        <v>0</v>
      </c>
      <c r="AB69" s="51">
        <f t="shared" si="60"/>
        <v>0</v>
      </c>
      <c r="AC69" s="44">
        <f t="shared" si="61"/>
        <v>0</v>
      </c>
      <c r="AD69" s="44">
        <f t="shared" si="62"/>
        <v>0</v>
      </c>
      <c r="AE69" s="44">
        <f t="shared" si="63"/>
        <v>0</v>
      </c>
      <c r="AF69" s="52" t="e">
        <f>HLOOKUP(I69,ElecAvoidedCostsWOCC!$A$5:$Q$50,G69+1,FALSE)</f>
        <v>#N/A</v>
      </c>
      <c r="AG69" s="44" t="e">
        <f t="shared" si="64"/>
        <v>#N/A</v>
      </c>
      <c r="AH69" s="52" t="e">
        <f>HLOOKUP(I69,ElecAvoidedCostsWOCC!$A$5:$Q$50,T69+1,FALSE)</f>
        <v>#N/A</v>
      </c>
      <c r="AI69" s="44" t="e">
        <f t="shared" si="65"/>
        <v>#N/A</v>
      </c>
      <c r="AJ69" s="44" t="e">
        <f t="shared" si="66"/>
        <v>#N/A</v>
      </c>
      <c r="AK69" s="44" t="e">
        <f>HLOOKUP(I69,ElecAvoidedCostsWOCC!$A$5:$Q$50,G69+1,FALSE)*J69*L69</f>
        <v>#N/A</v>
      </c>
      <c r="AL69" s="44" t="e">
        <f t="shared" si="67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68"/>
        <v>0</v>
      </c>
      <c r="AO69" s="47">
        <f t="shared" si="69"/>
        <v>0</v>
      </c>
      <c r="AP69" s="47" t="e">
        <f t="shared" si="70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52"/>
        <v>0</v>
      </c>
      <c r="U70" s="47">
        <f t="shared" si="53"/>
        <v>0</v>
      </c>
      <c r="V70" s="48">
        <f t="shared" si="54"/>
        <v>0</v>
      </c>
      <c r="W70" s="49">
        <f t="shared" si="55"/>
        <v>0</v>
      </c>
      <c r="X70" s="44">
        <f t="shared" si="56"/>
        <v>0</v>
      </c>
      <c r="Y70" s="44">
        <f t="shared" si="57"/>
        <v>0</v>
      </c>
      <c r="Z70" s="44">
        <f t="shared" si="58"/>
        <v>0</v>
      </c>
      <c r="AA70" s="50">
        <f t="shared" si="59"/>
        <v>0</v>
      </c>
      <c r="AB70" s="51">
        <f t="shared" si="60"/>
        <v>0</v>
      </c>
      <c r="AC70" s="44">
        <f t="shared" si="61"/>
        <v>0</v>
      </c>
      <c r="AD70" s="44">
        <f t="shared" si="62"/>
        <v>0</v>
      </c>
      <c r="AE70" s="44">
        <f t="shared" si="63"/>
        <v>0</v>
      </c>
      <c r="AF70" s="52" t="e">
        <f>HLOOKUP(I70,ElecAvoidedCostsWOCC!$A$5:$Q$50,G70+1,FALSE)</f>
        <v>#N/A</v>
      </c>
      <c r="AG70" s="44" t="e">
        <f t="shared" si="64"/>
        <v>#N/A</v>
      </c>
      <c r="AH70" s="52" t="e">
        <f>HLOOKUP(I70,ElecAvoidedCostsWOCC!$A$5:$Q$50,T70+1,FALSE)</f>
        <v>#N/A</v>
      </c>
      <c r="AI70" s="44" t="e">
        <f t="shared" si="65"/>
        <v>#N/A</v>
      </c>
      <c r="AJ70" s="44" t="e">
        <f t="shared" si="66"/>
        <v>#N/A</v>
      </c>
      <c r="AK70" s="44" t="e">
        <f>HLOOKUP(I70,ElecAvoidedCostsWOCC!$A$5:$Q$50,G70+1,FALSE)*J70*L70</f>
        <v>#N/A</v>
      </c>
      <c r="AL70" s="44" t="e">
        <f t="shared" si="67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68"/>
        <v>0</v>
      </c>
      <c r="AO70" s="47">
        <f t="shared" si="69"/>
        <v>0</v>
      </c>
      <c r="AP70" s="47" t="e">
        <f t="shared" si="70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52"/>
        <v>0</v>
      </c>
      <c r="U71" s="47">
        <f t="shared" si="53"/>
        <v>0</v>
      </c>
      <c r="V71" s="48">
        <f t="shared" si="54"/>
        <v>0</v>
      </c>
      <c r="W71" s="49">
        <f t="shared" si="55"/>
        <v>0</v>
      </c>
      <c r="X71" s="44">
        <f t="shared" si="56"/>
        <v>0</v>
      </c>
      <c r="Y71" s="44">
        <f t="shared" si="57"/>
        <v>0</v>
      </c>
      <c r="Z71" s="44">
        <f t="shared" si="58"/>
        <v>0</v>
      </c>
      <c r="AA71" s="50">
        <f t="shared" si="59"/>
        <v>0</v>
      </c>
      <c r="AB71" s="51">
        <f t="shared" si="60"/>
        <v>0</v>
      </c>
      <c r="AC71" s="44">
        <f t="shared" si="61"/>
        <v>0</v>
      </c>
      <c r="AD71" s="44">
        <f t="shared" si="62"/>
        <v>0</v>
      </c>
      <c r="AE71" s="44">
        <f t="shared" si="63"/>
        <v>0</v>
      </c>
      <c r="AF71" s="52" t="e">
        <f>HLOOKUP(I71,ElecAvoidedCostsWOCC!$A$5:$Q$50,G71+1,FALSE)</f>
        <v>#N/A</v>
      </c>
      <c r="AG71" s="44" t="e">
        <f t="shared" si="64"/>
        <v>#N/A</v>
      </c>
      <c r="AH71" s="52" t="e">
        <f>HLOOKUP(I71,ElecAvoidedCostsWOCC!$A$5:$Q$50,T71+1,FALSE)</f>
        <v>#N/A</v>
      </c>
      <c r="AI71" s="44" t="e">
        <f t="shared" si="65"/>
        <v>#N/A</v>
      </c>
      <c r="AJ71" s="44" t="e">
        <f t="shared" si="66"/>
        <v>#N/A</v>
      </c>
      <c r="AK71" s="44" t="e">
        <f>HLOOKUP(I71,ElecAvoidedCostsWOCC!$A$5:$Q$50,G71+1,FALSE)*J71*L71</f>
        <v>#N/A</v>
      </c>
      <c r="AL71" s="44" t="e">
        <f t="shared" si="67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68"/>
        <v>0</v>
      </c>
      <c r="AO71" s="47">
        <f t="shared" si="69"/>
        <v>0</v>
      </c>
      <c r="AP71" s="47" t="e">
        <f t="shared" si="70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52"/>
        <v>0</v>
      </c>
      <c r="U72" s="47">
        <f t="shared" si="53"/>
        <v>0</v>
      </c>
      <c r="V72" s="48">
        <f t="shared" si="54"/>
        <v>0</v>
      </c>
      <c r="W72" s="49">
        <f t="shared" si="55"/>
        <v>0</v>
      </c>
      <c r="X72" s="44">
        <f t="shared" si="56"/>
        <v>0</v>
      </c>
      <c r="Y72" s="44">
        <f t="shared" si="57"/>
        <v>0</v>
      </c>
      <c r="Z72" s="44">
        <f t="shared" si="58"/>
        <v>0</v>
      </c>
      <c r="AA72" s="50">
        <f t="shared" si="59"/>
        <v>0</v>
      </c>
      <c r="AB72" s="51">
        <f t="shared" si="60"/>
        <v>0</v>
      </c>
      <c r="AC72" s="44">
        <f t="shared" si="61"/>
        <v>0</v>
      </c>
      <c r="AD72" s="44">
        <f t="shared" si="62"/>
        <v>0</v>
      </c>
      <c r="AE72" s="44">
        <f t="shared" si="63"/>
        <v>0</v>
      </c>
      <c r="AF72" s="52" t="e">
        <f>HLOOKUP(I72,ElecAvoidedCostsWOCC!$A$5:$Q$50,G72+1,FALSE)</f>
        <v>#N/A</v>
      </c>
      <c r="AG72" s="44" t="e">
        <f t="shared" si="64"/>
        <v>#N/A</v>
      </c>
      <c r="AH72" s="52" t="e">
        <f>HLOOKUP(I72,ElecAvoidedCostsWOCC!$A$5:$Q$50,T72+1,FALSE)</f>
        <v>#N/A</v>
      </c>
      <c r="AI72" s="44" t="e">
        <f t="shared" si="65"/>
        <v>#N/A</v>
      </c>
      <c r="AJ72" s="44" t="e">
        <f t="shared" si="66"/>
        <v>#N/A</v>
      </c>
      <c r="AK72" s="44" t="e">
        <f>HLOOKUP(I72,ElecAvoidedCostsWOCC!$A$5:$Q$50,G72+1,FALSE)*J72*L72</f>
        <v>#N/A</v>
      </c>
      <c r="AL72" s="44" t="e">
        <f t="shared" si="67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68"/>
        <v>0</v>
      </c>
      <c r="AO72" s="47">
        <f t="shared" si="69"/>
        <v>0</v>
      </c>
      <c r="AP72" s="47" t="e">
        <f t="shared" si="70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52"/>
        <v>0</v>
      </c>
      <c r="U73" s="47">
        <f t="shared" si="53"/>
        <v>0</v>
      </c>
      <c r="V73" s="48">
        <f t="shared" si="54"/>
        <v>0</v>
      </c>
      <c r="W73" s="49">
        <f t="shared" si="55"/>
        <v>0</v>
      </c>
      <c r="X73" s="44">
        <f t="shared" si="56"/>
        <v>0</v>
      </c>
      <c r="Y73" s="44">
        <f t="shared" si="57"/>
        <v>0</v>
      </c>
      <c r="Z73" s="44">
        <f t="shared" si="58"/>
        <v>0</v>
      </c>
      <c r="AA73" s="50">
        <f t="shared" si="59"/>
        <v>0</v>
      </c>
      <c r="AB73" s="51">
        <f t="shared" si="60"/>
        <v>0</v>
      </c>
      <c r="AC73" s="44">
        <f t="shared" si="61"/>
        <v>0</v>
      </c>
      <c r="AD73" s="44">
        <f t="shared" si="62"/>
        <v>0</v>
      </c>
      <c r="AE73" s="44">
        <f t="shared" si="63"/>
        <v>0</v>
      </c>
      <c r="AF73" s="52" t="e">
        <f>HLOOKUP(I73,ElecAvoidedCostsWOCC!$A$5:$Q$50,G73+1,FALSE)</f>
        <v>#N/A</v>
      </c>
      <c r="AG73" s="44" t="e">
        <f t="shared" si="64"/>
        <v>#N/A</v>
      </c>
      <c r="AH73" s="52" t="e">
        <f>HLOOKUP(I73,ElecAvoidedCostsWOCC!$A$5:$Q$50,T73+1,FALSE)</f>
        <v>#N/A</v>
      </c>
      <c r="AI73" s="44" t="e">
        <f t="shared" si="65"/>
        <v>#N/A</v>
      </c>
      <c r="AJ73" s="44" t="e">
        <f t="shared" si="66"/>
        <v>#N/A</v>
      </c>
      <c r="AK73" s="44" t="e">
        <f>HLOOKUP(I73,ElecAvoidedCostsWOCC!$A$5:$Q$50,G73+1,FALSE)*J73*L73</f>
        <v>#N/A</v>
      </c>
      <c r="AL73" s="44" t="e">
        <f t="shared" si="67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68"/>
        <v>0</v>
      </c>
      <c r="AO73" s="47">
        <f t="shared" si="69"/>
        <v>0</v>
      </c>
      <c r="AP73" s="47" t="e">
        <f t="shared" si="70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52"/>
        <v>0</v>
      </c>
      <c r="U74" s="47">
        <f t="shared" si="53"/>
        <v>0</v>
      </c>
      <c r="V74" s="48">
        <f t="shared" si="54"/>
        <v>0</v>
      </c>
      <c r="W74" s="49">
        <f t="shared" si="55"/>
        <v>0</v>
      </c>
      <c r="X74" s="44">
        <f t="shared" si="56"/>
        <v>0</v>
      </c>
      <c r="Y74" s="44">
        <f t="shared" si="57"/>
        <v>0</v>
      </c>
      <c r="Z74" s="44">
        <f t="shared" si="58"/>
        <v>0</v>
      </c>
      <c r="AA74" s="50">
        <f t="shared" si="59"/>
        <v>0</v>
      </c>
      <c r="AB74" s="51">
        <f t="shared" si="60"/>
        <v>0</v>
      </c>
      <c r="AC74" s="44">
        <f t="shared" si="61"/>
        <v>0</v>
      </c>
      <c r="AD74" s="44">
        <f t="shared" si="62"/>
        <v>0</v>
      </c>
      <c r="AE74" s="44">
        <f t="shared" si="63"/>
        <v>0</v>
      </c>
      <c r="AF74" s="52" t="e">
        <f>HLOOKUP(I74,ElecAvoidedCostsWOCC!$A$5:$Q$50,G74+1,FALSE)</f>
        <v>#N/A</v>
      </c>
      <c r="AG74" s="44" t="e">
        <f t="shared" si="64"/>
        <v>#N/A</v>
      </c>
      <c r="AH74" s="52" t="e">
        <f>HLOOKUP(I74,ElecAvoidedCostsWOCC!$A$5:$Q$50,T74+1,FALSE)</f>
        <v>#N/A</v>
      </c>
      <c r="AI74" s="44" t="e">
        <f t="shared" si="65"/>
        <v>#N/A</v>
      </c>
      <c r="AJ74" s="44" t="e">
        <f t="shared" si="66"/>
        <v>#N/A</v>
      </c>
      <c r="AK74" s="44" t="e">
        <f>HLOOKUP(I74,ElecAvoidedCostsWOCC!$A$5:$Q$50,G74+1,FALSE)*J74*L74</f>
        <v>#N/A</v>
      </c>
      <c r="AL74" s="44" t="e">
        <f t="shared" si="67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68"/>
        <v>0</v>
      </c>
      <c r="AO74" s="47">
        <f t="shared" si="69"/>
        <v>0</v>
      </c>
      <c r="AP74" s="47" t="e">
        <f t="shared" si="70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52"/>
        <v>0</v>
      </c>
      <c r="U75" s="47">
        <f t="shared" si="53"/>
        <v>0</v>
      </c>
      <c r="V75" s="48">
        <f t="shared" si="54"/>
        <v>0</v>
      </c>
      <c r="W75" s="49">
        <f t="shared" si="55"/>
        <v>0</v>
      </c>
      <c r="X75" s="44">
        <f t="shared" si="56"/>
        <v>0</v>
      </c>
      <c r="Y75" s="44">
        <f t="shared" si="57"/>
        <v>0</v>
      </c>
      <c r="Z75" s="44">
        <f t="shared" si="58"/>
        <v>0</v>
      </c>
      <c r="AA75" s="50">
        <f t="shared" si="59"/>
        <v>0</v>
      </c>
      <c r="AB75" s="51">
        <f t="shared" si="60"/>
        <v>0</v>
      </c>
      <c r="AC75" s="44">
        <f t="shared" si="61"/>
        <v>0</v>
      </c>
      <c r="AD75" s="44">
        <f t="shared" si="62"/>
        <v>0</v>
      </c>
      <c r="AE75" s="44">
        <f t="shared" si="63"/>
        <v>0</v>
      </c>
      <c r="AF75" s="52" t="e">
        <f>HLOOKUP(I75,ElecAvoidedCostsWOCC!$A$5:$Q$50,G75+1,FALSE)</f>
        <v>#N/A</v>
      </c>
      <c r="AG75" s="44" t="e">
        <f t="shared" si="64"/>
        <v>#N/A</v>
      </c>
      <c r="AH75" s="52" t="e">
        <f>HLOOKUP(I75,ElecAvoidedCostsWOCC!$A$5:$Q$50,T75+1,FALSE)</f>
        <v>#N/A</v>
      </c>
      <c r="AI75" s="44" t="e">
        <f t="shared" si="65"/>
        <v>#N/A</v>
      </c>
      <c r="AJ75" s="44" t="e">
        <f t="shared" si="66"/>
        <v>#N/A</v>
      </c>
      <c r="AK75" s="44" t="e">
        <f>HLOOKUP(I75,ElecAvoidedCostsWOCC!$A$5:$Q$50,G75+1,FALSE)*J75*L75</f>
        <v>#N/A</v>
      </c>
      <c r="AL75" s="44" t="e">
        <f t="shared" si="67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68"/>
        <v>0</v>
      </c>
      <c r="AO75" s="47">
        <f t="shared" si="69"/>
        <v>0</v>
      </c>
      <c r="AP75" s="47" t="e">
        <f t="shared" si="70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52"/>
        <v>0</v>
      </c>
      <c r="U76" s="47">
        <f t="shared" si="53"/>
        <v>0</v>
      </c>
      <c r="V76" s="48">
        <f t="shared" si="54"/>
        <v>0</v>
      </c>
      <c r="W76" s="49">
        <f t="shared" si="55"/>
        <v>0</v>
      </c>
      <c r="X76" s="44">
        <f t="shared" si="56"/>
        <v>0</v>
      </c>
      <c r="Y76" s="44">
        <f t="shared" si="57"/>
        <v>0</v>
      </c>
      <c r="Z76" s="44">
        <f t="shared" si="58"/>
        <v>0</v>
      </c>
      <c r="AA76" s="50">
        <f t="shared" si="59"/>
        <v>0</v>
      </c>
      <c r="AB76" s="51">
        <f t="shared" si="60"/>
        <v>0</v>
      </c>
      <c r="AC76" s="44">
        <f t="shared" si="61"/>
        <v>0</v>
      </c>
      <c r="AD76" s="44">
        <f t="shared" si="62"/>
        <v>0</v>
      </c>
      <c r="AE76" s="44">
        <f t="shared" si="63"/>
        <v>0</v>
      </c>
      <c r="AF76" s="52" t="e">
        <f>HLOOKUP(I76,ElecAvoidedCostsWOCC!$A$5:$Q$50,G76+1,FALSE)</f>
        <v>#N/A</v>
      </c>
      <c r="AG76" s="44" t="e">
        <f t="shared" si="64"/>
        <v>#N/A</v>
      </c>
      <c r="AH76" s="52" t="e">
        <f>HLOOKUP(I76,ElecAvoidedCostsWOCC!$A$5:$Q$50,T76+1,FALSE)</f>
        <v>#N/A</v>
      </c>
      <c r="AI76" s="44" t="e">
        <f t="shared" si="65"/>
        <v>#N/A</v>
      </c>
      <c r="AJ76" s="44" t="e">
        <f t="shared" si="66"/>
        <v>#N/A</v>
      </c>
      <c r="AK76" s="44" t="e">
        <f>HLOOKUP(I76,ElecAvoidedCostsWOCC!$A$5:$Q$50,G76+1,FALSE)*J76*L76</f>
        <v>#N/A</v>
      </c>
      <c r="AL76" s="44" t="e">
        <f t="shared" si="67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68"/>
        <v>0</v>
      </c>
      <c r="AO76" s="47">
        <f t="shared" si="69"/>
        <v>0</v>
      </c>
      <c r="AP76" s="47" t="e">
        <f t="shared" si="70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52"/>
        <v>0</v>
      </c>
      <c r="U77" s="47">
        <f t="shared" si="53"/>
        <v>0</v>
      </c>
      <c r="V77" s="48">
        <f t="shared" si="54"/>
        <v>0</v>
      </c>
      <c r="W77" s="49">
        <f t="shared" si="55"/>
        <v>0</v>
      </c>
      <c r="X77" s="44">
        <f t="shared" si="56"/>
        <v>0</v>
      </c>
      <c r="Y77" s="44">
        <f t="shared" si="57"/>
        <v>0</v>
      </c>
      <c r="Z77" s="44">
        <f t="shared" si="58"/>
        <v>0</v>
      </c>
      <c r="AA77" s="50">
        <f t="shared" si="59"/>
        <v>0</v>
      </c>
      <c r="AB77" s="51">
        <f t="shared" si="60"/>
        <v>0</v>
      </c>
      <c r="AC77" s="44">
        <f t="shared" si="61"/>
        <v>0</v>
      </c>
      <c r="AD77" s="44">
        <f t="shared" si="62"/>
        <v>0</v>
      </c>
      <c r="AE77" s="44">
        <f t="shared" si="63"/>
        <v>0</v>
      </c>
      <c r="AF77" s="52" t="e">
        <f>HLOOKUP(I77,ElecAvoidedCostsWOCC!$A$5:$Q$50,G77+1,FALSE)</f>
        <v>#N/A</v>
      </c>
      <c r="AG77" s="44" t="e">
        <f t="shared" si="64"/>
        <v>#N/A</v>
      </c>
      <c r="AH77" s="52" t="e">
        <f>HLOOKUP(I77,ElecAvoidedCostsWOCC!$A$5:$Q$50,T77+1,FALSE)</f>
        <v>#N/A</v>
      </c>
      <c r="AI77" s="44" t="e">
        <f t="shared" si="65"/>
        <v>#N/A</v>
      </c>
      <c r="AJ77" s="44" t="e">
        <f t="shared" si="66"/>
        <v>#N/A</v>
      </c>
      <c r="AK77" s="44" t="e">
        <f>HLOOKUP(I77,ElecAvoidedCostsWOCC!$A$5:$Q$50,G77+1,FALSE)*J77*L77</f>
        <v>#N/A</v>
      </c>
      <c r="AL77" s="44" t="e">
        <f t="shared" si="67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68"/>
        <v>0</v>
      </c>
      <c r="AO77" s="47">
        <f t="shared" si="69"/>
        <v>0</v>
      </c>
      <c r="AP77" s="47" t="e">
        <f t="shared" si="70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52"/>
        <v>0</v>
      </c>
      <c r="U78" s="47">
        <f t="shared" si="53"/>
        <v>0</v>
      </c>
      <c r="V78" s="48">
        <f t="shared" si="54"/>
        <v>0</v>
      </c>
      <c r="W78" s="49">
        <f t="shared" si="55"/>
        <v>0</v>
      </c>
      <c r="X78" s="44">
        <f t="shared" si="56"/>
        <v>0</v>
      </c>
      <c r="Y78" s="44">
        <f t="shared" si="57"/>
        <v>0</v>
      </c>
      <c r="Z78" s="44">
        <f t="shared" si="58"/>
        <v>0</v>
      </c>
      <c r="AA78" s="50">
        <f t="shared" si="59"/>
        <v>0</v>
      </c>
      <c r="AB78" s="51">
        <f t="shared" si="60"/>
        <v>0</v>
      </c>
      <c r="AC78" s="44">
        <f t="shared" si="61"/>
        <v>0</v>
      </c>
      <c r="AD78" s="44">
        <f t="shared" si="62"/>
        <v>0</v>
      </c>
      <c r="AE78" s="44">
        <f t="shared" si="63"/>
        <v>0</v>
      </c>
      <c r="AF78" s="52" t="e">
        <f>HLOOKUP(I78,ElecAvoidedCostsWOCC!$A$5:$Q$50,G78+1,FALSE)</f>
        <v>#N/A</v>
      </c>
      <c r="AG78" s="44" t="e">
        <f t="shared" si="64"/>
        <v>#N/A</v>
      </c>
      <c r="AH78" s="52" t="e">
        <f>HLOOKUP(I78,ElecAvoidedCostsWOCC!$A$5:$Q$50,T78+1,FALSE)</f>
        <v>#N/A</v>
      </c>
      <c r="AI78" s="44" t="e">
        <f t="shared" si="65"/>
        <v>#N/A</v>
      </c>
      <c r="AJ78" s="44" t="e">
        <f t="shared" si="66"/>
        <v>#N/A</v>
      </c>
      <c r="AK78" s="44" t="e">
        <f>HLOOKUP(I78,ElecAvoidedCostsWOCC!$A$5:$Q$50,G78+1,FALSE)*J78*L78</f>
        <v>#N/A</v>
      </c>
      <c r="AL78" s="44" t="e">
        <f t="shared" si="67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68"/>
        <v>0</v>
      </c>
      <c r="AO78" s="47">
        <f t="shared" si="69"/>
        <v>0</v>
      </c>
      <c r="AP78" s="47" t="e">
        <f t="shared" si="70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52"/>
        <v>0</v>
      </c>
      <c r="U79" s="47">
        <f t="shared" si="53"/>
        <v>0</v>
      </c>
      <c r="V79" s="48">
        <f t="shared" si="54"/>
        <v>0</v>
      </c>
      <c r="W79" s="49">
        <f t="shared" si="55"/>
        <v>0</v>
      </c>
      <c r="X79" s="44">
        <f t="shared" si="56"/>
        <v>0</v>
      </c>
      <c r="Y79" s="44">
        <f t="shared" si="57"/>
        <v>0</v>
      </c>
      <c r="Z79" s="44">
        <f t="shared" si="58"/>
        <v>0</v>
      </c>
      <c r="AA79" s="50">
        <f t="shared" si="59"/>
        <v>0</v>
      </c>
      <c r="AB79" s="51">
        <f t="shared" si="60"/>
        <v>0</v>
      </c>
      <c r="AC79" s="44">
        <f t="shared" si="61"/>
        <v>0</v>
      </c>
      <c r="AD79" s="44">
        <f t="shared" si="62"/>
        <v>0</v>
      </c>
      <c r="AE79" s="44">
        <f t="shared" si="63"/>
        <v>0</v>
      </c>
      <c r="AF79" s="52" t="e">
        <f>HLOOKUP(I79,ElecAvoidedCostsWOCC!$A$5:$Q$50,G79+1,FALSE)</f>
        <v>#N/A</v>
      </c>
      <c r="AG79" s="44" t="e">
        <f t="shared" si="64"/>
        <v>#N/A</v>
      </c>
      <c r="AH79" s="52" t="e">
        <f>HLOOKUP(I79,ElecAvoidedCostsWOCC!$A$5:$Q$50,T79+1,FALSE)</f>
        <v>#N/A</v>
      </c>
      <c r="AI79" s="44" t="e">
        <f t="shared" si="65"/>
        <v>#N/A</v>
      </c>
      <c r="AJ79" s="44" t="e">
        <f t="shared" si="66"/>
        <v>#N/A</v>
      </c>
      <c r="AK79" s="44" t="e">
        <f>HLOOKUP(I79,ElecAvoidedCostsWOCC!$A$5:$Q$50,G79+1,FALSE)*J79*L79</f>
        <v>#N/A</v>
      </c>
      <c r="AL79" s="44" t="e">
        <f t="shared" si="67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68"/>
        <v>0</v>
      </c>
      <c r="AO79" s="47">
        <f t="shared" si="69"/>
        <v>0</v>
      </c>
      <c r="AP79" s="47" t="e">
        <f t="shared" si="70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52"/>
        <v>0</v>
      </c>
      <c r="U80" s="47">
        <f t="shared" si="53"/>
        <v>0</v>
      </c>
      <c r="V80" s="48">
        <f t="shared" si="54"/>
        <v>0</v>
      </c>
      <c r="W80" s="49">
        <f t="shared" si="55"/>
        <v>0</v>
      </c>
      <c r="X80" s="44">
        <f t="shared" si="56"/>
        <v>0</v>
      </c>
      <c r="Y80" s="44">
        <f t="shared" si="57"/>
        <v>0</v>
      </c>
      <c r="Z80" s="44">
        <f t="shared" si="58"/>
        <v>0</v>
      </c>
      <c r="AA80" s="50">
        <f t="shared" si="59"/>
        <v>0</v>
      </c>
      <c r="AB80" s="51">
        <f t="shared" si="60"/>
        <v>0</v>
      </c>
      <c r="AC80" s="44">
        <f t="shared" si="61"/>
        <v>0</v>
      </c>
      <c r="AD80" s="44">
        <f t="shared" si="62"/>
        <v>0</v>
      </c>
      <c r="AE80" s="44">
        <f t="shared" si="63"/>
        <v>0</v>
      </c>
      <c r="AF80" s="52" t="e">
        <f>HLOOKUP(I80,ElecAvoidedCostsWOCC!$A$5:$Q$50,G80+1,FALSE)</f>
        <v>#N/A</v>
      </c>
      <c r="AG80" s="44" t="e">
        <f t="shared" si="64"/>
        <v>#N/A</v>
      </c>
      <c r="AH80" s="52" t="e">
        <f>HLOOKUP(I80,ElecAvoidedCostsWOCC!$A$5:$Q$50,T80+1,FALSE)</f>
        <v>#N/A</v>
      </c>
      <c r="AI80" s="44" t="e">
        <f t="shared" si="65"/>
        <v>#N/A</v>
      </c>
      <c r="AJ80" s="44" t="e">
        <f t="shared" si="66"/>
        <v>#N/A</v>
      </c>
      <c r="AK80" s="44" t="e">
        <f>HLOOKUP(I80,ElecAvoidedCostsWOCC!$A$5:$Q$50,G80+1,FALSE)*J80*L80</f>
        <v>#N/A</v>
      </c>
      <c r="AL80" s="44" t="e">
        <f t="shared" si="67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68"/>
        <v>0</v>
      </c>
      <c r="AO80" s="47">
        <f t="shared" si="69"/>
        <v>0</v>
      </c>
      <c r="AP80" s="47" t="e">
        <f t="shared" si="70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52"/>
        <v>0</v>
      </c>
      <c r="U81" s="47">
        <f t="shared" si="53"/>
        <v>0</v>
      </c>
      <c r="V81" s="48">
        <f t="shared" si="54"/>
        <v>0</v>
      </c>
      <c r="W81" s="49">
        <f t="shared" si="55"/>
        <v>0</v>
      </c>
      <c r="X81" s="44">
        <f t="shared" si="56"/>
        <v>0</v>
      </c>
      <c r="Y81" s="44">
        <f t="shared" si="57"/>
        <v>0</v>
      </c>
      <c r="Z81" s="44">
        <f t="shared" si="58"/>
        <v>0</v>
      </c>
      <c r="AA81" s="50">
        <f t="shared" si="59"/>
        <v>0</v>
      </c>
      <c r="AB81" s="51">
        <f t="shared" si="60"/>
        <v>0</v>
      </c>
      <c r="AC81" s="44">
        <f t="shared" si="61"/>
        <v>0</v>
      </c>
      <c r="AD81" s="44">
        <f t="shared" si="62"/>
        <v>0</v>
      </c>
      <c r="AE81" s="44">
        <f t="shared" si="63"/>
        <v>0</v>
      </c>
      <c r="AF81" s="52" t="e">
        <f>HLOOKUP(I81,ElecAvoidedCostsWOCC!$A$5:$Q$50,G81+1,FALSE)</f>
        <v>#N/A</v>
      </c>
      <c r="AG81" s="44" t="e">
        <f t="shared" si="64"/>
        <v>#N/A</v>
      </c>
      <c r="AH81" s="52" t="e">
        <f>HLOOKUP(I81,ElecAvoidedCostsWOCC!$A$5:$Q$50,T81+1,FALSE)</f>
        <v>#N/A</v>
      </c>
      <c r="AI81" s="44" t="e">
        <f t="shared" si="65"/>
        <v>#N/A</v>
      </c>
      <c r="AJ81" s="44" t="e">
        <f t="shared" si="66"/>
        <v>#N/A</v>
      </c>
      <c r="AK81" s="44" t="e">
        <f>HLOOKUP(I81,ElecAvoidedCostsWOCC!$A$5:$Q$50,G81+1,FALSE)*J81*L81</f>
        <v>#N/A</v>
      </c>
      <c r="AL81" s="44" t="e">
        <f t="shared" si="67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68"/>
        <v>0</v>
      </c>
      <c r="AO81" s="47">
        <f t="shared" si="69"/>
        <v>0</v>
      </c>
      <c r="AP81" s="47" t="e">
        <f t="shared" si="70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52"/>
        <v>0</v>
      </c>
      <c r="U82" s="47">
        <f t="shared" si="53"/>
        <v>0</v>
      </c>
      <c r="V82" s="48">
        <f t="shared" si="54"/>
        <v>0</v>
      </c>
      <c r="W82" s="49">
        <f t="shared" si="55"/>
        <v>0</v>
      </c>
      <c r="X82" s="44">
        <f t="shared" si="56"/>
        <v>0</v>
      </c>
      <c r="Y82" s="44">
        <f t="shared" si="57"/>
        <v>0</v>
      </c>
      <c r="Z82" s="44">
        <f t="shared" si="58"/>
        <v>0</v>
      </c>
      <c r="AA82" s="50">
        <f t="shared" si="59"/>
        <v>0</v>
      </c>
      <c r="AB82" s="51">
        <f t="shared" si="60"/>
        <v>0</v>
      </c>
      <c r="AC82" s="44">
        <f t="shared" si="61"/>
        <v>0</v>
      </c>
      <c r="AD82" s="44">
        <f t="shared" si="62"/>
        <v>0</v>
      </c>
      <c r="AE82" s="44">
        <f t="shared" si="63"/>
        <v>0</v>
      </c>
      <c r="AF82" s="52" t="e">
        <f>HLOOKUP(I82,ElecAvoidedCostsWOCC!$A$5:$Q$50,G82+1,FALSE)</f>
        <v>#N/A</v>
      </c>
      <c r="AG82" s="44" t="e">
        <f t="shared" si="64"/>
        <v>#N/A</v>
      </c>
      <c r="AH82" s="52" t="e">
        <f>HLOOKUP(I82,ElecAvoidedCostsWOCC!$A$5:$Q$50,T82+1,FALSE)</f>
        <v>#N/A</v>
      </c>
      <c r="AI82" s="44" t="e">
        <f t="shared" si="65"/>
        <v>#N/A</v>
      </c>
      <c r="AJ82" s="44" t="e">
        <f t="shared" si="66"/>
        <v>#N/A</v>
      </c>
      <c r="AK82" s="44" t="e">
        <f>HLOOKUP(I82,ElecAvoidedCostsWOCC!$A$5:$Q$50,G82+1,FALSE)*J82*L82</f>
        <v>#N/A</v>
      </c>
      <c r="AL82" s="44" t="e">
        <f t="shared" si="67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68"/>
        <v>0</v>
      </c>
      <c r="AO82" s="47">
        <f t="shared" si="69"/>
        <v>0</v>
      </c>
      <c r="AP82" s="47" t="e">
        <f t="shared" si="70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52"/>
        <v>0</v>
      </c>
      <c r="U83" s="47">
        <f t="shared" si="53"/>
        <v>0</v>
      </c>
      <c r="V83" s="48">
        <f t="shared" si="54"/>
        <v>0</v>
      </c>
      <c r="W83" s="49">
        <f t="shared" si="55"/>
        <v>0</v>
      </c>
      <c r="X83" s="44">
        <f t="shared" si="56"/>
        <v>0</v>
      </c>
      <c r="Y83" s="44">
        <f t="shared" si="57"/>
        <v>0</v>
      </c>
      <c r="Z83" s="44">
        <f t="shared" si="58"/>
        <v>0</v>
      </c>
      <c r="AA83" s="50">
        <f t="shared" si="59"/>
        <v>0</v>
      </c>
      <c r="AB83" s="51">
        <f t="shared" si="60"/>
        <v>0</v>
      </c>
      <c r="AC83" s="44">
        <f t="shared" si="61"/>
        <v>0</v>
      </c>
      <c r="AD83" s="44">
        <f t="shared" si="62"/>
        <v>0</v>
      </c>
      <c r="AE83" s="44">
        <f t="shared" si="63"/>
        <v>0</v>
      </c>
      <c r="AF83" s="52" t="e">
        <f>HLOOKUP(I83,ElecAvoidedCostsWOCC!$A$5:$Q$50,G83+1,FALSE)</f>
        <v>#N/A</v>
      </c>
      <c r="AG83" s="44" t="e">
        <f t="shared" si="64"/>
        <v>#N/A</v>
      </c>
      <c r="AH83" s="52" t="e">
        <f>HLOOKUP(I83,ElecAvoidedCostsWOCC!$A$5:$Q$50,T83+1,FALSE)</f>
        <v>#N/A</v>
      </c>
      <c r="AI83" s="44" t="e">
        <f t="shared" si="65"/>
        <v>#N/A</v>
      </c>
      <c r="AJ83" s="44" t="e">
        <f t="shared" si="66"/>
        <v>#N/A</v>
      </c>
      <c r="AK83" s="44" t="e">
        <f>HLOOKUP(I83,ElecAvoidedCostsWOCC!$A$5:$Q$50,G83+1,FALSE)*J83*L83</f>
        <v>#N/A</v>
      </c>
      <c r="AL83" s="44" t="e">
        <f t="shared" si="67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68"/>
        <v>0</v>
      </c>
      <c r="AO83" s="47">
        <f t="shared" si="69"/>
        <v>0</v>
      </c>
      <c r="AP83" s="47" t="e">
        <f t="shared" si="70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52"/>
        <v>0</v>
      </c>
      <c r="U84" s="47">
        <f t="shared" si="53"/>
        <v>0</v>
      </c>
      <c r="V84" s="48">
        <f t="shared" si="54"/>
        <v>0</v>
      </c>
      <c r="W84" s="49">
        <f t="shared" si="55"/>
        <v>0</v>
      </c>
      <c r="X84" s="44">
        <f t="shared" si="56"/>
        <v>0</v>
      </c>
      <c r="Y84" s="44">
        <f t="shared" si="57"/>
        <v>0</v>
      </c>
      <c r="Z84" s="44">
        <f t="shared" si="58"/>
        <v>0</v>
      </c>
      <c r="AA84" s="50">
        <f t="shared" si="59"/>
        <v>0</v>
      </c>
      <c r="AB84" s="51">
        <f t="shared" si="60"/>
        <v>0</v>
      </c>
      <c r="AC84" s="44">
        <f t="shared" si="61"/>
        <v>0</v>
      </c>
      <c r="AD84" s="44">
        <f t="shared" si="62"/>
        <v>0</v>
      </c>
      <c r="AE84" s="44">
        <f t="shared" si="63"/>
        <v>0</v>
      </c>
      <c r="AF84" s="52" t="e">
        <f>HLOOKUP(I84,ElecAvoidedCostsWOCC!$A$5:$Q$50,G84+1,FALSE)</f>
        <v>#N/A</v>
      </c>
      <c r="AG84" s="44" t="e">
        <f t="shared" si="64"/>
        <v>#N/A</v>
      </c>
      <c r="AH84" s="52" t="e">
        <f>HLOOKUP(I84,ElecAvoidedCostsWOCC!$A$5:$Q$50,T84+1,FALSE)</f>
        <v>#N/A</v>
      </c>
      <c r="AI84" s="44" t="e">
        <f t="shared" si="65"/>
        <v>#N/A</v>
      </c>
      <c r="AJ84" s="44" t="e">
        <f t="shared" si="66"/>
        <v>#N/A</v>
      </c>
      <c r="AK84" s="44" t="e">
        <f>HLOOKUP(I84,ElecAvoidedCostsWOCC!$A$5:$Q$50,G84+1,FALSE)*J84*L84</f>
        <v>#N/A</v>
      </c>
      <c r="AL84" s="44" t="e">
        <f t="shared" si="67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68"/>
        <v>0</v>
      </c>
      <c r="AO84" s="47">
        <f t="shared" si="69"/>
        <v>0</v>
      </c>
      <c r="AP84" s="47" t="e">
        <f t="shared" si="70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2"/>
        <v>0</v>
      </c>
      <c r="U85" s="47">
        <f t="shared" si="53"/>
        <v>0</v>
      </c>
      <c r="V85" s="48">
        <f t="shared" si="54"/>
        <v>0</v>
      </c>
      <c r="W85" s="49">
        <f t="shared" si="55"/>
        <v>0</v>
      </c>
      <c r="X85" s="44">
        <f t="shared" si="56"/>
        <v>0</v>
      </c>
      <c r="Y85" s="44">
        <f t="shared" si="57"/>
        <v>0</v>
      </c>
      <c r="Z85" s="44">
        <f t="shared" si="58"/>
        <v>0</v>
      </c>
      <c r="AA85" s="50">
        <f t="shared" si="59"/>
        <v>0</v>
      </c>
      <c r="AB85" s="51">
        <f t="shared" si="60"/>
        <v>0</v>
      </c>
      <c r="AC85" s="44">
        <f t="shared" si="61"/>
        <v>0</v>
      </c>
      <c r="AD85" s="44">
        <f t="shared" si="62"/>
        <v>0</v>
      </c>
      <c r="AE85" s="44">
        <f t="shared" si="63"/>
        <v>0</v>
      </c>
      <c r="AF85" s="52" t="e">
        <f>HLOOKUP(I85,ElecAvoidedCostsWOCC!$A$5:$Q$50,G85+1,FALSE)</f>
        <v>#N/A</v>
      </c>
      <c r="AG85" s="44" t="e">
        <f t="shared" si="64"/>
        <v>#N/A</v>
      </c>
      <c r="AH85" s="52" t="e">
        <f>HLOOKUP(I85,ElecAvoidedCostsWOCC!$A$5:$Q$50,T85+1,FALSE)</f>
        <v>#N/A</v>
      </c>
      <c r="AI85" s="44" t="e">
        <f t="shared" si="65"/>
        <v>#N/A</v>
      </c>
      <c r="AJ85" s="44" t="e">
        <f t="shared" si="66"/>
        <v>#N/A</v>
      </c>
      <c r="AK85" s="44" t="e">
        <f>HLOOKUP(I85,ElecAvoidedCostsWOCC!$A$5:$Q$50,G85+1,FALSE)*J85*L85</f>
        <v>#N/A</v>
      </c>
      <c r="AL85" s="44" t="e">
        <f t="shared" si="67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68"/>
        <v>0</v>
      </c>
      <c r="AO85" s="47">
        <f t="shared" si="69"/>
        <v>0</v>
      </c>
      <c r="AP85" s="47" t="e">
        <f t="shared" si="70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2"/>
        <v>0</v>
      </c>
      <c r="U86" s="47">
        <f t="shared" si="53"/>
        <v>0</v>
      </c>
      <c r="V86" s="48">
        <f t="shared" si="54"/>
        <v>0</v>
      </c>
      <c r="W86" s="49">
        <f t="shared" si="55"/>
        <v>0</v>
      </c>
      <c r="X86" s="44">
        <f t="shared" si="56"/>
        <v>0</v>
      </c>
      <c r="Y86" s="44">
        <f t="shared" si="57"/>
        <v>0</v>
      </c>
      <c r="Z86" s="44">
        <f t="shared" si="58"/>
        <v>0</v>
      </c>
      <c r="AA86" s="50">
        <f t="shared" si="59"/>
        <v>0</v>
      </c>
      <c r="AB86" s="51">
        <f t="shared" si="60"/>
        <v>0</v>
      </c>
      <c r="AC86" s="44">
        <f t="shared" si="61"/>
        <v>0</v>
      </c>
      <c r="AD86" s="44">
        <f t="shared" si="62"/>
        <v>0</v>
      </c>
      <c r="AE86" s="44">
        <f t="shared" si="63"/>
        <v>0</v>
      </c>
      <c r="AF86" s="52" t="e">
        <f>HLOOKUP(I86,ElecAvoidedCostsWOCC!$A$5:$Q$50,G86+1,FALSE)</f>
        <v>#N/A</v>
      </c>
      <c r="AG86" s="44" t="e">
        <f t="shared" si="64"/>
        <v>#N/A</v>
      </c>
      <c r="AH86" s="52" t="e">
        <f>HLOOKUP(I86,ElecAvoidedCostsWOCC!$A$5:$Q$50,T86+1,FALSE)</f>
        <v>#N/A</v>
      </c>
      <c r="AI86" s="44" t="e">
        <f t="shared" si="65"/>
        <v>#N/A</v>
      </c>
      <c r="AJ86" s="44" t="e">
        <f t="shared" si="66"/>
        <v>#N/A</v>
      </c>
      <c r="AK86" s="44" t="e">
        <f>HLOOKUP(I86,ElecAvoidedCostsWOCC!$A$5:$Q$50,G86+1,FALSE)*J86*L86</f>
        <v>#N/A</v>
      </c>
      <c r="AL86" s="44" t="e">
        <f t="shared" si="67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68"/>
        <v>0</v>
      </c>
      <c r="AO86" s="47">
        <f t="shared" si="69"/>
        <v>0</v>
      </c>
      <c r="AP86" s="47" t="e">
        <f t="shared" si="70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2"/>
        <v>0</v>
      </c>
      <c r="U87" s="47">
        <f t="shared" si="53"/>
        <v>0</v>
      </c>
      <c r="V87" s="48">
        <f t="shared" si="54"/>
        <v>0</v>
      </c>
      <c r="W87" s="49">
        <f t="shared" si="55"/>
        <v>0</v>
      </c>
      <c r="X87" s="44">
        <f t="shared" si="56"/>
        <v>0</v>
      </c>
      <c r="Y87" s="44">
        <f t="shared" si="57"/>
        <v>0</v>
      </c>
      <c r="Z87" s="44">
        <f t="shared" si="58"/>
        <v>0</v>
      </c>
      <c r="AA87" s="50">
        <f t="shared" si="59"/>
        <v>0</v>
      </c>
      <c r="AB87" s="51">
        <f t="shared" si="60"/>
        <v>0</v>
      </c>
      <c r="AC87" s="44">
        <f t="shared" si="61"/>
        <v>0</v>
      </c>
      <c r="AD87" s="44">
        <f t="shared" si="62"/>
        <v>0</v>
      </c>
      <c r="AE87" s="44">
        <f t="shared" si="63"/>
        <v>0</v>
      </c>
      <c r="AF87" s="52" t="e">
        <f>HLOOKUP(I87,ElecAvoidedCostsWOCC!$A$5:$Q$50,G87+1,FALSE)</f>
        <v>#N/A</v>
      </c>
      <c r="AG87" s="44" t="e">
        <f t="shared" si="64"/>
        <v>#N/A</v>
      </c>
      <c r="AH87" s="52" t="e">
        <f>HLOOKUP(I87,ElecAvoidedCostsWOCC!$A$5:$Q$50,T87+1,FALSE)</f>
        <v>#N/A</v>
      </c>
      <c r="AI87" s="44" t="e">
        <f t="shared" si="65"/>
        <v>#N/A</v>
      </c>
      <c r="AJ87" s="44" t="e">
        <f t="shared" si="66"/>
        <v>#N/A</v>
      </c>
      <c r="AK87" s="44" t="e">
        <f>HLOOKUP(I87,ElecAvoidedCostsWOCC!$A$5:$Q$50,G87+1,FALSE)*J87*L87</f>
        <v>#N/A</v>
      </c>
      <c r="AL87" s="44" t="e">
        <f t="shared" si="67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68"/>
        <v>0</v>
      </c>
      <c r="AO87" s="47">
        <f t="shared" si="69"/>
        <v>0</v>
      </c>
      <c r="AP87" s="47" t="e">
        <f t="shared" si="70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2"/>
        <v>0</v>
      </c>
      <c r="U88" s="47">
        <f t="shared" si="53"/>
        <v>0</v>
      </c>
      <c r="V88" s="48">
        <f t="shared" si="54"/>
        <v>0</v>
      </c>
      <c r="W88" s="49">
        <f t="shared" si="55"/>
        <v>0</v>
      </c>
      <c r="X88" s="44">
        <f t="shared" si="56"/>
        <v>0</v>
      </c>
      <c r="Y88" s="44">
        <f t="shared" si="57"/>
        <v>0</v>
      </c>
      <c r="Z88" s="44">
        <f t="shared" si="58"/>
        <v>0</v>
      </c>
      <c r="AA88" s="50">
        <f t="shared" si="59"/>
        <v>0</v>
      </c>
      <c r="AB88" s="51">
        <f t="shared" si="60"/>
        <v>0</v>
      </c>
      <c r="AC88" s="44">
        <f t="shared" si="61"/>
        <v>0</v>
      </c>
      <c r="AD88" s="44">
        <f t="shared" si="62"/>
        <v>0</v>
      </c>
      <c r="AE88" s="44">
        <f t="shared" si="63"/>
        <v>0</v>
      </c>
      <c r="AF88" s="52" t="e">
        <f>HLOOKUP(I88,ElecAvoidedCostsWOCC!$A$5:$Q$50,G88+1,FALSE)</f>
        <v>#N/A</v>
      </c>
      <c r="AG88" s="44" t="e">
        <f t="shared" si="64"/>
        <v>#N/A</v>
      </c>
      <c r="AH88" s="52" t="e">
        <f>HLOOKUP(I88,ElecAvoidedCostsWOCC!$A$5:$Q$50,T88+1,FALSE)</f>
        <v>#N/A</v>
      </c>
      <c r="AI88" s="44" t="e">
        <f t="shared" si="65"/>
        <v>#N/A</v>
      </c>
      <c r="AJ88" s="44" t="e">
        <f t="shared" si="66"/>
        <v>#N/A</v>
      </c>
      <c r="AK88" s="44" t="e">
        <f>HLOOKUP(I88,ElecAvoidedCostsWOCC!$A$5:$Q$50,G88+1,FALSE)*J88*L88</f>
        <v>#N/A</v>
      </c>
      <c r="AL88" s="44" t="e">
        <f t="shared" si="67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68"/>
        <v>0</v>
      </c>
      <c r="AO88" s="47">
        <f t="shared" si="69"/>
        <v>0</v>
      </c>
      <c r="AP88" s="47" t="e">
        <f t="shared" si="70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2"/>
        <v>0</v>
      </c>
      <c r="U89" s="47">
        <f t="shared" si="53"/>
        <v>0</v>
      </c>
      <c r="V89" s="48">
        <f t="shared" si="54"/>
        <v>0</v>
      </c>
      <c r="W89" s="49">
        <f t="shared" si="55"/>
        <v>0</v>
      </c>
      <c r="X89" s="44">
        <f t="shared" si="56"/>
        <v>0</v>
      </c>
      <c r="Y89" s="44">
        <f t="shared" si="57"/>
        <v>0</v>
      </c>
      <c r="Z89" s="44">
        <f t="shared" si="58"/>
        <v>0</v>
      </c>
      <c r="AA89" s="50">
        <f t="shared" si="59"/>
        <v>0</v>
      </c>
      <c r="AB89" s="51">
        <f t="shared" si="60"/>
        <v>0</v>
      </c>
      <c r="AC89" s="44">
        <f t="shared" si="61"/>
        <v>0</v>
      </c>
      <c r="AD89" s="44">
        <f t="shared" si="62"/>
        <v>0</v>
      </c>
      <c r="AE89" s="44">
        <f t="shared" si="63"/>
        <v>0</v>
      </c>
      <c r="AF89" s="52" t="e">
        <f>HLOOKUP(I89,ElecAvoidedCostsWOCC!$A$5:$Q$50,G89+1,FALSE)</f>
        <v>#N/A</v>
      </c>
      <c r="AG89" s="44" t="e">
        <f t="shared" si="64"/>
        <v>#N/A</v>
      </c>
      <c r="AH89" s="52" t="e">
        <f>HLOOKUP(I89,ElecAvoidedCostsWOCC!$A$5:$Q$50,T89+1,FALSE)</f>
        <v>#N/A</v>
      </c>
      <c r="AI89" s="44" t="e">
        <f t="shared" si="65"/>
        <v>#N/A</v>
      </c>
      <c r="AJ89" s="44" t="e">
        <f t="shared" si="66"/>
        <v>#N/A</v>
      </c>
      <c r="AK89" s="44" t="e">
        <f>HLOOKUP(I89,ElecAvoidedCostsWOCC!$A$5:$Q$50,G89+1,FALSE)*J89*L89</f>
        <v>#N/A</v>
      </c>
      <c r="AL89" s="44" t="e">
        <f t="shared" si="67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68"/>
        <v>0</v>
      </c>
      <c r="AO89" s="47">
        <f t="shared" si="69"/>
        <v>0</v>
      </c>
      <c r="AP89" s="47" t="e">
        <f t="shared" si="70"/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2"/>
        <v>0</v>
      </c>
      <c r="U90" s="47">
        <f t="shared" si="53"/>
        <v>0</v>
      </c>
      <c r="V90" s="48">
        <f t="shared" si="54"/>
        <v>0</v>
      </c>
      <c r="W90" s="49">
        <f t="shared" si="55"/>
        <v>0</v>
      </c>
      <c r="X90" s="44">
        <f t="shared" si="56"/>
        <v>0</v>
      </c>
      <c r="Y90" s="44">
        <f t="shared" si="57"/>
        <v>0</v>
      </c>
      <c r="Z90" s="44">
        <f t="shared" si="58"/>
        <v>0</v>
      </c>
      <c r="AA90" s="50">
        <f t="shared" si="59"/>
        <v>0</v>
      </c>
      <c r="AB90" s="51">
        <f t="shared" si="60"/>
        <v>0</v>
      </c>
      <c r="AC90" s="44">
        <f t="shared" si="61"/>
        <v>0</v>
      </c>
      <c r="AD90" s="44">
        <f t="shared" si="62"/>
        <v>0</v>
      </c>
      <c r="AE90" s="44">
        <f t="shared" si="63"/>
        <v>0</v>
      </c>
      <c r="AF90" s="52" t="e">
        <f>HLOOKUP(I90,ElecAvoidedCostsWOCC!$A$5:$Q$50,G90+1,FALSE)</f>
        <v>#N/A</v>
      </c>
      <c r="AG90" s="44" t="e">
        <f t="shared" si="64"/>
        <v>#N/A</v>
      </c>
      <c r="AH90" s="52" t="e">
        <f>HLOOKUP(I90,ElecAvoidedCostsWOCC!$A$5:$Q$50,T90+1,FALSE)</f>
        <v>#N/A</v>
      </c>
      <c r="AI90" s="44" t="e">
        <f t="shared" si="65"/>
        <v>#N/A</v>
      </c>
      <c r="AJ90" s="44" t="e">
        <f t="shared" si="66"/>
        <v>#N/A</v>
      </c>
      <c r="AK90" s="44" t="e">
        <f>HLOOKUP(I90,ElecAvoidedCostsWOCC!$A$5:$Q$50,G90+1,FALSE)*J90*L90</f>
        <v>#N/A</v>
      </c>
      <c r="AL90" s="44" t="e">
        <f t="shared" si="67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68"/>
        <v>0</v>
      </c>
      <c r="AO90" s="47">
        <f t="shared" si="69"/>
        <v>0</v>
      </c>
      <c r="AP90" s="47" t="e">
        <f t="shared" si="70"/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2"/>
        <v>0</v>
      </c>
      <c r="U91" s="47">
        <f t="shared" si="53"/>
        <v>0</v>
      </c>
      <c r="V91" s="48">
        <f t="shared" si="54"/>
        <v>0</v>
      </c>
      <c r="W91" s="49">
        <f t="shared" si="55"/>
        <v>0</v>
      </c>
      <c r="X91" s="44">
        <f t="shared" si="56"/>
        <v>0</v>
      </c>
      <c r="Y91" s="44">
        <f t="shared" si="57"/>
        <v>0</v>
      </c>
      <c r="Z91" s="44">
        <f t="shared" si="58"/>
        <v>0</v>
      </c>
      <c r="AA91" s="50">
        <f t="shared" si="59"/>
        <v>0</v>
      </c>
      <c r="AB91" s="51">
        <f t="shared" si="60"/>
        <v>0</v>
      </c>
      <c r="AC91" s="44">
        <f t="shared" si="61"/>
        <v>0</v>
      </c>
      <c r="AD91" s="44">
        <f t="shared" si="62"/>
        <v>0</v>
      </c>
      <c r="AE91" s="44">
        <f t="shared" si="63"/>
        <v>0</v>
      </c>
      <c r="AF91" s="52" t="e">
        <f>HLOOKUP(I91,ElecAvoidedCostsWOCC!$A$5:$Q$50,G91+1,FALSE)</f>
        <v>#N/A</v>
      </c>
      <c r="AG91" s="44" t="e">
        <f t="shared" si="64"/>
        <v>#N/A</v>
      </c>
      <c r="AH91" s="52" t="e">
        <f>HLOOKUP(I91,ElecAvoidedCostsWOCC!$A$5:$Q$50,T91+1,FALSE)</f>
        <v>#N/A</v>
      </c>
      <c r="AI91" s="44" t="e">
        <f t="shared" si="65"/>
        <v>#N/A</v>
      </c>
      <c r="AJ91" s="44" t="e">
        <f t="shared" si="66"/>
        <v>#N/A</v>
      </c>
      <c r="AK91" s="44" t="e">
        <f>HLOOKUP(I91,ElecAvoidedCostsWOCC!$A$5:$Q$50,G91+1,FALSE)*J91*L91</f>
        <v>#N/A</v>
      </c>
      <c r="AL91" s="44" t="e">
        <f t="shared" si="67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68"/>
        <v>0</v>
      </c>
      <c r="AO91" s="47">
        <f t="shared" si="69"/>
        <v>0</v>
      </c>
      <c r="AP91" s="47" t="e">
        <f t="shared" si="70"/>
        <v>#DIV/0!</v>
      </c>
    </row>
    <row r="92" spans="2:42" x14ac:dyDescent="0.35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2"/>
        <v>0</v>
      </c>
      <c r="U92" s="47">
        <f t="shared" si="53"/>
        <v>0</v>
      </c>
      <c r="V92" s="48">
        <f t="shared" si="54"/>
        <v>0</v>
      </c>
      <c r="W92" s="49">
        <f t="shared" si="55"/>
        <v>0</v>
      </c>
      <c r="X92" s="44">
        <f t="shared" si="56"/>
        <v>0</v>
      </c>
      <c r="Y92" s="44">
        <f t="shared" si="57"/>
        <v>0</v>
      </c>
      <c r="Z92" s="44">
        <f t="shared" si="58"/>
        <v>0</v>
      </c>
      <c r="AA92" s="50">
        <f t="shared" si="59"/>
        <v>0</v>
      </c>
      <c r="AB92" s="51">
        <f t="shared" si="60"/>
        <v>0</v>
      </c>
      <c r="AC92" s="44">
        <f t="shared" si="61"/>
        <v>0</v>
      </c>
      <c r="AD92" s="44">
        <f t="shared" si="62"/>
        <v>0</v>
      </c>
      <c r="AE92" s="44">
        <f t="shared" si="63"/>
        <v>0</v>
      </c>
      <c r="AF92" s="52" t="e">
        <f>HLOOKUP(I92,ElecAvoidedCostsWOCC!$A$5:$Q$50,G92+1,FALSE)</f>
        <v>#N/A</v>
      </c>
      <c r="AG92" s="44" t="e">
        <f t="shared" si="64"/>
        <v>#N/A</v>
      </c>
      <c r="AH92" s="52" t="e">
        <f>HLOOKUP(I92,ElecAvoidedCostsWOCC!$A$5:$Q$50,T92+1,FALSE)</f>
        <v>#N/A</v>
      </c>
      <c r="AI92" s="44" t="e">
        <f t="shared" si="65"/>
        <v>#N/A</v>
      </c>
      <c r="AJ92" s="44" t="e">
        <f t="shared" si="66"/>
        <v>#N/A</v>
      </c>
      <c r="AK92" s="44" t="e">
        <f>HLOOKUP(I92,ElecAvoidedCostsWOCC!$A$5:$Q$50,G92+1,FALSE)*J92*L92</f>
        <v>#N/A</v>
      </c>
      <c r="AL92" s="44" t="e">
        <f t="shared" si="67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68"/>
        <v>0</v>
      </c>
      <c r="AO92" s="47">
        <f t="shared" si="69"/>
        <v>0</v>
      </c>
      <c r="AP92" s="47" t="e">
        <f t="shared" si="70"/>
        <v>#DIV/0!</v>
      </c>
    </row>
    <row r="93" spans="2:42" x14ac:dyDescent="0.35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2"/>
        <v>0</v>
      </c>
      <c r="U93" s="47">
        <f t="shared" si="53"/>
        <v>0</v>
      </c>
      <c r="V93" s="48">
        <f t="shared" si="54"/>
        <v>0</v>
      </c>
      <c r="W93" s="49">
        <f t="shared" si="55"/>
        <v>0</v>
      </c>
      <c r="X93" s="44">
        <f t="shared" si="56"/>
        <v>0</v>
      </c>
      <c r="Y93" s="44">
        <f t="shared" si="57"/>
        <v>0</v>
      </c>
      <c r="Z93" s="44">
        <f t="shared" si="58"/>
        <v>0</v>
      </c>
      <c r="AA93" s="50">
        <f t="shared" si="59"/>
        <v>0</v>
      </c>
      <c r="AB93" s="51">
        <f t="shared" si="60"/>
        <v>0</v>
      </c>
      <c r="AC93" s="44">
        <f t="shared" si="61"/>
        <v>0</v>
      </c>
      <c r="AD93" s="44">
        <f t="shared" si="62"/>
        <v>0</v>
      </c>
      <c r="AE93" s="44">
        <f t="shared" si="63"/>
        <v>0</v>
      </c>
      <c r="AF93" s="52" t="e">
        <f>HLOOKUP(I93,ElecAvoidedCostsWOCC!$A$5:$Q$50,G93+1,FALSE)</f>
        <v>#N/A</v>
      </c>
      <c r="AG93" s="44" t="e">
        <f t="shared" si="64"/>
        <v>#N/A</v>
      </c>
      <c r="AH93" s="52" t="e">
        <f>HLOOKUP(I93,ElecAvoidedCostsWOCC!$A$5:$Q$50,T93+1,FALSE)</f>
        <v>#N/A</v>
      </c>
      <c r="AI93" s="44" t="e">
        <f t="shared" si="65"/>
        <v>#N/A</v>
      </c>
      <c r="AJ93" s="44" t="e">
        <f t="shared" si="66"/>
        <v>#N/A</v>
      </c>
      <c r="AK93" s="44" t="e">
        <f>HLOOKUP(I93,ElecAvoidedCostsWOCC!$A$5:$Q$50,G93+1,FALSE)*J93*L93</f>
        <v>#N/A</v>
      </c>
      <c r="AL93" s="44" t="e">
        <f t="shared" si="67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68"/>
        <v>0</v>
      </c>
      <c r="AO93" s="47">
        <f t="shared" si="69"/>
        <v>0</v>
      </c>
      <c r="AP93" s="47" t="e">
        <f t="shared" si="70"/>
        <v>#DIV/0!</v>
      </c>
    </row>
    <row r="94" spans="2:42" x14ac:dyDescent="0.35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2"/>
        <v>0</v>
      </c>
      <c r="U94" s="47">
        <f t="shared" si="53"/>
        <v>0</v>
      </c>
      <c r="V94" s="48">
        <f t="shared" si="54"/>
        <v>0</v>
      </c>
      <c r="W94" s="49">
        <f t="shared" si="55"/>
        <v>0</v>
      </c>
      <c r="X94" s="44">
        <f t="shared" si="56"/>
        <v>0</v>
      </c>
      <c r="Y94" s="44">
        <f t="shared" si="57"/>
        <v>0</v>
      </c>
      <c r="Z94" s="44">
        <f t="shared" si="58"/>
        <v>0</v>
      </c>
      <c r="AA94" s="50">
        <f t="shared" si="59"/>
        <v>0</v>
      </c>
      <c r="AB94" s="51">
        <f t="shared" si="60"/>
        <v>0</v>
      </c>
      <c r="AC94" s="44">
        <f t="shared" si="61"/>
        <v>0</v>
      </c>
      <c r="AD94" s="44">
        <f t="shared" si="62"/>
        <v>0</v>
      </c>
      <c r="AE94" s="44">
        <f t="shared" si="63"/>
        <v>0</v>
      </c>
      <c r="AF94" s="52" t="e">
        <f>HLOOKUP(I94,ElecAvoidedCostsWOCC!$A$5:$Q$50,G94+1,FALSE)</f>
        <v>#N/A</v>
      </c>
      <c r="AG94" s="44" t="e">
        <f t="shared" si="64"/>
        <v>#N/A</v>
      </c>
      <c r="AH94" s="52" t="e">
        <f>HLOOKUP(I94,ElecAvoidedCostsWOCC!$A$5:$Q$50,T94+1,FALSE)</f>
        <v>#N/A</v>
      </c>
      <c r="AI94" s="44" t="e">
        <f t="shared" si="65"/>
        <v>#N/A</v>
      </c>
      <c r="AJ94" s="44" t="e">
        <f t="shared" si="66"/>
        <v>#N/A</v>
      </c>
      <c r="AK94" s="44" t="e">
        <f>HLOOKUP(I94,ElecAvoidedCostsWOCC!$A$5:$Q$50,G94+1,FALSE)*J94*L94</f>
        <v>#N/A</v>
      </c>
      <c r="AL94" s="44" t="e">
        <f t="shared" si="67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68"/>
        <v>0</v>
      </c>
      <c r="AO94" s="47">
        <f t="shared" si="69"/>
        <v>0</v>
      </c>
      <c r="AP94" s="47" t="e">
        <f t="shared" si="70"/>
        <v>#DIV/0!</v>
      </c>
    </row>
    <row r="95" spans="2:42" x14ac:dyDescent="0.35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2"/>
        <v>0</v>
      </c>
      <c r="U95" s="47">
        <f t="shared" si="53"/>
        <v>0</v>
      </c>
      <c r="V95" s="48">
        <f t="shared" si="54"/>
        <v>0</v>
      </c>
      <c r="W95" s="49">
        <f t="shared" si="55"/>
        <v>0</v>
      </c>
      <c r="X95" s="44">
        <f t="shared" si="56"/>
        <v>0</v>
      </c>
      <c r="Y95" s="44">
        <f t="shared" si="57"/>
        <v>0</v>
      </c>
      <c r="Z95" s="44">
        <f t="shared" si="58"/>
        <v>0</v>
      </c>
      <c r="AA95" s="50">
        <f t="shared" si="59"/>
        <v>0</v>
      </c>
      <c r="AB95" s="51">
        <f t="shared" si="60"/>
        <v>0</v>
      </c>
      <c r="AC95" s="44">
        <f t="shared" si="61"/>
        <v>0</v>
      </c>
      <c r="AD95" s="44">
        <f t="shared" si="62"/>
        <v>0</v>
      </c>
      <c r="AE95" s="44">
        <f t="shared" si="63"/>
        <v>0</v>
      </c>
      <c r="AF95" s="52" t="e">
        <f>HLOOKUP(I95,ElecAvoidedCostsWOCC!$A$5:$Q$50,G95+1,FALSE)</f>
        <v>#N/A</v>
      </c>
      <c r="AG95" s="44" t="e">
        <f t="shared" si="64"/>
        <v>#N/A</v>
      </c>
      <c r="AH95" s="52" t="e">
        <f>HLOOKUP(I95,ElecAvoidedCostsWOCC!$A$5:$Q$50,T95+1,FALSE)</f>
        <v>#N/A</v>
      </c>
      <c r="AI95" s="44" t="e">
        <f t="shared" si="65"/>
        <v>#N/A</v>
      </c>
      <c r="AJ95" s="44" t="e">
        <f t="shared" si="66"/>
        <v>#N/A</v>
      </c>
      <c r="AK95" s="44" t="e">
        <f>HLOOKUP(I95,ElecAvoidedCostsWOCC!$A$5:$Q$50,G95+1,FALSE)*J95*L95</f>
        <v>#N/A</v>
      </c>
      <c r="AL95" s="44" t="e">
        <f t="shared" si="67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68"/>
        <v>0</v>
      </c>
      <c r="AO95" s="47">
        <f t="shared" si="69"/>
        <v>0</v>
      </c>
      <c r="AP95" s="47" t="e">
        <f t="shared" si="70"/>
        <v>#DIV/0!</v>
      </c>
    </row>
    <row r="96" spans="2:42" x14ac:dyDescent="0.35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2"/>
        <v>0</v>
      </c>
      <c r="U96" s="47">
        <f t="shared" si="53"/>
        <v>0</v>
      </c>
      <c r="V96" s="48">
        <f t="shared" si="54"/>
        <v>0</v>
      </c>
      <c r="W96" s="49">
        <f t="shared" si="55"/>
        <v>0</v>
      </c>
      <c r="X96" s="44">
        <f t="shared" si="56"/>
        <v>0</v>
      </c>
      <c r="Y96" s="44">
        <f t="shared" si="57"/>
        <v>0</v>
      </c>
      <c r="Z96" s="44">
        <f t="shared" si="58"/>
        <v>0</v>
      </c>
      <c r="AA96" s="50">
        <f t="shared" si="59"/>
        <v>0</v>
      </c>
      <c r="AB96" s="51">
        <f t="shared" si="60"/>
        <v>0</v>
      </c>
      <c r="AC96" s="44">
        <f t="shared" si="61"/>
        <v>0</v>
      </c>
      <c r="AD96" s="44">
        <f t="shared" si="62"/>
        <v>0</v>
      </c>
      <c r="AE96" s="44">
        <f t="shared" si="63"/>
        <v>0</v>
      </c>
      <c r="AF96" s="52" t="e">
        <f>HLOOKUP(I96,ElecAvoidedCostsWOCC!$A$5:$Q$50,G96+1,FALSE)</f>
        <v>#N/A</v>
      </c>
      <c r="AG96" s="44" t="e">
        <f t="shared" si="64"/>
        <v>#N/A</v>
      </c>
      <c r="AH96" s="52" t="e">
        <f>HLOOKUP(I96,ElecAvoidedCostsWOCC!$A$5:$Q$50,T96+1,FALSE)</f>
        <v>#N/A</v>
      </c>
      <c r="AI96" s="44" t="e">
        <f t="shared" si="65"/>
        <v>#N/A</v>
      </c>
      <c r="AJ96" s="44" t="e">
        <f t="shared" si="66"/>
        <v>#N/A</v>
      </c>
      <c r="AK96" s="44" t="e">
        <f>HLOOKUP(I96,ElecAvoidedCostsWOCC!$A$5:$Q$50,G96+1,FALSE)*J96*L96</f>
        <v>#N/A</v>
      </c>
      <c r="AL96" s="44" t="e">
        <f t="shared" si="67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68"/>
        <v>0</v>
      </c>
      <c r="AO96" s="47">
        <f t="shared" si="69"/>
        <v>0</v>
      </c>
      <c r="AP96" s="47" t="e">
        <f t="shared" si="70"/>
        <v>#DIV/0!</v>
      </c>
    </row>
    <row r="97" spans="2:42" x14ac:dyDescent="0.35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2"/>
        <v>0</v>
      </c>
      <c r="U97" s="47">
        <f t="shared" si="53"/>
        <v>0</v>
      </c>
      <c r="V97" s="48">
        <f t="shared" si="54"/>
        <v>0</v>
      </c>
      <c r="W97" s="49">
        <f t="shared" si="55"/>
        <v>0</v>
      </c>
      <c r="X97" s="44">
        <f t="shared" si="56"/>
        <v>0</v>
      </c>
      <c r="Y97" s="44">
        <f t="shared" si="57"/>
        <v>0</v>
      </c>
      <c r="Z97" s="44">
        <f t="shared" si="58"/>
        <v>0</v>
      </c>
      <c r="AA97" s="50">
        <f t="shared" si="59"/>
        <v>0</v>
      </c>
      <c r="AB97" s="51">
        <f t="shared" si="60"/>
        <v>0</v>
      </c>
      <c r="AC97" s="44">
        <f t="shared" si="61"/>
        <v>0</v>
      </c>
      <c r="AD97" s="44">
        <f t="shared" si="62"/>
        <v>0</v>
      </c>
      <c r="AE97" s="44">
        <f t="shared" si="63"/>
        <v>0</v>
      </c>
      <c r="AF97" s="52" t="e">
        <f>HLOOKUP(I97,ElecAvoidedCostsWOCC!$A$5:$Q$50,G97+1,FALSE)</f>
        <v>#N/A</v>
      </c>
      <c r="AG97" s="44" t="e">
        <f t="shared" si="64"/>
        <v>#N/A</v>
      </c>
      <c r="AH97" s="52" t="e">
        <f>HLOOKUP(I97,ElecAvoidedCostsWOCC!$A$5:$Q$50,T97+1,FALSE)</f>
        <v>#N/A</v>
      </c>
      <c r="AI97" s="44" t="e">
        <f t="shared" si="65"/>
        <v>#N/A</v>
      </c>
      <c r="AJ97" s="44" t="e">
        <f t="shared" si="66"/>
        <v>#N/A</v>
      </c>
      <c r="AK97" s="44" t="e">
        <f>HLOOKUP(I97,ElecAvoidedCostsWOCC!$A$5:$Q$50,G97+1,FALSE)*J97*L97</f>
        <v>#N/A</v>
      </c>
      <c r="AL97" s="44" t="e">
        <f t="shared" si="67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68"/>
        <v>0</v>
      </c>
      <c r="AO97" s="47">
        <f t="shared" si="69"/>
        <v>0</v>
      </c>
      <c r="AP97" s="47" t="e">
        <f t="shared" si="70"/>
        <v>#DIV/0!</v>
      </c>
    </row>
    <row r="98" spans="2:42" x14ac:dyDescent="0.35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2"/>
        <v>0</v>
      </c>
      <c r="U98" s="47">
        <f t="shared" si="53"/>
        <v>0</v>
      </c>
      <c r="V98" s="48">
        <f t="shared" si="54"/>
        <v>0</v>
      </c>
      <c r="W98" s="49">
        <f t="shared" si="55"/>
        <v>0</v>
      </c>
      <c r="X98" s="44">
        <f t="shared" si="56"/>
        <v>0</v>
      </c>
      <c r="Y98" s="44">
        <f t="shared" si="57"/>
        <v>0</v>
      </c>
      <c r="Z98" s="44">
        <f t="shared" si="58"/>
        <v>0</v>
      </c>
      <c r="AA98" s="50">
        <f t="shared" si="59"/>
        <v>0</v>
      </c>
      <c r="AB98" s="51">
        <f t="shared" si="60"/>
        <v>0</v>
      </c>
      <c r="AC98" s="44">
        <f t="shared" si="61"/>
        <v>0</v>
      </c>
      <c r="AD98" s="44">
        <f t="shared" si="62"/>
        <v>0</v>
      </c>
      <c r="AE98" s="44">
        <f t="shared" si="63"/>
        <v>0</v>
      </c>
      <c r="AF98" s="52" t="e">
        <f>HLOOKUP(I98,ElecAvoidedCostsWOCC!$A$5:$Q$50,G98+1,FALSE)</f>
        <v>#N/A</v>
      </c>
      <c r="AG98" s="44" t="e">
        <f t="shared" si="64"/>
        <v>#N/A</v>
      </c>
      <c r="AH98" s="52" t="e">
        <f>HLOOKUP(I98,ElecAvoidedCostsWOCC!$A$5:$Q$50,T98+1,FALSE)</f>
        <v>#N/A</v>
      </c>
      <c r="AI98" s="44" t="e">
        <f t="shared" si="65"/>
        <v>#N/A</v>
      </c>
      <c r="AJ98" s="44" t="e">
        <f t="shared" si="66"/>
        <v>#N/A</v>
      </c>
      <c r="AK98" s="44" t="e">
        <f>HLOOKUP(I98,ElecAvoidedCostsWOCC!$A$5:$Q$50,G98+1,FALSE)*J98*L98</f>
        <v>#N/A</v>
      </c>
      <c r="AL98" s="44" t="e">
        <f t="shared" si="67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68"/>
        <v>0</v>
      </c>
      <c r="AO98" s="47">
        <f t="shared" si="69"/>
        <v>0</v>
      </c>
      <c r="AP98" s="47" t="e">
        <f t="shared" si="70"/>
        <v>#DIV/0!</v>
      </c>
    </row>
    <row r="99" spans="2:42" x14ac:dyDescent="0.35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2"/>
        <v>0</v>
      </c>
      <c r="U99" s="47">
        <f t="shared" si="53"/>
        <v>0</v>
      </c>
      <c r="V99" s="48">
        <f t="shared" si="54"/>
        <v>0</v>
      </c>
      <c r="W99" s="49">
        <f t="shared" si="55"/>
        <v>0</v>
      </c>
      <c r="X99" s="44">
        <f t="shared" si="56"/>
        <v>0</v>
      </c>
      <c r="Y99" s="44">
        <f t="shared" si="57"/>
        <v>0</v>
      </c>
      <c r="Z99" s="44">
        <f t="shared" si="58"/>
        <v>0</v>
      </c>
      <c r="AA99" s="50">
        <f t="shared" si="59"/>
        <v>0</v>
      </c>
      <c r="AB99" s="51">
        <f t="shared" si="60"/>
        <v>0</v>
      </c>
      <c r="AC99" s="44">
        <f t="shared" si="61"/>
        <v>0</v>
      </c>
      <c r="AD99" s="44">
        <f t="shared" si="62"/>
        <v>0</v>
      </c>
      <c r="AE99" s="44">
        <f t="shared" si="63"/>
        <v>0</v>
      </c>
      <c r="AF99" s="52" t="e">
        <f>HLOOKUP(I99,ElecAvoidedCostsWOCC!$A$5:$Q$50,G99+1,FALSE)</f>
        <v>#N/A</v>
      </c>
      <c r="AG99" s="44" t="e">
        <f t="shared" si="64"/>
        <v>#N/A</v>
      </c>
      <c r="AH99" s="52" t="e">
        <f>HLOOKUP(I99,ElecAvoidedCostsWOCC!$A$5:$Q$50,T99+1,FALSE)</f>
        <v>#N/A</v>
      </c>
      <c r="AI99" s="44" t="e">
        <f t="shared" si="65"/>
        <v>#N/A</v>
      </c>
      <c r="AJ99" s="44" t="e">
        <f t="shared" si="66"/>
        <v>#N/A</v>
      </c>
      <c r="AK99" s="44" t="e">
        <f>HLOOKUP(I99,ElecAvoidedCostsWOCC!$A$5:$Q$50,G99+1,FALSE)*J99*L99</f>
        <v>#N/A</v>
      </c>
      <c r="AL99" s="44" t="e">
        <f t="shared" si="67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68"/>
        <v>0</v>
      </c>
      <c r="AO99" s="47">
        <f t="shared" si="69"/>
        <v>0</v>
      </c>
      <c r="AP99" s="47" t="e">
        <f t="shared" si="70"/>
        <v>#DIV/0!</v>
      </c>
    </row>
    <row r="100" spans="2:42" x14ac:dyDescent="0.35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2"/>
        <v>0</v>
      </c>
      <c r="U100" s="47">
        <f t="shared" si="53"/>
        <v>0</v>
      </c>
      <c r="V100" s="48">
        <f t="shared" si="54"/>
        <v>0</v>
      </c>
      <c r="W100" s="49">
        <f t="shared" si="55"/>
        <v>0</v>
      </c>
      <c r="X100" s="44">
        <f t="shared" si="56"/>
        <v>0</v>
      </c>
      <c r="Y100" s="44">
        <f t="shared" si="57"/>
        <v>0</v>
      </c>
      <c r="Z100" s="44">
        <f t="shared" si="58"/>
        <v>0</v>
      </c>
      <c r="AA100" s="50">
        <f t="shared" si="59"/>
        <v>0</v>
      </c>
      <c r="AB100" s="51">
        <f t="shared" si="60"/>
        <v>0</v>
      </c>
      <c r="AC100" s="44">
        <f t="shared" si="61"/>
        <v>0</v>
      </c>
      <c r="AD100" s="44">
        <f t="shared" si="62"/>
        <v>0</v>
      </c>
      <c r="AE100" s="44">
        <f t="shared" si="63"/>
        <v>0</v>
      </c>
      <c r="AF100" s="52" t="e">
        <f>HLOOKUP(I100,ElecAvoidedCostsWOCC!$A$5:$Q$50,G100+1,FALSE)</f>
        <v>#N/A</v>
      </c>
      <c r="AG100" s="44" t="e">
        <f t="shared" si="64"/>
        <v>#N/A</v>
      </c>
      <c r="AH100" s="52" t="e">
        <f>HLOOKUP(I100,ElecAvoidedCostsWOCC!$A$5:$Q$50,T100+1,FALSE)</f>
        <v>#N/A</v>
      </c>
      <c r="AI100" s="44" t="e">
        <f t="shared" si="65"/>
        <v>#N/A</v>
      </c>
      <c r="AJ100" s="44" t="e">
        <f t="shared" si="66"/>
        <v>#N/A</v>
      </c>
      <c r="AK100" s="44" t="e">
        <f>HLOOKUP(I100,ElecAvoidedCostsWOCC!$A$5:$Q$50,G100+1,FALSE)*J100*L100</f>
        <v>#N/A</v>
      </c>
      <c r="AL100" s="44" t="e">
        <f t="shared" si="67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68"/>
        <v>0</v>
      </c>
      <c r="AO100" s="47">
        <f t="shared" si="69"/>
        <v>0</v>
      </c>
      <c r="AP100" s="47" t="e">
        <f t="shared" si="70"/>
        <v>#DIV/0!</v>
      </c>
    </row>
    <row r="101" spans="2:42" x14ac:dyDescent="0.35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2"/>
        <v>0</v>
      </c>
      <c r="U101" s="47">
        <f t="shared" si="53"/>
        <v>0</v>
      </c>
      <c r="V101" s="48">
        <f t="shared" si="54"/>
        <v>0</v>
      </c>
      <c r="W101" s="49">
        <f t="shared" si="55"/>
        <v>0</v>
      </c>
      <c r="X101" s="44">
        <f t="shared" si="56"/>
        <v>0</v>
      </c>
      <c r="Y101" s="44">
        <f t="shared" si="57"/>
        <v>0</v>
      </c>
      <c r="Z101" s="44">
        <f t="shared" si="58"/>
        <v>0</v>
      </c>
      <c r="AA101" s="50">
        <f t="shared" si="59"/>
        <v>0</v>
      </c>
      <c r="AB101" s="51">
        <f t="shared" si="60"/>
        <v>0</v>
      </c>
      <c r="AC101" s="44">
        <f t="shared" si="61"/>
        <v>0</v>
      </c>
      <c r="AD101" s="44">
        <f t="shared" si="62"/>
        <v>0</v>
      </c>
      <c r="AE101" s="44">
        <f t="shared" si="63"/>
        <v>0</v>
      </c>
      <c r="AF101" s="52" t="e">
        <f>HLOOKUP(I101,ElecAvoidedCostsWOCC!$A$5:$Q$50,G101+1,FALSE)</f>
        <v>#N/A</v>
      </c>
      <c r="AG101" s="44" t="e">
        <f t="shared" si="64"/>
        <v>#N/A</v>
      </c>
      <c r="AH101" s="52" t="e">
        <f>HLOOKUP(I101,ElecAvoidedCostsWOCC!$A$5:$Q$50,T101+1,FALSE)</f>
        <v>#N/A</v>
      </c>
      <c r="AI101" s="44" t="e">
        <f t="shared" si="65"/>
        <v>#N/A</v>
      </c>
      <c r="AJ101" s="44" t="e">
        <f t="shared" si="66"/>
        <v>#N/A</v>
      </c>
      <c r="AK101" s="44" t="e">
        <f>HLOOKUP(I101,ElecAvoidedCostsWOCC!$A$5:$Q$50,G101+1,FALSE)*J101*L101</f>
        <v>#N/A</v>
      </c>
      <c r="AL101" s="44" t="e">
        <f t="shared" si="67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68"/>
        <v>0</v>
      </c>
      <c r="AO101" s="47">
        <f t="shared" si="69"/>
        <v>0</v>
      </c>
      <c r="AP101" s="47" t="e">
        <f t="shared" si="70"/>
        <v>#DIV/0!</v>
      </c>
    </row>
    <row r="102" spans="2:42" x14ac:dyDescent="0.35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52"/>
        <v>0</v>
      </c>
      <c r="U102" s="47">
        <f t="shared" si="53"/>
        <v>0</v>
      </c>
      <c r="V102" s="48">
        <f t="shared" si="54"/>
        <v>0</v>
      </c>
      <c r="W102" s="49">
        <f t="shared" si="55"/>
        <v>0</v>
      </c>
      <c r="X102" s="44">
        <f t="shared" si="56"/>
        <v>0</v>
      </c>
      <c r="Y102" s="44">
        <f t="shared" si="57"/>
        <v>0</v>
      </c>
      <c r="Z102" s="44">
        <f t="shared" si="58"/>
        <v>0</v>
      </c>
      <c r="AA102" s="50">
        <f t="shared" si="59"/>
        <v>0</v>
      </c>
      <c r="AB102" s="51">
        <f t="shared" si="60"/>
        <v>0</v>
      </c>
      <c r="AC102" s="44">
        <f t="shared" si="61"/>
        <v>0</v>
      </c>
      <c r="AD102" s="44">
        <f t="shared" si="62"/>
        <v>0</v>
      </c>
      <c r="AE102" s="44">
        <f t="shared" si="63"/>
        <v>0</v>
      </c>
      <c r="AF102" s="52" t="e">
        <f>HLOOKUP(I102,ElecAvoidedCostsWOCC!$A$5:$Q$50,G102+1,FALSE)</f>
        <v>#N/A</v>
      </c>
      <c r="AG102" s="44" t="e">
        <f t="shared" si="64"/>
        <v>#N/A</v>
      </c>
      <c r="AH102" s="52" t="e">
        <f>HLOOKUP(I102,ElecAvoidedCostsWOCC!$A$5:$Q$50,T102+1,FALSE)</f>
        <v>#N/A</v>
      </c>
      <c r="AI102" s="44" t="e">
        <f t="shared" si="65"/>
        <v>#N/A</v>
      </c>
      <c r="AJ102" s="44" t="e">
        <f t="shared" si="66"/>
        <v>#N/A</v>
      </c>
      <c r="AK102" s="44" t="e">
        <f>HLOOKUP(I102,ElecAvoidedCostsWOCC!$A$5:$Q$50,G102+1,FALSE)*J102*L102</f>
        <v>#N/A</v>
      </c>
      <c r="AL102" s="44" t="e">
        <f t="shared" si="67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68"/>
        <v>0</v>
      </c>
      <c r="AO102" s="47">
        <f t="shared" si="69"/>
        <v>0</v>
      </c>
      <c r="AP102" s="47" t="e">
        <f t="shared" si="70"/>
        <v>#DIV/0!</v>
      </c>
    </row>
    <row r="103" spans="2:42" x14ac:dyDescent="0.35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52"/>
        <v>0</v>
      </c>
      <c r="U103" s="47">
        <f t="shared" si="53"/>
        <v>0</v>
      </c>
      <c r="V103" s="48">
        <f t="shared" si="54"/>
        <v>0</v>
      </c>
      <c r="W103" s="49">
        <f t="shared" si="55"/>
        <v>0</v>
      </c>
      <c r="X103" s="44">
        <f t="shared" si="56"/>
        <v>0</v>
      </c>
      <c r="Y103" s="44">
        <f t="shared" si="57"/>
        <v>0</v>
      </c>
      <c r="Z103" s="44">
        <f t="shared" si="58"/>
        <v>0</v>
      </c>
      <c r="AA103" s="50">
        <f t="shared" si="59"/>
        <v>0</v>
      </c>
      <c r="AB103" s="51">
        <f t="shared" si="60"/>
        <v>0</v>
      </c>
      <c r="AC103" s="44">
        <f t="shared" si="61"/>
        <v>0</v>
      </c>
      <c r="AD103" s="44">
        <f t="shared" si="62"/>
        <v>0</v>
      </c>
      <c r="AE103" s="44">
        <f t="shared" si="63"/>
        <v>0</v>
      </c>
      <c r="AF103" s="52" t="e">
        <f>HLOOKUP(I103,ElecAvoidedCostsWOCC!$A$5:$Q$50,G103+1,FALSE)</f>
        <v>#N/A</v>
      </c>
      <c r="AG103" s="44" t="e">
        <f t="shared" si="64"/>
        <v>#N/A</v>
      </c>
      <c r="AH103" s="52" t="e">
        <f>HLOOKUP(I103,ElecAvoidedCostsWOCC!$A$5:$Q$50,T103+1,FALSE)</f>
        <v>#N/A</v>
      </c>
      <c r="AI103" s="44" t="e">
        <f t="shared" si="65"/>
        <v>#N/A</v>
      </c>
      <c r="AJ103" s="44" t="e">
        <f t="shared" si="66"/>
        <v>#N/A</v>
      </c>
      <c r="AK103" s="44" t="e">
        <f>HLOOKUP(I103,ElecAvoidedCostsWOCC!$A$5:$Q$50,G103+1,FALSE)*J103*L103</f>
        <v>#N/A</v>
      </c>
      <c r="AL103" s="44" t="e">
        <f t="shared" si="67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68"/>
        <v>0</v>
      </c>
      <c r="AO103" s="47">
        <f t="shared" si="69"/>
        <v>0</v>
      </c>
      <c r="AP103" s="47" t="e">
        <f t="shared" si="70"/>
        <v>#DIV/0!</v>
      </c>
    </row>
    <row r="104" spans="2:42" x14ac:dyDescent="0.35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52"/>
        <v>0</v>
      </c>
      <c r="U104" s="47">
        <f t="shared" si="53"/>
        <v>0</v>
      </c>
      <c r="V104" s="48">
        <f t="shared" si="54"/>
        <v>0</v>
      </c>
      <c r="W104" s="49">
        <f t="shared" si="55"/>
        <v>0</v>
      </c>
      <c r="X104" s="44">
        <f t="shared" si="56"/>
        <v>0</v>
      </c>
      <c r="Y104" s="44">
        <f t="shared" si="57"/>
        <v>0</v>
      </c>
      <c r="Z104" s="44">
        <f t="shared" si="58"/>
        <v>0</v>
      </c>
      <c r="AA104" s="50">
        <f t="shared" si="59"/>
        <v>0</v>
      </c>
      <c r="AB104" s="51">
        <f t="shared" si="60"/>
        <v>0</v>
      </c>
      <c r="AC104" s="44">
        <f t="shared" si="61"/>
        <v>0</v>
      </c>
      <c r="AD104" s="44">
        <f t="shared" si="62"/>
        <v>0</v>
      </c>
      <c r="AE104" s="44">
        <f t="shared" si="63"/>
        <v>0</v>
      </c>
      <c r="AF104" s="52" t="e">
        <f>HLOOKUP(I104,ElecAvoidedCostsWOCC!$A$5:$Q$50,G104+1,FALSE)</f>
        <v>#N/A</v>
      </c>
      <c r="AG104" s="44" t="e">
        <f t="shared" si="64"/>
        <v>#N/A</v>
      </c>
      <c r="AH104" s="52" t="e">
        <f>HLOOKUP(I104,ElecAvoidedCostsWOCC!$A$5:$Q$50,T104+1,FALSE)</f>
        <v>#N/A</v>
      </c>
      <c r="AI104" s="44" t="e">
        <f t="shared" si="65"/>
        <v>#N/A</v>
      </c>
      <c r="AJ104" s="44" t="e">
        <f t="shared" si="66"/>
        <v>#N/A</v>
      </c>
      <c r="AK104" s="44" t="e">
        <f>HLOOKUP(I104,ElecAvoidedCostsWOCC!$A$5:$Q$50,G104+1,FALSE)*J104*L104</f>
        <v>#N/A</v>
      </c>
      <c r="AL104" s="44" t="e">
        <f t="shared" si="67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68"/>
        <v>0</v>
      </c>
      <c r="AO104" s="47">
        <f t="shared" si="69"/>
        <v>0</v>
      </c>
      <c r="AP104" s="47" t="e">
        <f t="shared" si="70"/>
        <v>#DIV/0!</v>
      </c>
    </row>
    <row r="105" spans="2:42" x14ac:dyDescent="0.35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52"/>
        <v>0</v>
      </c>
      <c r="U105" s="47">
        <f t="shared" si="53"/>
        <v>0</v>
      </c>
      <c r="V105" s="48">
        <f t="shared" si="54"/>
        <v>0</v>
      </c>
      <c r="W105" s="49">
        <f t="shared" si="55"/>
        <v>0</v>
      </c>
      <c r="X105" s="44">
        <f t="shared" si="56"/>
        <v>0</v>
      </c>
      <c r="Y105" s="44">
        <f t="shared" si="57"/>
        <v>0</v>
      </c>
      <c r="Z105" s="44">
        <f t="shared" si="58"/>
        <v>0</v>
      </c>
      <c r="AA105" s="50">
        <f t="shared" si="59"/>
        <v>0</v>
      </c>
      <c r="AB105" s="51">
        <f t="shared" si="60"/>
        <v>0</v>
      </c>
      <c r="AC105" s="44">
        <f t="shared" si="61"/>
        <v>0</v>
      </c>
      <c r="AD105" s="44">
        <f t="shared" si="62"/>
        <v>0</v>
      </c>
      <c r="AE105" s="44">
        <f t="shared" si="63"/>
        <v>0</v>
      </c>
      <c r="AF105" s="52" t="e">
        <f>HLOOKUP(I105,ElecAvoidedCostsWOCC!$A$5:$Q$50,G105+1,FALSE)</f>
        <v>#N/A</v>
      </c>
      <c r="AG105" s="44" t="e">
        <f t="shared" si="64"/>
        <v>#N/A</v>
      </c>
      <c r="AH105" s="52" t="e">
        <f>HLOOKUP(I105,ElecAvoidedCostsWOCC!$A$5:$Q$50,T105+1,FALSE)</f>
        <v>#N/A</v>
      </c>
      <c r="AI105" s="44" t="e">
        <f t="shared" si="65"/>
        <v>#N/A</v>
      </c>
      <c r="AJ105" s="44" t="e">
        <f t="shared" si="66"/>
        <v>#N/A</v>
      </c>
      <c r="AK105" s="44" t="e">
        <f>HLOOKUP(I105,ElecAvoidedCostsWOCC!$A$5:$Q$50,G105+1,FALSE)*J105*L105</f>
        <v>#N/A</v>
      </c>
      <c r="AL105" s="44" t="e">
        <f t="shared" si="67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68"/>
        <v>0</v>
      </c>
      <c r="AO105" s="47">
        <f t="shared" si="69"/>
        <v>0</v>
      </c>
      <c r="AP105" s="47" t="e">
        <f t="shared" si="70"/>
        <v>#DIV/0!</v>
      </c>
    </row>
    <row r="106" spans="2:42" x14ac:dyDescent="0.35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52"/>
        <v>0</v>
      </c>
      <c r="U106" s="47">
        <f t="shared" si="53"/>
        <v>0</v>
      </c>
      <c r="V106" s="48">
        <f t="shared" si="54"/>
        <v>0</v>
      </c>
      <c r="W106" s="49">
        <f t="shared" si="55"/>
        <v>0</v>
      </c>
      <c r="X106" s="44">
        <f t="shared" si="56"/>
        <v>0</v>
      </c>
      <c r="Y106" s="44">
        <f t="shared" si="57"/>
        <v>0</v>
      </c>
      <c r="Z106" s="44">
        <f t="shared" si="58"/>
        <v>0</v>
      </c>
      <c r="AA106" s="50">
        <f t="shared" si="59"/>
        <v>0</v>
      </c>
      <c r="AB106" s="51">
        <f t="shared" si="60"/>
        <v>0</v>
      </c>
      <c r="AC106" s="44">
        <f t="shared" si="61"/>
        <v>0</v>
      </c>
      <c r="AD106" s="44">
        <f t="shared" si="62"/>
        <v>0</v>
      </c>
      <c r="AE106" s="44">
        <f t="shared" si="63"/>
        <v>0</v>
      </c>
      <c r="AF106" s="52" t="e">
        <f>HLOOKUP(I106,ElecAvoidedCostsWOCC!$A$5:$Q$50,G106+1,FALSE)</f>
        <v>#N/A</v>
      </c>
      <c r="AG106" s="44" t="e">
        <f t="shared" si="64"/>
        <v>#N/A</v>
      </c>
      <c r="AH106" s="52" t="e">
        <f>HLOOKUP(I106,ElecAvoidedCostsWOCC!$A$5:$Q$50,T106+1,FALSE)</f>
        <v>#N/A</v>
      </c>
      <c r="AI106" s="44" t="e">
        <f t="shared" si="65"/>
        <v>#N/A</v>
      </c>
      <c r="AJ106" s="44" t="e">
        <f t="shared" si="66"/>
        <v>#N/A</v>
      </c>
      <c r="AK106" s="44" t="e">
        <f>HLOOKUP(I106,ElecAvoidedCostsWOCC!$A$5:$Q$50,G106+1,FALSE)*J106*L106</f>
        <v>#N/A</v>
      </c>
      <c r="AL106" s="44" t="e">
        <f t="shared" si="67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68"/>
        <v>0</v>
      </c>
      <c r="AO106" s="47">
        <f t="shared" si="69"/>
        <v>0</v>
      </c>
      <c r="AP106" s="47" t="e">
        <f t="shared" si="70"/>
        <v>#DIV/0!</v>
      </c>
    </row>
    <row r="107" spans="2:42" x14ac:dyDescent="0.35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52"/>
        <v>0</v>
      </c>
      <c r="U107" s="47">
        <f t="shared" si="53"/>
        <v>0</v>
      </c>
      <c r="V107" s="48">
        <f t="shared" si="54"/>
        <v>0</v>
      </c>
      <c r="W107" s="49">
        <f t="shared" si="55"/>
        <v>0</v>
      </c>
      <c r="X107" s="44">
        <f t="shared" si="56"/>
        <v>0</v>
      </c>
      <c r="Y107" s="44">
        <f t="shared" si="57"/>
        <v>0</v>
      </c>
      <c r="Z107" s="44">
        <f t="shared" si="58"/>
        <v>0</v>
      </c>
      <c r="AA107" s="50">
        <f t="shared" si="59"/>
        <v>0</v>
      </c>
      <c r="AB107" s="51">
        <f t="shared" si="60"/>
        <v>0</v>
      </c>
      <c r="AC107" s="44">
        <f t="shared" si="61"/>
        <v>0</v>
      </c>
      <c r="AD107" s="44">
        <f t="shared" si="62"/>
        <v>0</v>
      </c>
      <c r="AE107" s="44">
        <f t="shared" si="63"/>
        <v>0</v>
      </c>
      <c r="AF107" s="52" t="e">
        <f>HLOOKUP(I107,ElecAvoidedCostsWOCC!$A$5:$Q$50,G107+1,FALSE)</f>
        <v>#N/A</v>
      </c>
      <c r="AG107" s="44" t="e">
        <f t="shared" si="64"/>
        <v>#N/A</v>
      </c>
      <c r="AH107" s="52" t="e">
        <f>HLOOKUP(I107,ElecAvoidedCostsWOCC!$A$5:$Q$50,T107+1,FALSE)</f>
        <v>#N/A</v>
      </c>
      <c r="AI107" s="44" t="e">
        <f t="shared" si="65"/>
        <v>#N/A</v>
      </c>
      <c r="AJ107" s="44" t="e">
        <f t="shared" si="66"/>
        <v>#N/A</v>
      </c>
      <c r="AK107" s="44" t="e">
        <f>HLOOKUP(I107,ElecAvoidedCostsWOCC!$A$5:$Q$50,G107+1,FALSE)*J107*L107</f>
        <v>#N/A</v>
      </c>
      <c r="AL107" s="44" t="e">
        <f t="shared" si="67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68"/>
        <v>0</v>
      </c>
      <c r="AO107" s="47">
        <f t="shared" si="69"/>
        <v>0</v>
      </c>
      <c r="AP107" s="47" t="e">
        <f t="shared" si="70"/>
        <v>#DIV/0!</v>
      </c>
    </row>
    <row r="108" spans="2:42" x14ac:dyDescent="0.35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52"/>
        <v>0</v>
      </c>
      <c r="U108" s="47">
        <f t="shared" si="53"/>
        <v>0</v>
      </c>
      <c r="V108" s="48">
        <f t="shared" si="54"/>
        <v>0</v>
      </c>
      <c r="W108" s="49">
        <f t="shared" si="55"/>
        <v>0</v>
      </c>
      <c r="X108" s="44">
        <f t="shared" si="56"/>
        <v>0</v>
      </c>
      <c r="Y108" s="44">
        <f t="shared" si="57"/>
        <v>0</v>
      </c>
      <c r="Z108" s="44">
        <f t="shared" si="58"/>
        <v>0</v>
      </c>
      <c r="AA108" s="50">
        <f t="shared" si="59"/>
        <v>0</v>
      </c>
      <c r="AB108" s="51">
        <f t="shared" si="60"/>
        <v>0</v>
      </c>
      <c r="AC108" s="44">
        <f t="shared" si="61"/>
        <v>0</v>
      </c>
      <c r="AD108" s="44">
        <f t="shared" si="62"/>
        <v>0</v>
      </c>
      <c r="AE108" s="44">
        <f t="shared" si="63"/>
        <v>0</v>
      </c>
      <c r="AF108" s="52" t="e">
        <f>HLOOKUP(I108,ElecAvoidedCostsWOCC!$A$5:$Q$50,G108+1,FALSE)</f>
        <v>#N/A</v>
      </c>
      <c r="AG108" s="44" t="e">
        <f t="shared" si="64"/>
        <v>#N/A</v>
      </c>
      <c r="AH108" s="52" t="e">
        <f>HLOOKUP(I108,ElecAvoidedCostsWOCC!$A$5:$Q$50,T108+1,FALSE)</f>
        <v>#N/A</v>
      </c>
      <c r="AI108" s="44" t="e">
        <f t="shared" si="65"/>
        <v>#N/A</v>
      </c>
      <c r="AJ108" s="44" t="e">
        <f t="shared" si="66"/>
        <v>#N/A</v>
      </c>
      <c r="AK108" s="44" t="e">
        <f>HLOOKUP(I108,ElecAvoidedCostsWOCC!$A$5:$Q$50,G108+1,FALSE)*J108*L108</f>
        <v>#N/A</v>
      </c>
      <c r="AL108" s="44" t="e">
        <f t="shared" si="67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68"/>
        <v>0</v>
      </c>
      <c r="AO108" s="47">
        <f t="shared" si="69"/>
        <v>0</v>
      </c>
      <c r="AP108" s="47" t="e">
        <f t="shared" si="70"/>
        <v>#DIV/0!</v>
      </c>
    </row>
    <row r="109" spans="2:42" x14ac:dyDescent="0.35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52"/>
        <v>0</v>
      </c>
      <c r="U109" s="47">
        <f t="shared" si="53"/>
        <v>0</v>
      </c>
      <c r="V109" s="48">
        <f t="shared" si="54"/>
        <v>0</v>
      </c>
      <c r="W109" s="49">
        <f t="shared" si="55"/>
        <v>0</v>
      </c>
      <c r="X109" s="44">
        <f t="shared" si="56"/>
        <v>0</v>
      </c>
      <c r="Y109" s="44">
        <f t="shared" si="57"/>
        <v>0</v>
      </c>
      <c r="Z109" s="44">
        <f t="shared" si="58"/>
        <v>0</v>
      </c>
      <c r="AA109" s="50">
        <f t="shared" si="59"/>
        <v>0</v>
      </c>
      <c r="AB109" s="51">
        <f t="shared" si="60"/>
        <v>0</v>
      </c>
      <c r="AC109" s="44">
        <f t="shared" si="61"/>
        <v>0</v>
      </c>
      <c r="AD109" s="44">
        <f t="shared" si="62"/>
        <v>0</v>
      </c>
      <c r="AE109" s="44">
        <f t="shared" si="63"/>
        <v>0</v>
      </c>
      <c r="AF109" s="52" t="e">
        <f>HLOOKUP(I109,ElecAvoidedCostsWOCC!$A$5:$Q$50,G109+1,FALSE)</f>
        <v>#N/A</v>
      </c>
      <c r="AG109" s="44" t="e">
        <f t="shared" si="64"/>
        <v>#N/A</v>
      </c>
      <c r="AH109" s="52" t="e">
        <f>HLOOKUP(I109,ElecAvoidedCostsWOCC!$A$5:$Q$50,T109+1,FALSE)</f>
        <v>#N/A</v>
      </c>
      <c r="AI109" s="44" t="e">
        <f t="shared" si="65"/>
        <v>#N/A</v>
      </c>
      <c r="AJ109" s="44" t="e">
        <f t="shared" si="66"/>
        <v>#N/A</v>
      </c>
      <c r="AK109" s="44" t="e">
        <f>HLOOKUP(I109,ElecAvoidedCostsWOCC!$A$5:$Q$50,G109+1,FALSE)*J109*L109</f>
        <v>#N/A</v>
      </c>
      <c r="AL109" s="44" t="e">
        <f t="shared" si="67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68"/>
        <v>0</v>
      </c>
      <c r="AO109" s="47">
        <f t="shared" si="69"/>
        <v>0</v>
      </c>
      <c r="AP109" s="47" t="e">
        <f t="shared" si="70"/>
        <v>#DIV/0!</v>
      </c>
    </row>
    <row r="110" spans="2:42" x14ac:dyDescent="0.35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52"/>
        <v>0</v>
      </c>
      <c r="U110" s="47">
        <f t="shared" si="53"/>
        <v>0</v>
      </c>
      <c r="V110" s="48">
        <f t="shared" si="54"/>
        <v>0</v>
      </c>
      <c r="W110" s="49">
        <f t="shared" si="55"/>
        <v>0</v>
      </c>
      <c r="X110" s="44">
        <f t="shared" si="56"/>
        <v>0</v>
      </c>
      <c r="Y110" s="44">
        <f t="shared" si="57"/>
        <v>0</v>
      </c>
      <c r="Z110" s="44">
        <f t="shared" si="58"/>
        <v>0</v>
      </c>
      <c r="AA110" s="50">
        <f t="shared" si="59"/>
        <v>0</v>
      </c>
      <c r="AB110" s="51">
        <f t="shared" si="60"/>
        <v>0</v>
      </c>
      <c r="AC110" s="44">
        <f t="shared" si="61"/>
        <v>0</v>
      </c>
      <c r="AD110" s="44">
        <f t="shared" si="62"/>
        <v>0</v>
      </c>
      <c r="AE110" s="44">
        <f t="shared" si="63"/>
        <v>0</v>
      </c>
      <c r="AF110" s="52" t="e">
        <f>HLOOKUP(I110,ElecAvoidedCostsWOCC!$A$5:$Q$50,G110+1,FALSE)</f>
        <v>#N/A</v>
      </c>
      <c r="AG110" s="44" t="e">
        <f t="shared" si="64"/>
        <v>#N/A</v>
      </c>
      <c r="AH110" s="52" t="e">
        <f>HLOOKUP(I110,ElecAvoidedCostsWOCC!$A$5:$Q$50,T110+1,FALSE)</f>
        <v>#N/A</v>
      </c>
      <c r="AI110" s="44" t="e">
        <f t="shared" si="65"/>
        <v>#N/A</v>
      </c>
      <c r="AJ110" s="44" t="e">
        <f t="shared" si="66"/>
        <v>#N/A</v>
      </c>
      <c r="AK110" s="44" t="e">
        <f>HLOOKUP(I110,ElecAvoidedCostsWOCC!$A$5:$Q$50,G110+1,FALSE)*J110*L110</f>
        <v>#N/A</v>
      </c>
      <c r="AL110" s="44" t="e">
        <f t="shared" si="67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68"/>
        <v>0</v>
      </c>
      <c r="AO110" s="47">
        <f t="shared" si="69"/>
        <v>0</v>
      </c>
      <c r="AP110" s="47" t="e">
        <f t="shared" si="70"/>
        <v>#DIV/0!</v>
      </c>
    </row>
    <row r="111" spans="2:42" x14ac:dyDescent="0.35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52"/>
        <v>0</v>
      </c>
      <c r="U111" s="47">
        <f t="shared" si="53"/>
        <v>0</v>
      </c>
      <c r="V111" s="48">
        <f t="shared" si="54"/>
        <v>0</v>
      </c>
      <c r="W111" s="49">
        <f t="shared" si="55"/>
        <v>0</v>
      </c>
      <c r="X111" s="44">
        <f t="shared" si="56"/>
        <v>0</v>
      </c>
      <c r="Y111" s="44">
        <f t="shared" si="57"/>
        <v>0</v>
      </c>
      <c r="Z111" s="44">
        <f t="shared" si="58"/>
        <v>0</v>
      </c>
      <c r="AA111" s="50">
        <f t="shared" si="59"/>
        <v>0</v>
      </c>
      <c r="AB111" s="51">
        <f t="shared" si="60"/>
        <v>0</v>
      </c>
      <c r="AC111" s="44">
        <f t="shared" si="61"/>
        <v>0</v>
      </c>
      <c r="AD111" s="44">
        <f t="shared" si="62"/>
        <v>0</v>
      </c>
      <c r="AE111" s="44">
        <f t="shared" si="63"/>
        <v>0</v>
      </c>
      <c r="AF111" s="52" t="e">
        <f>HLOOKUP(I111,ElecAvoidedCostsWOCC!$A$5:$Q$50,G111+1,FALSE)</f>
        <v>#N/A</v>
      </c>
      <c r="AG111" s="44" t="e">
        <f t="shared" si="64"/>
        <v>#N/A</v>
      </c>
      <c r="AH111" s="52" t="e">
        <f>HLOOKUP(I111,ElecAvoidedCostsWOCC!$A$5:$Q$50,T111+1,FALSE)</f>
        <v>#N/A</v>
      </c>
      <c r="AI111" s="44" t="e">
        <f t="shared" si="65"/>
        <v>#N/A</v>
      </c>
      <c r="AJ111" s="44" t="e">
        <f t="shared" si="66"/>
        <v>#N/A</v>
      </c>
      <c r="AK111" s="44" t="e">
        <f>HLOOKUP(I111,ElecAvoidedCostsWOCC!$A$5:$Q$50,G111+1,FALSE)*J111*L111</f>
        <v>#N/A</v>
      </c>
      <c r="AL111" s="44" t="e">
        <f t="shared" si="67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68"/>
        <v>0</v>
      </c>
      <c r="AO111" s="47">
        <f t="shared" si="69"/>
        <v>0</v>
      </c>
      <c r="AP111" s="47" t="e">
        <f t="shared" si="70"/>
        <v>#DIV/0!</v>
      </c>
    </row>
    <row r="112" spans="2:42" x14ac:dyDescent="0.35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ref="T112:T130" si="71">G112+H112</f>
        <v>0</v>
      </c>
      <c r="U112" s="47">
        <f t="shared" ref="U112:U130" si="72">(O112/$A$10)*T112</f>
        <v>0</v>
      </c>
      <c r="V112" s="48">
        <f t="shared" ref="V112:V130" si="73">N112-M112</f>
        <v>0</v>
      </c>
      <c r="W112" s="49">
        <f t="shared" ref="W112:W130" si="74">(O112/A$10)</f>
        <v>0</v>
      </c>
      <c r="X112" s="44">
        <f t="shared" ref="X112:X130" si="75">W112*A$8</f>
        <v>0</v>
      </c>
      <c r="Y112" s="44">
        <f t="shared" ref="Y112:Y130" si="76">Q112-P112</f>
        <v>0</v>
      </c>
      <c r="Z112" s="44">
        <f t="shared" ref="Z112:Z130" si="77">X112+(A$6*W112)</f>
        <v>0</v>
      </c>
      <c r="AA112" s="50">
        <f t="shared" ref="AA112:AA130" si="78">Q112+X112</f>
        <v>0</v>
      </c>
      <c r="AB112" s="51">
        <f t="shared" ref="AB112:AB130" si="79">Z112/(1+ElecDiscountRate)^1</f>
        <v>0</v>
      </c>
      <c r="AC112" s="44">
        <f t="shared" ref="AC112:AC130" si="80">AA112/(1+ElecDiscountRate)^1</f>
        <v>0</v>
      </c>
      <c r="AD112" s="44">
        <f t="shared" ref="AD112:AD130" si="81">-PV(ElecDiscountRate,T112,R112)*J112</f>
        <v>0</v>
      </c>
      <c r="AE112" s="44">
        <f t="shared" ref="AE112:AE130" si="82">-PV(ElecDiscountRate,T112,S112)*J112</f>
        <v>0</v>
      </c>
      <c r="AF112" s="52" t="e">
        <f>HLOOKUP(I112,ElecAvoidedCostsWOCC!$A$5:$Q$50,G112+1,FALSE)</f>
        <v>#N/A</v>
      </c>
      <c r="AG112" s="44" t="e">
        <f t="shared" ref="AG112:AG130" si="83">AF112*J112*K112</f>
        <v>#N/A</v>
      </c>
      <c r="AH112" s="52" t="e">
        <f>HLOOKUP(I112,ElecAvoidedCostsWOCC!$A$5:$Q$50,T112+1,FALSE)</f>
        <v>#N/A</v>
      </c>
      <c r="AI112" s="44" t="e">
        <f t="shared" ref="AI112:AI130" si="84">AH112*J112*L112</f>
        <v>#N/A</v>
      </c>
      <c r="AJ112" s="44" t="e">
        <f t="shared" ref="AJ112:AJ130" si="85">AG112+AI112</f>
        <v>#N/A</v>
      </c>
      <c r="AK112" s="44" t="e">
        <f>HLOOKUP(I112,ElecAvoidedCostsWOCC!$A$5:$Q$50,G112+1,FALSE)*J112*L112</f>
        <v>#N/A</v>
      </c>
      <c r="AL112" s="44" t="e">
        <f t="shared" ref="AL112:AL130" si="86">AG112+AI112-AK112</f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ref="AN112:AN130" si="87">AM112*1.1+AD112+AE112</f>
        <v>0</v>
      </c>
      <c r="AO112" s="47">
        <f t="shared" ref="AO112:AO130" si="88">IFERROR(AM112/AB112,0)</f>
        <v>0</v>
      </c>
      <c r="AP112" s="47" t="e">
        <f t="shared" ref="AP112:AP130" si="89">AN112/AC112</f>
        <v>#DIV/0!</v>
      </c>
    </row>
    <row r="113" spans="2:42" x14ac:dyDescent="0.35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71"/>
        <v>0</v>
      </c>
      <c r="U113" s="47">
        <f t="shared" si="72"/>
        <v>0</v>
      </c>
      <c r="V113" s="48">
        <f t="shared" si="73"/>
        <v>0</v>
      </c>
      <c r="W113" s="49">
        <f t="shared" si="74"/>
        <v>0</v>
      </c>
      <c r="X113" s="44">
        <f t="shared" si="75"/>
        <v>0</v>
      </c>
      <c r="Y113" s="44">
        <f t="shared" si="76"/>
        <v>0</v>
      </c>
      <c r="Z113" s="44">
        <f t="shared" si="77"/>
        <v>0</v>
      </c>
      <c r="AA113" s="50">
        <f t="shared" si="78"/>
        <v>0</v>
      </c>
      <c r="AB113" s="51">
        <f t="shared" si="79"/>
        <v>0</v>
      </c>
      <c r="AC113" s="44">
        <f t="shared" si="80"/>
        <v>0</v>
      </c>
      <c r="AD113" s="44">
        <f t="shared" si="81"/>
        <v>0</v>
      </c>
      <c r="AE113" s="44">
        <f t="shared" si="82"/>
        <v>0</v>
      </c>
      <c r="AF113" s="52" t="e">
        <f>HLOOKUP(I113,ElecAvoidedCostsWOCC!$A$5:$Q$50,G113+1,FALSE)</f>
        <v>#N/A</v>
      </c>
      <c r="AG113" s="44" t="e">
        <f t="shared" si="83"/>
        <v>#N/A</v>
      </c>
      <c r="AH113" s="52" t="e">
        <f>HLOOKUP(I113,ElecAvoidedCostsWOCC!$A$5:$Q$50,T113+1,FALSE)</f>
        <v>#N/A</v>
      </c>
      <c r="AI113" s="44" t="e">
        <f t="shared" si="84"/>
        <v>#N/A</v>
      </c>
      <c r="AJ113" s="44" t="e">
        <f t="shared" si="85"/>
        <v>#N/A</v>
      </c>
      <c r="AK113" s="44" t="e">
        <f>HLOOKUP(I113,ElecAvoidedCostsWOCC!$A$5:$Q$50,G113+1,FALSE)*J113*L113</f>
        <v>#N/A</v>
      </c>
      <c r="AL113" s="44" t="e">
        <f t="shared" si="86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87"/>
        <v>0</v>
      </c>
      <c r="AO113" s="47">
        <f t="shared" si="88"/>
        <v>0</v>
      </c>
      <c r="AP113" s="47" t="e">
        <f t="shared" si="89"/>
        <v>#DIV/0!</v>
      </c>
    </row>
    <row r="114" spans="2:42" x14ac:dyDescent="0.35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71"/>
        <v>0</v>
      </c>
      <c r="U114" s="47">
        <f t="shared" si="72"/>
        <v>0</v>
      </c>
      <c r="V114" s="48">
        <f t="shared" si="73"/>
        <v>0</v>
      </c>
      <c r="W114" s="49">
        <f t="shared" si="74"/>
        <v>0</v>
      </c>
      <c r="X114" s="44">
        <f t="shared" si="75"/>
        <v>0</v>
      </c>
      <c r="Y114" s="44">
        <f t="shared" si="76"/>
        <v>0</v>
      </c>
      <c r="Z114" s="44">
        <f t="shared" si="77"/>
        <v>0</v>
      </c>
      <c r="AA114" s="50">
        <f t="shared" si="78"/>
        <v>0</v>
      </c>
      <c r="AB114" s="51">
        <f t="shared" si="79"/>
        <v>0</v>
      </c>
      <c r="AC114" s="44">
        <f t="shared" si="80"/>
        <v>0</v>
      </c>
      <c r="AD114" s="44">
        <f t="shared" si="81"/>
        <v>0</v>
      </c>
      <c r="AE114" s="44">
        <f t="shared" si="82"/>
        <v>0</v>
      </c>
      <c r="AF114" s="52" t="e">
        <f>HLOOKUP(I114,ElecAvoidedCostsWOCC!$A$5:$Q$50,G114+1,FALSE)</f>
        <v>#N/A</v>
      </c>
      <c r="AG114" s="44" t="e">
        <f t="shared" si="83"/>
        <v>#N/A</v>
      </c>
      <c r="AH114" s="52" t="e">
        <f>HLOOKUP(I114,ElecAvoidedCostsWOCC!$A$5:$Q$50,T114+1,FALSE)</f>
        <v>#N/A</v>
      </c>
      <c r="AI114" s="44" t="e">
        <f t="shared" si="84"/>
        <v>#N/A</v>
      </c>
      <c r="AJ114" s="44" t="e">
        <f t="shared" si="85"/>
        <v>#N/A</v>
      </c>
      <c r="AK114" s="44" t="e">
        <f>HLOOKUP(I114,ElecAvoidedCostsWOCC!$A$5:$Q$50,G114+1,FALSE)*J114*L114</f>
        <v>#N/A</v>
      </c>
      <c r="AL114" s="44" t="e">
        <f t="shared" si="86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87"/>
        <v>0</v>
      </c>
      <c r="AO114" s="47">
        <f t="shared" si="88"/>
        <v>0</v>
      </c>
      <c r="AP114" s="47" t="e">
        <f t="shared" si="89"/>
        <v>#DIV/0!</v>
      </c>
    </row>
    <row r="115" spans="2:42" x14ac:dyDescent="0.35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71"/>
        <v>0</v>
      </c>
      <c r="U115" s="47">
        <f t="shared" si="72"/>
        <v>0</v>
      </c>
      <c r="V115" s="48">
        <f t="shared" si="73"/>
        <v>0</v>
      </c>
      <c r="W115" s="49">
        <f t="shared" si="74"/>
        <v>0</v>
      </c>
      <c r="X115" s="44">
        <f t="shared" si="75"/>
        <v>0</v>
      </c>
      <c r="Y115" s="44">
        <f t="shared" si="76"/>
        <v>0</v>
      </c>
      <c r="Z115" s="44">
        <f t="shared" si="77"/>
        <v>0</v>
      </c>
      <c r="AA115" s="50">
        <f t="shared" si="78"/>
        <v>0</v>
      </c>
      <c r="AB115" s="51">
        <f t="shared" si="79"/>
        <v>0</v>
      </c>
      <c r="AC115" s="44">
        <f t="shared" si="80"/>
        <v>0</v>
      </c>
      <c r="AD115" s="44">
        <f t="shared" si="81"/>
        <v>0</v>
      </c>
      <c r="AE115" s="44">
        <f t="shared" si="82"/>
        <v>0</v>
      </c>
      <c r="AF115" s="52" t="e">
        <f>HLOOKUP(I115,ElecAvoidedCostsWOCC!$A$5:$Q$50,G115+1,FALSE)</f>
        <v>#N/A</v>
      </c>
      <c r="AG115" s="44" t="e">
        <f t="shared" si="83"/>
        <v>#N/A</v>
      </c>
      <c r="AH115" s="52" t="e">
        <f>HLOOKUP(I115,ElecAvoidedCostsWOCC!$A$5:$Q$50,T115+1,FALSE)</f>
        <v>#N/A</v>
      </c>
      <c r="AI115" s="44" t="e">
        <f t="shared" si="84"/>
        <v>#N/A</v>
      </c>
      <c r="AJ115" s="44" t="e">
        <f t="shared" si="85"/>
        <v>#N/A</v>
      </c>
      <c r="AK115" s="44" t="e">
        <f>HLOOKUP(I115,ElecAvoidedCostsWOCC!$A$5:$Q$50,G115+1,FALSE)*J115*L115</f>
        <v>#N/A</v>
      </c>
      <c r="AL115" s="44" t="e">
        <f t="shared" si="86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87"/>
        <v>0</v>
      </c>
      <c r="AO115" s="47">
        <f t="shared" si="88"/>
        <v>0</v>
      </c>
      <c r="AP115" s="47" t="e">
        <f t="shared" si="89"/>
        <v>#DIV/0!</v>
      </c>
    </row>
    <row r="116" spans="2:42" x14ac:dyDescent="0.35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71"/>
        <v>0</v>
      </c>
      <c r="U116" s="47">
        <f t="shared" si="72"/>
        <v>0</v>
      </c>
      <c r="V116" s="48">
        <f t="shared" si="73"/>
        <v>0</v>
      </c>
      <c r="W116" s="49">
        <f t="shared" si="74"/>
        <v>0</v>
      </c>
      <c r="X116" s="44">
        <f t="shared" si="75"/>
        <v>0</v>
      </c>
      <c r="Y116" s="44">
        <f t="shared" si="76"/>
        <v>0</v>
      </c>
      <c r="Z116" s="44">
        <f t="shared" si="77"/>
        <v>0</v>
      </c>
      <c r="AA116" s="50">
        <f t="shared" si="78"/>
        <v>0</v>
      </c>
      <c r="AB116" s="51">
        <f t="shared" si="79"/>
        <v>0</v>
      </c>
      <c r="AC116" s="44">
        <f t="shared" si="80"/>
        <v>0</v>
      </c>
      <c r="AD116" s="44">
        <f t="shared" si="81"/>
        <v>0</v>
      </c>
      <c r="AE116" s="44">
        <f t="shared" si="82"/>
        <v>0</v>
      </c>
      <c r="AF116" s="52" t="e">
        <f>HLOOKUP(I116,ElecAvoidedCostsWOCC!$A$5:$Q$50,G116+1,FALSE)</f>
        <v>#N/A</v>
      </c>
      <c r="AG116" s="44" t="e">
        <f t="shared" si="83"/>
        <v>#N/A</v>
      </c>
      <c r="AH116" s="52" t="e">
        <f>HLOOKUP(I116,ElecAvoidedCostsWOCC!$A$5:$Q$50,T116+1,FALSE)</f>
        <v>#N/A</v>
      </c>
      <c r="AI116" s="44" t="e">
        <f t="shared" si="84"/>
        <v>#N/A</v>
      </c>
      <c r="AJ116" s="44" t="e">
        <f t="shared" si="85"/>
        <v>#N/A</v>
      </c>
      <c r="AK116" s="44" t="e">
        <f>HLOOKUP(I116,ElecAvoidedCostsWOCC!$A$5:$Q$50,G116+1,FALSE)*J116*L116</f>
        <v>#N/A</v>
      </c>
      <c r="AL116" s="44" t="e">
        <f t="shared" si="86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87"/>
        <v>0</v>
      </c>
      <c r="AO116" s="47">
        <f t="shared" si="88"/>
        <v>0</v>
      </c>
      <c r="AP116" s="47" t="e">
        <f t="shared" si="89"/>
        <v>#DIV/0!</v>
      </c>
    </row>
    <row r="117" spans="2:42" x14ac:dyDescent="0.35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71"/>
        <v>0</v>
      </c>
      <c r="U117" s="47">
        <f t="shared" si="72"/>
        <v>0</v>
      </c>
      <c r="V117" s="48">
        <f t="shared" si="73"/>
        <v>0</v>
      </c>
      <c r="W117" s="49">
        <f t="shared" si="74"/>
        <v>0</v>
      </c>
      <c r="X117" s="44">
        <f t="shared" si="75"/>
        <v>0</v>
      </c>
      <c r="Y117" s="44">
        <f t="shared" si="76"/>
        <v>0</v>
      </c>
      <c r="Z117" s="44">
        <f t="shared" si="77"/>
        <v>0</v>
      </c>
      <c r="AA117" s="50">
        <f t="shared" si="78"/>
        <v>0</v>
      </c>
      <c r="AB117" s="51">
        <f t="shared" si="79"/>
        <v>0</v>
      </c>
      <c r="AC117" s="44">
        <f t="shared" si="80"/>
        <v>0</v>
      </c>
      <c r="AD117" s="44">
        <f t="shared" si="81"/>
        <v>0</v>
      </c>
      <c r="AE117" s="44">
        <f t="shared" si="82"/>
        <v>0</v>
      </c>
      <c r="AF117" s="52" t="e">
        <f>HLOOKUP(I117,ElecAvoidedCostsWOCC!$A$5:$Q$50,G117+1,FALSE)</f>
        <v>#N/A</v>
      </c>
      <c r="AG117" s="44" t="e">
        <f t="shared" si="83"/>
        <v>#N/A</v>
      </c>
      <c r="AH117" s="52" t="e">
        <f>HLOOKUP(I117,ElecAvoidedCostsWOCC!$A$5:$Q$50,T117+1,FALSE)</f>
        <v>#N/A</v>
      </c>
      <c r="AI117" s="44" t="e">
        <f t="shared" si="84"/>
        <v>#N/A</v>
      </c>
      <c r="AJ117" s="44" t="e">
        <f t="shared" si="85"/>
        <v>#N/A</v>
      </c>
      <c r="AK117" s="44" t="e">
        <f>HLOOKUP(I117,ElecAvoidedCostsWOCC!$A$5:$Q$50,G117+1,FALSE)*J117*L117</f>
        <v>#N/A</v>
      </c>
      <c r="AL117" s="44" t="e">
        <f t="shared" si="86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87"/>
        <v>0</v>
      </c>
      <c r="AO117" s="47">
        <f t="shared" si="88"/>
        <v>0</v>
      </c>
      <c r="AP117" s="47" t="e">
        <f t="shared" si="89"/>
        <v>#DIV/0!</v>
      </c>
    </row>
    <row r="118" spans="2:42" x14ac:dyDescent="0.35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71"/>
        <v>0</v>
      </c>
      <c r="U118" s="47">
        <f t="shared" si="72"/>
        <v>0</v>
      </c>
      <c r="V118" s="48">
        <f t="shared" si="73"/>
        <v>0</v>
      </c>
      <c r="W118" s="49">
        <f t="shared" si="74"/>
        <v>0</v>
      </c>
      <c r="X118" s="44">
        <f t="shared" si="75"/>
        <v>0</v>
      </c>
      <c r="Y118" s="44">
        <f t="shared" si="76"/>
        <v>0</v>
      </c>
      <c r="Z118" s="44">
        <f t="shared" si="77"/>
        <v>0</v>
      </c>
      <c r="AA118" s="50">
        <f t="shared" si="78"/>
        <v>0</v>
      </c>
      <c r="AB118" s="51">
        <f t="shared" si="79"/>
        <v>0</v>
      </c>
      <c r="AC118" s="44">
        <f t="shared" si="80"/>
        <v>0</v>
      </c>
      <c r="AD118" s="44">
        <f t="shared" si="81"/>
        <v>0</v>
      </c>
      <c r="AE118" s="44">
        <f t="shared" si="82"/>
        <v>0</v>
      </c>
      <c r="AF118" s="52" t="e">
        <f>HLOOKUP(I118,ElecAvoidedCostsWOCC!$A$5:$Q$50,G118+1,FALSE)</f>
        <v>#N/A</v>
      </c>
      <c r="AG118" s="44" t="e">
        <f t="shared" si="83"/>
        <v>#N/A</v>
      </c>
      <c r="AH118" s="52" t="e">
        <f>HLOOKUP(I118,ElecAvoidedCostsWOCC!$A$5:$Q$50,T118+1,FALSE)</f>
        <v>#N/A</v>
      </c>
      <c r="AI118" s="44" t="e">
        <f t="shared" si="84"/>
        <v>#N/A</v>
      </c>
      <c r="AJ118" s="44" t="e">
        <f t="shared" si="85"/>
        <v>#N/A</v>
      </c>
      <c r="AK118" s="44" t="e">
        <f>HLOOKUP(I118,ElecAvoidedCostsWOCC!$A$5:$Q$50,G118+1,FALSE)*J118*L118</f>
        <v>#N/A</v>
      </c>
      <c r="AL118" s="44" t="e">
        <f t="shared" si="86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87"/>
        <v>0</v>
      </c>
      <c r="AO118" s="47">
        <f t="shared" si="88"/>
        <v>0</v>
      </c>
      <c r="AP118" s="47" t="e">
        <f t="shared" si="89"/>
        <v>#DIV/0!</v>
      </c>
    </row>
    <row r="119" spans="2:42" x14ac:dyDescent="0.35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71"/>
        <v>0</v>
      </c>
      <c r="U119" s="47">
        <f t="shared" si="72"/>
        <v>0</v>
      </c>
      <c r="V119" s="48">
        <f t="shared" si="73"/>
        <v>0</v>
      </c>
      <c r="W119" s="49">
        <f t="shared" si="74"/>
        <v>0</v>
      </c>
      <c r="X119" s="44">
        <f t="shared" si="75"/>
        <v>0</v>
      </c>
      <c r="Y119" s="44">
        <f t="shared" si="76"/>
        <v>0</v>
      </c>
      <c r="Z119" s="44">
        <f t="shared" si="77"/>
        <v>0</v>
      </c>
      <c r="AA119" s="50">
        <f t="shared" si="78"/>
        <v>0</v>
      </c>
      <c r="AB119" s="51">
        <f t="shared" si="79"/>
        <v>0</v>
      </c>
      <c r="AC119" s="44">
        <f t="shared" si="80"/>
        <v>0</v>
      </c>
      <c r="AD119" s="44">
        <f t="shared" si="81"/>
        <v>0</v>
      </c>
      <c r="AE119" s="44">
        <f t="shared" si="82"/>
        <v>0</v>
      </c>
      <c r="AF119" s="52" t="e">
        <f>HLOOKUP(I119,ElecAvoidedCostsWOCC!$A$5:$Q$50,G119+1,FALSE)</f>
        <v>#N/A</v>
      </c>
      <c r="AG119" s="44" t="e">
        <f t="shared" si="83"/>
        <v>#N/A</v>
      </c>
      <c r="AH119" s="52" t="e">
        <f>HLOOKUP(I119,ElecAvoidedCostsWOCC!$A$5:$Q$50,T119+1,FALSE)</f>
        <v>#N/A</v>
      </c>
      <c r="AI119" s="44" t="e">
        <f t="shared" si="84"/>
        <v>#N/A</v>
      </c>
      <c r="AJ119" s="44" t="e">
        <f t="shared" si="85"/>
        <v>#N/A</v>
      </c>
      <c r="AK119" s="44" t="e">
        <f>HLOOKUP(I119,ElecAvoidedCostsWOCC!$A$5:$Q$50,G119+1,FALSE)*J119*L119</f>
        <v>#N/A</v>
      </c>
      <c r="AL119" s="44" t="e">
        <f t="shared" si="86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87"/>
        <v>0</v>
      </c>
      <c r="AO119" s="47">
        <f t="shared" si="88"/>
        <v>0</v>
      </c>
      <c r="AP119" s="47" t="e">
        <f t="shared" si="89"/>
        <v>#DIV/0!</v>
      </c>
    </row>
    <row r="120" spans="2:42" x14ac:dyDescent="0.35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71"/>
        <v>0</v>
      </c>
      <c r="U120" s="47">
        <f t="shared" si="72"/>
        <v>0</v>
      </c>
      <c r="V120" s="48">
        <f t="shared" si="73"/>
        <v>0</v>
      </c>
      <c r="W120" s="49">
        <f t="shared" si="74"/>
        <v>0</v>
      </c>
      <c r="X120" s="44">
        <f t="shared" si="75"/>
        <v>0</v>
      </c>
      <c r="Y120" s="44">
        <f t="shared" si="76"/>
        <v>0</v>
      </c>
      <c r="Z120" s="44">
        <f t="shared" si="77"/>
        <v>0</v>
      </c>
      <c r="AA120" s="50">
        <f t="shared" si="78"/>
        <v>0</v>
      </c>
      <c r="AB120" s="51">
        <f t="shared" si="79"/>
        <v>0</v>
      </c>
      <c r="AC120" s="44">
        <f t="shared" si="80"/>
        <v>0</v>
      </c>
      <c r="AD120" s="44">
        <f t="shared" si="81"/>
        <v>0</v>
      </c>
      <c r="AE120" s="44">
        <f t="shared" si="82"/>
        <v>0</v>
      </c>
      <c r="AF120" s="52" t="e">
        <f>HLOOKUP(I120,ElecAvoidedCostsWOCC!$A$5:$Q$50,G120+1,FALSE)</f>
        <v>#N/A</v>
      </c>
      <c r="AG120" s="44" t="e">
        <f t="shared" si="83"/>
        <v>#N/A</v>
      </c>
      <c r="AH120" s="52" t="e">
        <f>HLOOKUP(I120,ElecAvoidedCostsWOCC!$A$5:$Q$50,T120+1,FALSE)</f>
        <v>#N/A</v>
      </c>
      <c r="AI120" s="44" t="e">
        <f t="shared" si="84"/>
        <v>#N/A</v>
      </c>
      <c r="AJ120" s="44" t="e">
        <f t="shared" si="85"/>
        <v>#N/A</v>
      </c>
      <c r="AK120" s="44" t="e">
        <f>HLOOKUP(I120,ElecAvoidedCostsWOCC!$A$5:$Q$50,G120+1,FALSE)*J120*L120</f>
        <v>#N/A</v>
      </c>
      <c r="AL120" s="44" t="e">
        <f t="shared" si="86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87"/>
        <v>0</v>
      </c>
      <c r="AO120" s="47">
        <f t="shared" si="88"/>
        <v>0</v>
      </c>
      <c r="AP120" s="47" t="e">
        <f t="shared" si="89"/>
        <v>#DIV/0!</v>
      </c>
    </row>
    <row r="121" spans="2:42" x14ac:dyDescent="0.35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71"/>
        <v>0</v>
      </c>
      <c r="U121" s="47">
        <f t="shared" si="72"/>
        <v>0</v>
      </c>
      <c r="V121" s="48">
        <f t="shared" si="73"/>
        <v>0</v>
      </c>
      <c r="W121" s="49">
        <f t="shared" si="74"/>
        <v>0</v>
      </c>
      <c r="X121" s="44">
        <f t="shared" si="75"/>
        <v>0</v>
      </c>
      <c r="Y121" s="44">
        <f t="shared" si="76"/>
        <v>0</v>
      </c>
      <c r="Z121" s="44">
        <f t="shared" si="77"/>
        <v>0</v>
      </c>
      <c r="AA121" s="50">
        <f t="shared" si="78"/>
        <v>0</v>
      </c>
      <c r="AB121" s="51">
        <f t="shared" si="79"/>
        <v>0</v>
      </c>
      <c r="AC121" s="44">
        <f t="shared" si="80"/>
        <v>0</v>
      </c>
      <c r="AD121" s="44">
        <f t="shared" si="81"/>
        <v>0</v>
      </c>
      <c r="AE121" s="44">
        <f t="shared" si="82"/>
        <v>0</v>
      </c>
      <c r="AF121" s="52" t="e">
        <f>HLOOKUP(I121,ElecAvoidedCostsWOCC!$A$5:$Q$50,G121+1,FALSE)</f>
        <v>#N/A</v>
      </c>
      <c r="AG121" s="44" t="e">
        <f t="shared" si="83"/>
        <v>#N/A</v>
      </c>
      <c r="AH121" s="52" t="e">
        <f>HLOOKUP(I121,ElecAvoidedCostsWOCC!$A$5:$Q$50,T121+1,FALSE)</f>
        <v>#N/A</v>
      </c>
      <c r="AI121" s="44" t="e">
        <f t="shared" si="84"/>
        <v>#N/A</v>
      </c>
      <c r="AJ121" s="44" t="e">
        <f t="shared" si="85"/>
        <v>#N/A</v>
      </c>
      <c r="AK121" s="44" t="e">
        <f>HLOOKUP(I121,ElecAvoidedCostsWOCC!$A$5:$Q$50,G121+1,FALSE)*J121*L121</f>
        <v>#N/A</v>
      </c>
      <c r="AL121" s="44" t="e">
        <f t="shared" si="86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87"/>
        <v>0</v>
      </c>
      <c r="AO121" s="47">
        <f t="shared" si="88"/>
        <v>0</v>
      </c>
      <c r="AP121" s="47" t="e">
        <f t="shared" si="89"/>
        <v>#DIV/0!</v>
      </c>
    </row>
    <row r="122" spans="2:42" x14ac:dyDescent="0.35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71"/>
        <v>0</v>
      </c>
      <c r="U122" s="47">
        <f t="shared" si="72"/>
        <v>0</v>
      </c>
      <c r="V122" s="48">
        <f t="shared" si="73"/>
        <v>0</v>
      </c>
      <c r="W122" s="49">
        <f t="shared" si="74"/>
        <v>0</v>
      </c>
      <c r="X122" s="44">
        <f t="shared" si="75"/>
        <v>0</v>
      </c>
      <c r="Y122" s="44">
        <f t="shared" si="76"/>
        <v>0</v>
      </c>
      <c r="Z122" s="44">
        <f t="shared" si="77"/>
        <v>0</v>
      </c>
      <c r="AA122" s="50">
        <f t="shared" si="78"/>
        <v>0</v>
      </c>
      <c r="AB122" s="51">
        <f t="shared" si="79"/>
        <v>0</v>
      </c>
      <c r="AC122" s="44">
        <f t="shared" si="80"/>
        <v>0</v>
      </c>
      <c r="AD122" s="44">
        <f t="shared" si="81"/>
        <v>0</v>
      </c>
      <c r="AE122" s="44">
        <f t="shared" si="82"/>
        <v>0</v>
      </c>
      <c r="AF122" s="52" t="e">
        <f>HLOOKUP(I122,ElecAvoidedCostsWOCC!$A$5:$Q$50,G122+1,FALSE)</f>
        <v>#N/A</v>
      </c>
      <c r="AG122" s="44" t="e">
        <f t="shared" si="83"/>
        <v>#N/A</v>
      </c>
      <c r="AH122" s="52" t="e">
        <f>HLOOKUP(I122,ElecAvoidedCostsWOCC!$A$5:$Q$50,T122+1,FALSE)</f>
        <v>#N/A</v>
      </c>
      <c r="AI122" s="44" t="e">
        <f t="shared" si="84"/>
        <v>#N/A</v>
      </c>
      <c r="AJ122" s="44" t="e">
        <f t="shared" si="85"/>
        <v>#N/A</v>
      </c>
      <c r="AK122" s="44" t="e">
        <f>HLOOKUP(I122,ElecAvoidedCostsWOCC!$A$5:$Q$50,G122+1,FALSE)*J122*L122</f>
        <v>#N/A</v>
      </c>
      <c r="AL122" s="44" t="e">
        <f t="shared" si="86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87"/>
        <v>0</v>
      </c>
      <c r="AO122" s="47">
        <f t="shared" si="88"/>
        <v>0</v>
      </c>
      <c r="AP122" s="47" t="e">
        <f t="shared" si="89"/>
        <v>#DIV/0!</v>
      </c>
    </row>
    <row r="123" spans="2:42" x14ac:dyDescent="0.35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71"/>
        <v>0</v>
      </c>
      <c r="U123" s="47">
        <f t="shared" si="72"/>
        <v>0</v>
      </c>
      <c r="V123" s="48">
        <f t="shared" si="73"/>
        <v>0</v>
      </c>
      <c r="W123" s="49">
        <f t="shared" si="74"/>
        <v>0</v>
      </c>
      <c r="X123" s="44">
        <f t="shared" si="75"/>
        <v>0</v>
      </c>
      <c r="Y123" s="44">
        <f t="shared" si="76"/>
        <v>0</v>
      </c>
      <c r="Z123" s="44">
        <f t="shared" si="77"/>
        <v>0</v>
      </c>
      <c r="AA123" s="50">
        <f t="shared" si="78"/>
        <v>0</v>
      </c>
      <c r="AB123" s="51">
        <f t="shared" si="79"/>
        <v>0</v>
      </c>
      <c r="AC123" s="44">
        <f t="shared" si="80"/>
        <v>0</v>
      </c>
      <c r="AD123" s="44">
        <f t="shared" si="81"/>
        <v>0</v>
      </c>
      <c r="AE123" s="44">
        <f t="shared" si="82"/>
        <v>0</v>
      </c>
      <c r="AF123" s="52" t="e">
        <f>HLOOKUP(I123,ElecAvoidedCostsWOCC!$A$5:$Q$50,G123+1,FALSE)</f>
        <v>#N/A</v>
      </c>
      <c r="AG123" s="44" t="e">
        <f t="shared" si="83"/>
        <v>#N/A</v>
      </c>
      <c r="AH123" s="52" t="e">
        <f>HLOOKUP(I123,ElecAvoidedCostsWOCC!$A$5:$Q$50,T123+1,FALSE)</f>
        <v>#N/A</v>
      </c>
      <c r="AI123" s="44" t="e">
        <f t="shared" si="84"/>
        <v>#N/A</v>
      </c>
      <c r="AJ123" s="44" t="e">
        <f t="shared" si="85"/>
        <v>#N/A</v>
      </c>
      <c r="AK123" s="44" t="e">
        <f>HLOOKUP(I123,ElecAvoidedCostsWOCC!$A$5:$Q$50,G123+1,FALSE)*J123*L123</f>
        <v>#N/A</v>
      </c>
      <c r="AL123" s="44" t="e">
        <f t="shared" si="86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87"/>
        <v>0</v>
      </c>
      <c r="AO123" s="47">
        <f t="shared" si="88"/>
        <v>0</v>
      </c>
      <c r="AP123" s="47" t="e">
        <f t="shared" si="89"/>
        <v>#DIV/0!</v>
      </c>
    </row>
    <row r="124" spans="2:42" x14ac:dyDescent="0.35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71"/>
        <v>0</v>
      </c>
      <c r="U124" s="47">
        <f t="shared" si="72"/>
        <v>0</v>
      </c>
      <c r="V124" s="48">
        <f t="shared" si="73"/>
        <v>0</v>
      </c>
      <c r="W124" s="49">
        <f t="shared" si="74"/>
        <v>0</v>
      </c>
      <c r="X124" s="44">
        <f t="shared" si="75"/>
        <v>0</v>
      </c>
      <c r="Y124" s="44">
        <f t="shared" si="76"/>
        <v>0</v>
      </c>
      <c r="Z124" s="44">
        <f t="shared" si="77"/>
        <v>0</v>
      </c>
      <c r="AA124" s="50">
        <f t="shared" si="78"/>
        <v>0</v>
      </c>
      <c r="AB124" s="51">
        <f t="shared" si="79"/>
        <v>0</v>
      </c>
      <c r="AC124" s="44">
        <f t="shared" si="80"/>
        <v>0</v>
      </c>
      <c r="AD124" s="44">
        <f t="shared" si="81"/>
        <v>0</v>
      </c>
      <c r="AE124" s="44">
        <f t="shared" si="82"/>
        <v>0</v>
      </c>
      <c r="AF124" s="52" t="e">
        <f>HLOOKUP(I124,ElecAvoidedCostsWOCC!$A$5:$Q$50,G124+1,FALSE)</f>
        <v>#N/A</v>
      </c>
      <c r="AG124" s="44" t="e">
        <f t="shared" si="83"/>
        <v>#N/A</v>
      </c>
      <c r="AH124" s="52" t="e">
        <f>HLOOKUP(I124,ElecAvoidedCostsWOCC!$A$5:$Q$50,T124+1,FALSE)</f>
        <v>#N/A</v>
      </c>
      <c r="AI124" s="44" t="e">
        <f t="shared" si="84"/>
        <v>#N/A</v>
      </c>
      <c r="AJ124" s="44" t="e">
        <f t="shared" si="85"/>
        <v>#N/A</v>
      </c>
      <c r="AK124" s="44" t="e">
        <f>HLOOKUP(I124,ElecAvoidedCostsWOCC!$A$5:$Q$50,G124+1,FALSE)*J124*L124</f>
        <v>#N/A</v>
      </c>
      <c r="AL124" s="44" t="e">
        <f t="shared" si="86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87"/>
        <v>0</v>
      </c>
      <c r="AO124" s="47">
        <f t="shared" si="88"/>
        <v>0</v>
      </c>
      <c r="AP124" s="47" t="e">
        <f t="shared" si="89"/>
        <v>#DIV/0!</v>
      </c>
    </row>
    <row r="125" spans="2:42" x14ac:dyDescent="0.35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71"/>
        <v>0</v>
      </c>
      <c r="U125" s="47">
        <f t="shared" si="72"/>
        <v>0</v>
      </c>
      <c r="V125" s="48">
        <f t="shared" si="73"/>
        <v>0</v>
      </c>
      <c r="W125" s="49">
        <f t="shared" si="74"/>
        <v>0</v>
      </c>
      <c r="X125" s="44">
        <f t="shared" si="75"/>
        <v>0</v>
      </c>
      <c r="Y125" s="44">
        <f t="shared" si="76"/>
        <v>0</v>
      </c>
      <c r="Z125" s="44">
        <f t="shared" si="77"/>
        <v>0</v>
      </c>
      <c r="AA125" s="50">
        <f t="shared" si="78"/>
        <v>0</v>
      </c>
      <c r="AB125" s="51">
        <f t="shared" si="79"/>
        <v>0</v>
      </c>
      <c r="AC125" s="44">
        <f t="shared" si="80"/>
        <v>0</v>
      </c>
      <c r="AD125" s="44">
        <f t="shared" si="81"/>
        <v>0</v>
      </c>
      <c r="AE125" s="44">
        <f t="shared" si="82"/>
        <v>0</v>
      </c>
      <c r="AF125" s="52" t="e">
        <f>HLOOKUP(I125,ElecAvoidedCostsWOCC!$A$5:$Q$50,G125+1,FALSE)</f>
        <v>#N/A</v>
      </c>
      <c r="AG125" s="44" t="e">
        <f t="shared" si="83"/>
        <v>#N/A</v>
      </c>
      <c r="AH125" s="52" t="e">
        <f>HLOOKUP(I125,ElecAvoidedCostsWOCC!$A$5:$Q$50,T125+1,FALSE)</f>
        <v>#N/A</v>
      </c>
      <c r="AI125" s="44" t="e">
        <f t="shared" si="84"/>
        <v>#N/A</v>
      </c>
      <c r="AJ125" s="44" t="e">
        <f t="shared" si="85"/>
        <v>#N/A</v>
      </c>
      <c r="AK125" s="44" t="e">
        <f>HLOOKUP(I125,ElecAvoidedCostsWOCC!$A$5:$Q$50,G125+1,FALSE)*J125*L125</f>
        <v>#N/A</v>
      </c>
      <c r="AL125" s="44" t="e">
        <f t="shared" si="86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87"/>
        <v>0</v>
      </c>
      <c r="AO125" s="47">
        <f t="shared" si="88"/>
        <v>0</v>
      </c>
      <c r="AP125" s="47" t="e">
        <f t="shared" si="89"/>
        <v>#DIV/0!</v>
      </c>
    </row>
    <row r="126" spans="2:42" x14ac:dyDescent="0.35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71"/>
        <v>0</v>
      </c>
      <c r="U126" s="47">
        <f t="shared" si="72"/>
        <v>0</v>
      </c>
      <c r="V126" s="48">
        <f t="shared" si="73"/>
        <v>0</v>
      </c>
      <c r="W126" s="49">
        <f t="shared" si="74"/>
        <v>0</v>
      </c>
      <c r="X126" s="44">
        <f t="shared" si="75"/>
        <v>0</v>
      </c>
      <c r="Y126" s="44">
        <f t="shared" si="76"/>
        <v>0</v>
      </c>
      <c r="Z126" s="44">
        <f t="shared" si="77"/>
        <v>0</v>
      </c>
      <c r="AA126" s="50">
        <f t="shared" si="78"/>
        <v>0</v>
      </c>
      <c r="AB126" s="51">
        <f t="shared" si="79"/>
        <v>0</v>
      </c>
      <c r="AC126" s="44">
        <f t="shared" si="80"/>
        <v>0</v>
      </c>
      <c r="AD126" s="44">
        <f t="shared" si="81"/>
        <v>0</v>
      </c>
      <c r="AE126" s="44">
        <f t="shared" si="82"/>
        <v>0</v>
      </c>
      <c r="AF126" s="52" t="e">
        <f>HLOOKUP(I126,ElecAvoidedCostsWOCC!$A$5:$Q$50,G126+1,FALSE)</f>
        <v>#N/A</v>
      </c>
      <c r="AG126" s="44" t="e">
        <f t="shared" si="83"/>
        <v>#N/A</v>
      </c>
      <c r="AH126" s="52" t="e">
        <f>HLOOKUP(I126,ElecAvoidedCostsWOCC!$A$5:$Q$50,T126+1,FALSE)</f>
        <v>#N/A</v>
      </c>
      <c r="AI126" s="44" t="e">
        <f t="shared" si="84"/>
        <v>#N/A</v>
      </c>
      <c r="AJ126" s="44" t="e">
        <f t="shared" si="85"/>
        <v>#N/A</v>
      </c>
      <c r="AK126" s="44" t="e">
        <f>HLOOKUP(I126,ElecAvoidedCostsWOCC!$A$5:$Q$50,G126+1,FALSE)*J126*L126</f>
        <v>#N/A</v>
      </c>
      <c r="AL126" s="44" t="e">
        <f t="shared" si="86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87"/>
        <v>0</v>
      </c>
      <c r="AO126" s="47">
        <f t="shared" si="88"/>
        <v>0</v>
      </c>
      <c r="AP126" s="47" t="e">
        <f t="shared" si="89"/>
        <v>#DIV/0!</v>
      </c>
    </row>
    <row r="127" spans="2:42" x14ac:dyDescent="0.35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71"/>
        <v>0</v>
      </c>
      <c r="U127" s="47">
        <f t="shared" si="72"/>
        <v>0</v>
      </c>
      <c r="V127" s="48">
        <f t="shared" si="73"/>
        <v>0</v>
      </c>
      <c r="W127" s="49">
        <f t="shared" si="74"/>
        <v>0</v>
      </c>
      <c r="X127" s="44">
        <f t="shared" si="75"/>
        <v>0</v>
      </c>
      <c r="Y127" s="44">
        <f t="shared" si="76"/>
        <v>0</v>
      </c>
      <c r="Z127" s="44">
        <f t="shared" si="77"/>
        <v>0</v>
      </c>
      <c r="AA127" s="50">
        <f t="shared" si="78"/>
        <v>0</v>
      </c>
      <c r="AB127" s="51">
        <f t="shared" si="79"/>
        <v>0</v>
      </c>
      <c r="AC127" s="44">
        <f t="shared" si="80"/>
        <v>0</v>
      </c>
      <c r="AD127" s="44">
        <f t="shared" si="81"/>
        <v>0</v>
      </c>
      <c r="AE127" s="44">
        <f t="shared" si="82"/>
        <v>0</v>
      </c>
      <c r="AF127" s="52" t="e">
        <f>HLOOKUP(I127,ElecAvoidedCostsWOCC!$A$5:$Q$50,G127+1,FALSE)</f>
        <v>#N/A</v>
      </c>
      <c r="AG127" s="44" t="e">
        <f t="shared" si="83"/>
        <v>#N/A</v>
      </c>
      <c r="AH127" s="52" t="e">
        <f>HLOOKUP(I127,ElecAvoidedCostsWOCC!$A$5:$Q$50,T127+1,FALSE)</f>
        <v>#N/A</v>
      </c>
      <c r="AI127" s="44" t="e">
        <f t="shared" si="84"/>
        <v>#N/A</v>
      </c>
      <c r="AJ127" s="44" t="e">
        <f t="shared" si="85"/>
        <v>#N/A</v>
      </c>
      <c r="AK127" s="44" t="e">
        <f>HLOOKUP(I127,ElecAvoidedCostsWOCC!$A$5:$Q$50,G127+1,FALSE)*J127*L127</f>
        <v>#N/A</v>
      </c>
      <c r="AL127" s="44" t="e">
        <f t="shared" si="86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87"/>
        <v>0</v>
      </c>
      <c r="AO127" s="47">
        <f t="shared" si="88"/>
        <v>0</v>
      </c>
      <c r="AP127" s="47" t="e">
        <f t="shared" si="89"/>
        <v>#DIV/0!</v>
      </c>
    </row>
    <row r="128" spans="2:42" x14ac:dyDescent="0.35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71"/>
        <v>0</v>
      </c>
      <c r="U128" s="47">
        <f t="shared" si="72"/>
        <v>0</v>
      </c>
      <c r="V128" s="48">
        <f t="shared" si="73"/>
        <v>0</v>
      </c>
      <c r="W128" s="49">
        <f t="shared" si="74"/>
        <v>0</v>
      </c>
      <c r="X128" s="44">
        <f t="shared" si="75"/>
        <v>0</v>
      </c>
      <c r="Y128" s="44">
        <f t="shared" si="76"/>
        <v>0</v>
      </c>
      <c r="Z128" s="44">
        <f t="shared" si="77"/>
        <v>0</v>
      </c>
      <c r="AA128" s="50">
        <f t="shared" si="78"/>
        <v>0</v>
      </c>
      <c r="AB128" s="51">
        <f t="shared" si="79"/>
        <v>0</v>
      </c>
      <c r="AC128" s="44">
        <f t="shared" si="80"/>
        <v>0</v>
      </c>
      <c r="AD128" s="44">
        <f t="shared" si="81"/>
        <v>0</v>
      </c>
      <c r="AE128" s="44">
        <f t="shared" si="82"/>
        <v>0</v>
      </c>
      <c r="AF128" s="52" t="e">
        <f>HLOOKUP(I128,ElecAvoidedCostsWOCC!$A$5:$Q$50,G128+1,FALSE)</f>
        <v>#N/A</v>
      </c>
      <c r="AG128" s="44" t="e">
        <f t="shared" si="83"/>
        <v>#N/A</v>
      </c>
      <c r="AH128" s="52" t="e">
        <f>HLOOKUP(I128,ElecAvoidedCostsWOCC!$A$5:$Q$50,T128+1,FALSE)</f>
        <v>#N/A</v>
      </c>
      <c r="AI128" s="44" t="e">
        <f t="shared" si="84"/>
        <v>#N/A</v>
      </c>
      <c r="AJ128" s="44" t="e">
        <f t="shared" si="85"/>
        <v>#N/A</v>
      </c>
      <c r="AK128" s="44" t="e">
        <f>HLOOKUP(I128,ElecAvoidedCostsWOCC!$A$5:$Q$50,G128+1,FALSE)*J128*L128</f>
        <v>#N/A</v>
      </c>
      <c r="AL128" s="44" t="e">
        <f t="shared" si="86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87"/>
        <v>0</v>
      </c>
      <c r="AO128" s="47">
        <f t="shared" si="88"/>
        <v>0</v>
      </c>
      <c r="AP128" s="47" t="e">
        <f t="shared" si="89"/>
        <v>#DIV/0!</v>
      </c>
    </row>
    <row r="129" spans="2:42" x14ac:dyDescent="0.35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71"/>
        <v>0</v>
      </c>
      <c r="U129" s="47">
        <f t="shared" si="72"/>
        <v>0</v>
      </c>
      <c r="V129" s="48">
        <f t="shared" si="73"/>
        <v>0</v>
      </c>
      <c r="W129" s="49">
        <f t="shared" si="74"/>
        <v>0</v>
      </c>
      <c r="X129" s="44">
        <f t="shared" si="75"/>
        <v>0</v>
      </c>
      <c r="Y129" s="44">
        <f t="shared" si="76"/>
        <v>0</v>
      </c>
      <c r="Z129" s="44">
        <f t="shared" si="77"/>
        <v>0</v>
      </c>
      <c r="AA129" s="50">
        <f t="shared" si="78"/>
        <v>0</v>
      </c>
      <c r="AB129" s="51">
        <f t="shared" si="79"/>
        <v>0</v>
      </c>
      <c r="AC129" s="44">
        <f t="shared" si="80"/>
        <v>0</v>
      </c>
      <c r="AD129" s="44">
        <f t="shared" si="81"/>
        <v>0</v>
      </c>
      <c r="AE129" s="44">
        <f t="shared" si="82"/>
        <v>0</v>
      </c>
      <c r="AF129" s="52" t="e">
        <f>HLOOKUP(I129,ElecAvoidedCostsWOCC!$A$5:$Q$50,G129+1,FALSE)</f>
        <v>#N/A</v>
      </c>
      <c r="AG129" s="44" t="e">
        <f t="shared" si="83"/>
        <v>#N/A</v>
      </c>
      <c r="AH129" s="52" t="e">
        <f>HLOOKUP(I129,ElecAvoidedCostsWOCC!$A$5:$Q$50,T129+1,FALSE)</f>
        <v>#N/A</v>
      </c>
      <c r="AI129" s="44" t="e">
        <f t="shared" si="84"/>
        <v>#N/A</v>
      </c>
      <c r="AJ129" s="44" t="e">
        <f t="shared" si="85"/>
        <v>#N/A</v>
      </c>
      <c r="AK129" s="44" t="e">
        <f>HLOOKUP(I129,ElecAvoidedCostsWOCC!$A$5:$Q$50,G129+1,FALSE)*J129*L129</f>
        <v>#N/A</v>
      </c>
      <c r="AL129" s="44" t="e">
        <f t="shared" si="86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87"/>
        <v>0</v>
      </c>
      <c r="AO129" s="47">
        <f t="shared" si="88"/>
        <v>0</v>
      </c>
      <c r="AP129" s="47" t="e">
        <f t="shared" si="89"/>
        <v>#DIV/0!</v>
      </c>
    </row>
    <row r="130" spans="2:42" x14ac:dyDescent="0.35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71"/>
        <v>0</v>
      </c>
      <c r="U130" s="47">
        <f t="shared" si="72"/>
        <v>0</v>
      </c>
      <c r="V130" s="48">
        <f t="shared" si="73"/>
        <v>0</v>
      </c>
      <c r="W130" s="49">
        <f t="shared" si="74"/>
        <v>0</v>
      </c>
      <c r="X130" s="44">
        <f t="shared" si="75"/>
        <v>0</v>
      </c>
      <c r="Y130" s="44">
        <f t="shared" si="76"/>
        <v>0</v>
      </c>
      <c r="Z130" s="44">
        <f t="shared" si="77"/>
        <v>0</v>
      </c>
      <c r="AA130" s="50">
        <f t="shared" si="78"/>
        <v>0</v>
      </c>
      <c r="AB130" s="51">
        <f t="shared" si="79"/>
        <v>0</v>
      </c>
      <c r="AC130" s="44">
        <f t="shared" si="80"/>
        <v>0</v>
      </c>
      <c r="AD130" s="44">
        <f t="shared" si="81"/>
        <v>0</v>
      </c>
      <c r="AE130" s="44">
        <f t="shared" si="82"/>
        <v>0</v>
      </c>
      <c r="AF130" s="52" t="e">
        <f>HLOOKUP(I130,ElecAvoidedCostsWOCC!$A$5:$Q$50,G130+1,FALSE)</f>
        <v>#N/A</v>
      </c>
      <c r="AG130" s="44" t="e">
        <f t="shared" si="83"/>
        <v>#N/A</v>
      </c>
      <c r="AH130" s="52" t="e">
        <f>HLOOKUP(I130,ElecAvoidedCostsWOCC!$A$5:$Q$50,T130+1,FALSE)</f>
        <v>#N/A</v>
      </c>
      <c r="AI130" s="44" t="e">
        <f t="shared" si="84"/>
        <v>#N/A</v>
      </c>
      <c r="AJ130" s="44" t="e">
        <f t="shared" si="85"/>
        <v>#N/A</v>
      </c>
      <c r="AK130" s="44" t="e">
        <f>HLOOKUP(I130,ElecAvoidedCostsWOCC!$A$5:$Q$50,G130+1,FALSE)*J130*L130</f>
        <v>#N/A</v>
      </c>
      <c r="AL130" s="44" t="e">
        <f t="shared" si="86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87"/>
        <v>0</v>
      </c>
      <c r="AO130" s="47">
        <f t="shared" si="88"/>
        <v>0</v>
      </c>
      <c r="AP130" s="47" t="e">
        <f t="shared" si="89"/>
        <v>#DIV/0!</v>
      </c>
    </row>
  </sheetData>
  <autoFilter ref="B4:AP130"/>
  <conditionalFormatting sqref="J5:L130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30 R5:S130">
    <cfRule type="expression" dxfId="192" priority="2">
      <formula>ISTEXT(M5)</formula>
    </cfRule>
  </conditionalFormatting>
  <conditionalFormatting sqref="M5:N130 R5:S130">
    <cfRule type="notContainsBlanks" dxfId="191" priority="3">
      <formula>LEN(TRIM(M5))&gt;0</formula>
    </cfRule>
  </conditionalFormatting>
  <conditionalFormatting sqref="R5:S130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7" sqref="F1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18230718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18230718</v>
      </c>
      <c r="D5" s="61" t="s">
        <v>125</v>
      </c>
      <c r="E5" s="38" t="s">
        <v>1482</v>
      </c>
      <c r="F5" s="517" t="s">
        <v>1483</v>
      </c>
      <c r="G5" s="39">
        <v>10</v>
      </c>
      <c r="H5" s="39"/>
      <c r="I5" s="40" t="s">
        <v>266</v>
      </c>
      <c r="J5" s="41">
        <v>1.7</v>
      </c>
      <c r="K5" s="41">
        <v>501</v>
      </c>
      <c r="L5" s="41"/>
      <c r="M5" s="42">
        <v>200</v>
      </c>
      <c r="N5" s="42">
        <v>69.599999999999994</v>
      </c>
      <c r="O5" s="43">
        <v>851.7</v>
      </c>
      <c r="P5" s="44">
        <v>800</v>
      </c>
      <c r="Q5" s="44">
        <v>118.32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1.3085609044222325E-2</v>
      </c>
      <c r="V5" s="48">
        <f t="shared" ref="V5:V24" si="2">N5-M5</f>
        <v>-130.4</v>
      </c>
      <c r="W5" s="49">
        <f t="shared" ref="W5:W24" si="3">(O5/A$10)</f>
        <v>1.3085609044222325E-3</v>
      </c>
      <c r="X5" s="44">
        <f t="shared" ref="X5:X24" si="4">W5*A$8</f>
        <v>121.71614583627813</v>
      </c>
      <c r="Y5" s="44">
        <f t="shared" ref="Y5:Y24" si="5">Q5-P5</f>
        <v>-681.68000000000006</v>
      </c>
      <c r="Z5" s="44">
        <f t="shared" ref="Z5:Z24" si="6">X5+(A$6*W5)</f>
        <v>304.76132220300144</v>
      </c>
      <c r="AA5" s="50">
        <f t="shared" ref="AA5:AA24" si="7">Q5+X5</f>
        <v>240.03614583627814</v>
      </c>
      <c r="AB5" s="51">
        <f t="shared" ref="AB5:AC20" si="8">Z5/(1+ElecDiscountRate)^1</f>
        <v>285.35704326123727</v>
      </c>
      <c r="AC5" s="44">
        <f t="shared" si="8"/>
        <v>224.75294553958625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0.92697743702634838</v>
      </c>
      <c r="AG5" s="44">
        <f t="shared" ref="AG5:AG24" si="10">AF5*J5*K5</f>
        <v>789.50668311534093</v>
      </c>
      <c r="AH5" s="52">
        <f>HLOOKUP(I5,ElecAvoidedCostsWOCC!$A$5:$Q$50,T5+1,FALSE)</f>
        <v>0.92697743702634838</v>
      </c>
      <c r="AI5" s="44">
        <f t="shared" ref="AI5:AI24" si="11">AH5*J5*L5</f>
        <v>0</v>
      </c>
      <c r="AJ5" s="44">
        <f>AG5+AI5</f>
        <v>789.50668311534093</v>
      </c>
      <c r="AK5" s="44">
        <f>HLOOKUP(I5,ElecAvoidedCostsWOCC!$A$5:$Q$50,G5+1,FALSE)*J5*L5</f>
        <v>0</v>
      </c>
      <c r="AL5" s="44">
        <f>AG5+AI5-AK5</f>
        <v>789.50668311534093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789.50668311534093</v>
      </c>
      <c r="AN5" s="48">
        <f>AM5*1.1+AD5+AE5</f>
        <v>868.45735142687511</v>
      </c>
      <c r="AO5" s="47">
        <f>IFERROR(AM5/AB5,0)</f>
        <v>2.766732771311228</v>
      </c>
      <c r="AP5" s="47">
        <f>AN5/AC5</f>
        <v>3.8640532578644748</v>
      </c>
    </row>
    <row r="6" spans="1:42" ht="13.5" customHeight="1" x14ac:dyDescent="0.35">
      <c r="A6" s="53">
        <f>SUMIF('Program Costs'!D:D,C2,'Program Costs'!L:L)</f>
        <v>139882.81</v>
      </c>
      <c r="B6" s="97" t="s">
        <v>67</v>
      </c>
      <c r="C6" s="98">
        <v>18230718</v>
      </c>
      <c r="D6" s="61" t="s">
        <v>125</v>
      </c>
      <c r="E6" s="38" t="s">
        <v>1484</v>
      </c>
      <c r="F6" s="517" t="s">
        <v>1485</v>
      </c>
      <c r="G6" s="39">
        <v>10</v>
      </c>
      <c r="H6" s="39"/>
      <c r="I6" s="40" t="s">
        <v>266</v>
      </c>
      <c r="J6" s="41">
        <v>6.41</v>
      </c>
      <c r="K6" s="41">
        <v>106</v>
      </c>
      <c r="L6" s="41"/>
      <c r="M6" s="42">
        <v>200</v>
      </c>
      <c r="N6" s="42">
        <v>69.599999999999994</v>
      </c>
      <c r="O6" s="43">
        <v>679.46</v>
      </c>
      <c r="P6" s="44">
        <v>149</v>
      </c>
      <c r="Q6" s="44">
        <v>446.14</v>
      </c>
      <c r="R6" s="45">
        <v>0</v>
      </c>
      <c r="S6" s="46">
        <v>0</v>
      </c>
      <c r="T6" s="39">
        <f t="shared" si="0"/>
        <v>10</v>
      </c>
      <c r="U6" s="47">
        <f t="shared" si="1"/>
        <v>1.0439295434058121E-2</v>
      </c>
      <c r="V6" s="48">
        <f t="shared" si="2"/>
        <v>-130.4</v>
      </c>
      <c r="W6" s="49">
        <f t="shared" si="3"/>
        <v>1.043929543405812E-3</v>
      </c>
      <c r="X6" s="44">
        <f t="shared" si="4"/>
        <v>97.101388340868311</v>
      </c>
      <c r="Y6" s="44">
        <f t="shared" si="5"/>
        <v>297.14</v>
      </c>
      <c r="Z6" s="44">
        <f t="shared" si="6"/>
        <v>243.12918631449025</v>
      </c>
      <c r="AA6" s="50">
        <f t="shared" si="7"/>
        <v>543.2413883408683</v>
      </c>
      <c r="AB6" s="51">
        <f t="shared" si="8"/>
        <v>227.64905085626427</v>
      </c>
      <c r="AC6" s="44">
        <f t="shared" si="8"/>
        <v>508.65298533789166</v>
      </c>
      <c r="AD6" s="44">
        <f t="shared" si="9"/>
        <v>0</v>
      </c>
      <c r="AE6" s="44">
        <v>0</v>
      </c>
      <c r="AF6" s="52">
        <f>HLOOKUP(I6,ElecAvoidedCostsWOCC!$A$5:$Q$50,G6+1,FALSE)</f>
        <v>0.92697743702634838</v>
      </c>
      <c r="AG6" s="44">
        <f t="shared" si="10"/>
        <v>629.84408936192267</v>
      </c>
      <c r="AH6" s="52">
        <f>HLOOKUP(I6,ElecAvoidedCostsWOCC!$A$5:$Q$50,T6+1,FALSE)</f>
        <v>0.92697743702634838</v>
      </c>
      <c r="AI6" s="44">
        <f t="shared" si="11"/>
        <v>0</v>
      </c>
      <c r="AJ6" s="44">
        <f t="shared" ref="AJ6:AJ24" si="12">AG6+AI6</f>
        <v>629.84408936192267</v>
      </c>
      <c r="AK6" s="44">
        <f>HLOOKUP(I6,ElecAvoidedCostsWOCC!$A$5:$Q$50,G6+1,FALSE)*J6*L6</f>
        <v>0</v>
      </c>
      <c r="AL6" s="44">
        <f t="shared" ref="AL6:AL24" si="13">AG6+AI6-AK6</f>
        <v>629.84408936192267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629.84408936192278</v>
      </c>
      <c r="AN6" s="48">
        <f t="shared" ref="AN6:AN24" si="14">AM6*1.1+AD6+AE6</f>
        <v>692.82849829811516</v>
      </c>
      <c r="AO6" s="47">
        <f t="shared" ref="AO6:AO24" si="15">IFERROR(AM6/AB6,0)</f>
        <v>2.7667327713112284</v>
      </c>
      <c r="AP6" s="47">
        <f t="shared" ref="AP6:AP24" si="16">AN6/AC6</f>
        <v>1.3620847970407135</v>
      </c>
    </row>
    <row r="7" spans="1:42" ht="13.5" customHeight="1" x14ac:dyDescent="0.35">
      <c r="A7" s="36" t="s">
        <v>240</v>
      </c>
      <c r="B7" s="97" t="s">
        <v>67</v>
      </c>
      <c r="C7" s="98">
        <v>18230718</v>
      </c>
      <c r="D7" s="61" t="s">
        <v>125</v>
      </c>
      <c r="E7" s="38" t="s">
        <v>1486</v>
      </c>
      <c r="F7" s="517" t="s">
        <v>1487</v>
      </c>
      <c r="G7" s="39">
        <v>10</v>
      </c>
      <c r="H7" s="39"/>
      <c r="I7" s="40" t="s">
        <v>266</v>
      </c>
      <c r="J7" s="41">
        <v>43.62</v>
      </c>
      <c r="K7" s="41">
        <v>188</v>
      </c>
      <c r="L7" s="41"/>
      <c r="M7" s="42">
        <v>200</v>
      </c>
      <c r="N7" s="42">
        <v>69.599999999999994</v>
      </c>
      <c r="O7" s="43">
        <v>8200.56</v>
      </c>
      <c r="P7" s="44">
        <v>768</v>
      </c>
      <c r="Q7" s="44">
        <v>3035.95</v>
      </c>
      <c r="R7" s="45">
        <v>0</v>
      </c>
      <c r="S7" s="46">
        <v>0</v>
      </c>
      <c r="T7" s="39">
        <f t="shared" si="0"/>
        <v>10</v>
      </c>
      <c r="U7" s="47">
        <f t="shared" si="1"/>
        <v>0.12599427275295036</v>
      </c>
      <c r="V7" s="48">
        <f t="shared" si="2"/>
        <v>-130.4</v>
      </c>
      <c r="W7" s="49">
        <f t="shared" si="3"/>
        <v>1.2599427275295035E-2</v>
      </c>
      <c r="X7" s="44">
        <f t="shared" si="4"/>
        <v>1171.9391298569319</v>
      </c>
      <c r="Y7" s="44">
        <f t="shared" si="5"/>
        <v>2267.9499999999998</v>
      </c>
      <c r="Z7" s="44">
        <f t="shared" si="6"/>
        <v>2934.3824215158447</v>
      </c>
      <c r="AA7" s="50">
        <f t="shared" si="7"/>
        <v>4207.8891298569315</v>
      </c>
      <c r="AB7" s="51">
        <f t="shared" si="8"/>
        <v>2747.5490838163337</v>
      </c>
      <c r="AC7" s="44">
        <f t="shared" si="8"/>
        <v>3939.9710953716585</v>
      </c>
      <c r="AD7" s="44">
        <f t="shared" si="9"/>
        <v>0</v>
      </c>
      <c r="AE7" s="44">
        <v>0</v>
      </c>
      <c r="AF7" s="52">
        <f>HLOOKUP(I7,ElecAvoidedCostsWOCC!$A$5:$Q$50,G7+1,FALSE)</f>
        <v>0.92697743702634838</v>
      </c>
      <c r="AG7" s="44">
        <f t="shared" si="10"/>
        <v>7601.7340909807917</v>
      </c>
      <c r="AH7" s="52">
        <f>HLOOKUP(I7,ElecAvoidedCostsWOCC!$A$5:$Q$50,T7+1,FALSE)</f>
        <v>0.92697743702634838</v>
      </c>
      <c r="AI7" s="44">
        <f t="shared" si="11"/>
        <v>0</v>
      </c>
      <c r="AJ7" s="44">
        <f t="shared" si="12"/>
        <v>7601.7340909807917</v>
      </c>
      <c r="AK7" s="44">
        <f>HLOOKUP(I7,ElecAvoidedCostsWOCC!$A$5:$Q$50,G7+1,FALSE)*J7*L7</f>
        <v>0</v>
      </c>
      <c r="AL7" s="44">
        <f t="shared" si="13"/>
        <v>7601.7340909807917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7601.7340909807908</v>
      </c>
      <c r="AN7" s="48">
        <f t="shared" si="14"/>
        <v>8361.9075000788707</v>
      </c>
      <c r="AO7" s="47">
        <f t="shared" si="15"/>
        <v>2.766732771311228</v>
      </c>
      <c r="AP7" s="47">
        <f t="shared" si="16"/>
        <v>2.1223271180597556</v>
      </c>
    </row>
    <row r="8" spans="1:42" ht="13.5" customHeight="1" x14ac:dyDescent="0.35">
      <c r="A8" s="53">
        <f>SUMIF('Program Costs'!D:D,C2,'Program Costs'!O:O)</f>
        <v>93015.26999999999</v>
      </c>
      <c r="B8" s="97" t="s">
        <v>67</v>
      </c>
      <c r="C8" s="98">
        <v>18230718</v>
      </c>
      <c r="D8" s="61" t="s">
        <v>125</v>
      </c>
      <c r="E8" s="38" t="s">
        <v>1488</v>
      </c>
      <c r="F8" s="517" t="s">
        <v>1489</v>
      </c>
      <c r="G8" s="39">
        <v>10</v>
      </c>
      <c r="H8" s="39"/>
      <c r="I8" s="40" t="s">
        <v>266</v>
      </c>
      <c r="J8" s="41">
        <v>76.5</v>
      </c>
      <c r="K8" s="41">
        <v>116</v>
      </c>
      <c r="L8" s="41"/>
      <c r="M8" s="42">
        <v>200</v>
      </c>
      <c r="N8" s="42">
        <v>69.599999999999994</v>
      </c>
      <c r="O8" s="43">
        <v>8874</v>
      </c>
      <c r="P8" s="44">
        <v>1244.93</v>
      </c>
      <c r="Q8" s="44">
        <v>5324.4</v>
      </c>
      <c r="R8" s="45">
        <v>0</v>
      </c>
      <c r="S8" s="46">
        <v>0</v>
      </c>
      <c r="T8" s="39">
        <f t="shared" si="0"/>
        <v>10</v>
      </c>
      <c r="U8" s="47">
        <f t="shared" si="1"/>
        <v>0.13634107626914277</v>
      </c>
      <c r="V8" s="48">
        <f t="shared" si="2"/>
        <v>-130.4</v>
      </c>
      <c r="W8" s="49">
        <f t="shared" si="3"/>
        <v>1.3634107626914277E-2</v>
      </c>
      <c r="X8" s="44">
        <f t="shared" si="4"/>
        <v>1268.1802021264905</v>
      </c>
      <c r="Y8" s="44">
        <f t="shared" si="5"/>
        <v>4079.4699999999993</v>
      </c>
      <c r="Z8" s="44">
        <f t="shared" si="6"/>
        <v>3175.3574888216908</v>
      </c>
      <c r="AA8" s="50">
        <f t="shared" si="7"/>
        <v>6592.5802021264899</v>
      </c>
      <c r="AB8" s="51">
        <f t="shared" si="8"/>
        <v>2973.1811693086993</v>
      </c>
      <c r="AC8" s="44">
        <f t="shared" si="8"/>
        <v>6172.8279046128182</v>
      </c>
      <c r="AD8" s="44">
        <f t="shared" si="9"/>
        <v>0</v>
      </c>
      <c r="AE8" s="44">
        <v>0</v>
      </c>
      <c r="AF8" s="52">
        <f>HLOOKUP(I8,ElecAvoidedCostsWOCC!$A$5:$Q$50,G8+1,FALSE)</f>
        <v>0.92697743702634838</v>
      </c>
      <c r="AG8" s="44">
        <f t="shared" si="10"/>
        <v>8225.9977761718164</v>
      </c>
      <c r="AH8" s="52">
        <f>HLOOKUP(I8,ElecAvoidedCostsWOCC!$A$5:$Q$50,T8+1,FALSE)</f>
        <v>0.92697743702634838</v>
      </c>
      <c r="AI8" s="44">
        <f t="shared" si="11"/>
        <v>0</v>
      </c>
      <c r="AJ8" s="44">
        <f t="shared" si="12"/>
        <v>8225.9977761718164</v>
      </c>
      <c r="AK8" s="44">
        <f>HLOOKUP(I8,ElecAvoidedCostsWOCC!$A$5:$Q$50,G8+1,FALSE)*J8*L8</f>
        <v>0</v>
      </c>
      <c r="AL8" s="44">
        <f t="shared" si="13"/>
        <v>8225.9977761718164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8225.9977761718164</v>
      </c>
      <c r="AN8" s="48">
        <f t="shared" si="14"/>
        <v>9048.597553788999</v>
      </c>
      <c r="AO8" s="47">
        <f t="shared" si="15"/>
        <v>2.7667327713112284</v>
      </c>
      <c r="AP8" s="47">
        <f t="shared" si="16"/>
        <v>1.4658755587576291</v>
      </c>
    </row>
    <row r="9" spans="1:42" ht="13.5" customHeight="1" x14ac:dyDescent="0.35">
      <c r="A9" s="36" t="s">
        <v>242</v>
      </c>
      <c r="B9" s="97" t="s">
        <v>67</v>
      </c>
      <c r="C9" s="98">
        <v>18230718</v>
      </c>
      <c r="D9" s="61" t="s">
        <v>125</v>
      </c>
      <c r="E9" s="38" t="s">
        <v>1490</v>
      </c>
      <c r="F9" s="517" t="s">
        <v>1491</v>
      </c>
      <c r="G9" s="39">
        <v>10</v>
      </c>
      <c r="H9" s="39"/>
      <c r="I9" s="40" t="s">
        <v>266</v>
      </c>
      <c r="J9" s="41">
        <v>58.23</v>
      </c>
      <c r="K9" s="41">
        <v>51</v>
      </c>
      <c r="L9" s="41"/>
      <c r="M9" s="42">
        <v>200</v>
      </c>
      <c r="N9" s="42">
        <v>69.599999999999994</v>
      </c>
      <c r="O9" s="43">
        <v>2969.73</v>
      </c>
      <c r="P9" s="44">
        <v>1685.88</v>
      </c>
      <c r="Q9" s="44">
        <v>4052.81</v>
      </c>
      <c r="R9" s="45">
        <v>0</v>
      </c>
      <c r="S9" s="46">
        <v>0</v>
      </c>
      <c r="T9" s="39">
        <f t="shared" si="0"/>
        <v>10</v>
      </c>
      <c r="U9" s="47">
        <f t="shared" si="1"/>
        <v>4.5627246385932088E-2</v>
      </c>
      <c r="V9" s="48">
        <f t="shared" si="2"/>
        <v>-130.4</v>
      </c>
      <c r="W9" s="49">
        <f t="shared" si="3"/>
        <v>4.5627246385932085E-3</v>
      </c>
      <c r="X9" s="44">
        <f t="shared" si="4"/>
        <v>424.40306419439963</v>
      </c>
      <c r="Y9" s="44">
        <f t="shared" si="5"/>
        <v>2366.9299999999998</v>
      </c>
      <c r="Z9" s="44">
        <f t="shared" si="6"/>
        <v>1062.6498078970521</v>
      </c>
      <c r="AA9" s="50">
        <f t="shared" si="7"/>
        <v>4477.2130641943995</v>
      </c>
      <c r="AB9" s="51">
        <f t="shared" si="8"/>
        <v>994.99045683244572</v>
      </c>
      <c r="AC9" s="44">
        <f t="shared" si="8"/>
        <v>4192.1470638524333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0.92697743702634838</v>
      </c>
      <c r="AG9" s="44">
        <f t="shared" si="10"/>
        <v>2752.8727040602575</v>
      </c>
      <c r="AH9" s="52">
        <f>HLOOKUP(I9,ElecAvoidedCostsWOCC!$A$5:$Q$50,T9+1,FALSE)</f>
        <v>0.92697743702634838</v>
      </c>
      <c r="AI9" s="44">
        <f t="shared" si="11"/>
        <v>0</v>
      </c>
      <c r="AJ9" s="44">
        <f t="shared" si="12"/>
        <v>2752.8727040602575</v>
      </c>
      <c r="AK9" s="44">
        <f>HLOOKUP(I9,ElecAvoidedCostsWOCC!$A$5:$Q$50,G9+1,FALSE)*J9*L9</f>
        <v>0</v>
      </c>
      <c r="AL9" s="44">
        <f t="shared" si="13"/>
        <v>2752.8727040602575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2752.8727040602571</v>
      </c>
      <c r="AN9" s="48">
        <f t="shared" si="14"/>
        <v>3028.1599744662831</v>
      </c>
      <c r="AO9" s="47">
        <f t="shared" si="15"/>
        <v>2.766732771311228</v>
      </c>
      <c r="AP9" s="47">
        <f t="shared" si="16"/>
        <v>0.72234106493475736</v>
      </c>
    </row>
    <row r="10" spans="1:42" ht="13.5" customHeight="1" x14ac:dyDescent="0.35">
      <c r="A10" s="54">
        <f>SUM(O5:O999)</f>
        <v>650867.67999999993</v>
      </c>
      <c r="B10" s="97" t="s">
        <v>67</v>
      </c>
      <c r="C10" s="98">
        <v>18230718</v>
      </c>
      <c r="D10" s="61" t="s">
        <v>125</v>
      </c>
      <c r="E10" s="38" t="s">
        <v>1492</v>
      </c>
      <c r="F10" s="517" t="s">
        <v>1493</v>
      </c>
      <c r="G10" s="39">
        <v>15</v>
      </c>
      <c r="H10" s="39"/>
      <c r="I10" s="40" t="s">
        <v>266</v>
      </c>
      <c r="J10" s="41">
        <v>12.07</v>
      </c>
      <c r="K10" s="41">
        <v>1589</v>
      </c>
      <c r="L10" s="41"/>
      <c r="M10" s="42">
        <v>500</v>
      </c>
      <c r="N10" s="42">
        <v>2115.35</v>
      </c>
      <c r="O10" s="43">
        <v>19179.23</v>
      </c>
      <c r="P10" s="44">
        <v>6035</v>
      </c>
      <c r="Q10" s="44">
        <v>25532.27</v>
      </c>
      <c r="R10" s="45">
        <v>0</v>
      </c>
      <c r="S10" s="46">
        <v>0</v>
      </c>
      <c r="T10" s="39">
        <f t="shared" si="0"/>
        <v>15</v>
      </c>
      <c r="U10" s="47">
        <f t="shared" si="1"/>
        <v>0.44200758286231084</v>
      </c>
      <c r="V10" s="48">
        <f t="shared" si="2"/>
        <v>1615.35</v>
      </c>
      <c r="W10" s="49">
        <f t="shared" si="3"/>
        <v>2.9467172190820724E-2</v>
      </c>
      <c r="X10" s="44">
        <f t="shared" si="4"/>
        <v>2740.8969774656807</v>
      </c>
      <c r="Y10" s="44">
        <f t="shared" si="5"/>
        <v>19497.27</v>
      </c>
      <c r="Z10" s="44">
        <f t="shared" si="6"/>
        <v>6862.8478262715398</v>
      </c>
      <c r="AA10" s="50">
        <f t="shared" si="7"/>
        <v>28273.16697746568</v>
      </c>
      <c r="AB10" s="51">
        <f t="shared" si="8"/>
        <v>6425.8874777823403</v>
      </c>
      <c r="AC10" s="44">
        <f t="shared" si="8"/>
        <v>26473.002787889211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1.2903205727715383</v>
      </c>
      <c r="AG10" s="44">
        <f t="shared" si="10"/>
        <v>24747.355038917074</v>
      </c>
      <c r="AH10" s="52">
        <f>HLOOKUP(I10,ElecAvoidedCostsWOCC!$A$5:$Q$50,T10+1,FALSE)</f>
        <v>1.2903205727715383</v>
      </c>
      <c r="AI10" s="44">
        <f t="shared" si="11"/>
        <v>0</v>
      </c>
      <c r="AJ10" s="44">
        <f t="shared" si="12"/>
        <v>24747.355038917074</v>
      </c>
      <c r="AK10" s="44">
        <f>HLOOKUP(I10,ElecAvoidedCostsWOCC!$A$5:$Q$50,G10+1,FALSE)*J10*L10</f>
        <v>0</v>
      </c>
      <c r="AL10" s="44">
        <f t="shared" si="13"/>
        <v>24747.355038917074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24747.355038917074</v>
      </c>
      <c r="AN10" s="48">
        <f t="shared" si="14"/>
        <v>27222.090542808783</v>
      </c>
      <c r="AO10" s="47">
        <f t="shared" si="15"/>
        <v>3.851196449437007</v>
      </c>
      <c r="AP10" s="47">
        <f t="shared" si="16"/>
        <v>1.0282962896548427</v>
      </c>
    </row>
    <row r="11" spans="1:42" ht="13.5" customHeight="1" x14ac:dyDescent="0.35">
      <c r="A11" s="36" t="s">
        <v>243</v>
      </c>
      <c r="B11" s="97" t="s">
        <v>67</v>
      </c>
      <c r="C11" s="98">
        <v>18230718</v>
      </c>
      <c r="D11" s="61" t="s">
        <v>125</v>
      </c>
      <c r="E11" s="38" t="s">
        <v>1494</v>
      </c>
      <c r="F11" s="517" t="s">
        <v>1495</v>
      </c>
      <c r="G11" s="39">
        <v>15</v>
      </c>
      <c r="H11" s="39"/>
      <c r="I11" s="40" t="s">
        <v>261</v>
      </c>
      <c r="J11" s="41">
        <v>104</v>
      </c>
      <c r="K11" s="41">
        <v>522</v>
      </c>
      <c r="L11" s="41"/>
      <c r="M11" s="42">
        <v>1000</v>
      </c>
      <c r="N11" s="42">
        <v>225.2</v>
      </c>
      <c r="O11" s="43">
        <v>54288</v>
      </c>
      <c r="P11" s="44">
        <v>8000</v>
      </c>
      <c r="Q11" s="44">
        <v>23420.799999999999</v>
      </c>
      <c r="R11" s="45">
        <v>0</v>
      </c>
      <c r="S11" s="46">
        <v>0</v>
      </c>
      <c r="T11" s="39">
        <f t="shared" si="0"/>
        <v>15</v>
      </c>
      <c r="U11" s="47">
        <f t="shared" si="1"/>
        <v>1.2511298763521335</v>
      </c>
      <c r="V11" s="48">
        <f t="shared" si="2"/>
        <v>-774.8</v>
      </c>
      <c r="W11" s="49">
        <f t="shared" si="3"/>
        <v>8.3408658423475571E-2</v>
      </c>
      <c r="X11" s="44">
        <f t="shared" si="4"/>
        <v>7758.2788835973533</v>
      </c>
      <c r="Y11" s="44">
        <f t="shared" si="5"/>
        <v>15420.8</v>
      </c>
      <c r="Z11" s="44">
        <f t="shared" si="6"/>
        <v>19425.716402203288</v>
      </c>
      <c r="AA11" s="50">
        <f t="shared" si="7"/>
        <v>31179.078883597351</v>
      </c>
      <c r="AB11" s="51">
        <f t="shared" si="8"/>
        <v>18188.87303577087</v>
      </c>
      <c r="AC11" s="44">
        <f t="shared" si="8"/>
        <v>29193.894085765307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1.0763668537425979</v>
      </c>
      <c r="AG11" s="44">
        <f t="shared" si="10"/>
        <v>58433.803755978151</v>
      </c>
      <c r="AH11" s="52">
        <f>HLOOKUP(I11,ElecAvoidedCostsWOCC!$A$5:$Q$50,T11+1,FALSE)</f>
        <v>1.0763668537425979</v>
      </c>
      <c r="AI11" s="44">
        <f t="shared" si="11"/>
        <v>0</v>
      </c>
      <c r="AJ11" s="44">
        <f t="shared" si="12"/>
        <v>58433.803755978151</v>
      </c>
      <c r="AK11" s="44">
        <f>HLOOKUP(I11,ElecAvoidedCostsWOCC!$A$5:$Q$50,G11+1,FALSE)*J11*L11</f>
        <v>0</v>
      </c>
      <c r="AL11" s="44">
        <f t="shared" si="13"/>
        <v>58433.803755978151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58433.803755978151</v>
      </c>
      <c r="AN11" s="48">
        <f t="shared" si="14"/>
        <v>64277.184131575974</v>
      </c>
      <c r="AO11" s="47">
        <f t="shared" si="15"/>
        <v>3.2126126583576786</v>
      </c>
      <c r="AP11" s="47">
        <f t="shared" si="16"/>
        <v>2.2017338263523047</v>
      </c>
    </row>
    <row r="12" spans="1:42" ht="13.5" customHeight="1" x14ac:dyDescent="0.35">
      <c r="A12" s="55">
        <f>SUM(P5:P1000)</f>
        <v>139882.81</v>
      </c>
      <c r="B12" s="97" t="s">
        <v>67</v>
      </c>
      <c r="C12" s="98">
        <v>18230718</v>
      </c>
      <c r="D12" s="61" t="s">
        <v>125</v>
      </c>
      <c r="E12" s="38" t="s">
        <v>1496</v>
      </c>
      <c r="F12" s="517" t="s">
        <v>1495</v>
      </c>
      <c r="G12" s="39">
        <v>15</v>
      </c>
      <c r="H12" s="39"/>
      <c r="I12" s="40" t="s">
        <v>261</v>
      </c>
      <c r="J12" s="41">
        <v>130</v>
      </c>
      <c r="K12" s="41">
        <v>522</v>
      </c>
      <c r="L12" s="41"/>
      <c r="M12" s="42">
        <v>1000</v>
      </c>
      <c r="N12" s="42">
        <v>225.2</v>
      </c>
      <c r="O12" s="43">
        <v>67860</v>
      </c>
      <c r="P12" s="44">
        <v>10000</v>
      </c>
      <c r="Q12" s="44">
        <v>29276</v>
      </c>
      <c r="R12" s="45">
        <v>0</v>
      </c>
      <c r="S12" s="46">
        <v>0</v>
      </c>
      <c r="T12" s="39">
        <f t="shared" si="0"/>
        <v>15</v>
      </c>
      <c r="U12" s="47">
        <f t="shared" si="1"/>
        <v>1.5639123454401671</v>
      </c>
      <c r="V12" s="48">
        <f t="shared" si="2"/>
        <v>-774.8</v>
      </c>
      <c r="W12" s="49">
        <f t="shared" si="3"/>
        <v>0.10426082302934447</v>
      </c>
      <c r="X12" s="44">
        <f t="shared" si="4"/>
        <v>9697.848604496694</v>
      </c>
      <c r="Y12" s="44">
        <f t="shared" si="5"/>
        <v>19276</v>
      </c>
      <c r="Z12" s="44">
        <f t="shared" si="6"/>
        <v>24282.145502754109</v>
      </c>
      <c r="AA12" s="50">
        <f t="shared" si="7"/>
        <v>38973.848604496692</v>
      </c>
      <c r="AB12" s="51">
        <f t="shared" si="8"/>
        <v>22736.091294713584</v>
      </c>
      <c r="AC12" s="44">
        <f t="shared" si="8"/>
        <v>36492.367607206637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1.0763668537425979</v>
      </c>
      <c r="AG12" s="44">
        <f t="shared" si="10"/>
        <v>73042.254694972697</v>
      </c>
      <c r="AH12" s="52">
        <f>HLOOKUP(I12,ElecAvoidedCostsWOCC!$A$5:$Q$50,T12+1,FALSE)</f>
        <v>1.0763668537425979</v>
      </c>
      <c r="AI12" s="44">
        <f t="shared" si="11"/>
        <v>0</v>
      </c>
      <c r="AJ12" s="44">
        <f t="shared" si="12"/>
        <v>73042.254694972697</v>
      </c>
      <c r="AK12" s="44">
        <f>HLOOKUP(I12,ElecAvoidedCostsWOCC!$A$5:$Q$50,G12+1,FALSE)*J12*L12</f>
        <v>0</v>
      </c>
      <c r="AL12" s="44">
        <f t="shared" si="13"/>
        <v>73042.254694972697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73042.254694972682</v>
      </c>
      <c r="AN12" s="48">
        <f t="shared" si="14"/>
        <v>80346.480164469962</v>
      </c>
      <c r="AO12" s="47">
        <f t="shared" si="15"/>
        <v>3.2126126583576786</v>
      </c>
      <c r="AP12" s="47">
        <f t="shared" si="16"/>
        <v>2.2017338263523047</v>
      </c>
    </row>
    <row r="13" spans="1:42" ht="13.5" customHeight="1" x14ac:dyDescent="0.35">
      <c r="A13" s="56" t="s">
        <v>246</v>
      </c>
      <c r="B13" s="97" t="s">
        <v>67</v>
      </c>
      <c r="C13" s="98">
        <v>18230718</v>
      </c>
      <c r="D13" s="61" t="s">
        <v>125</v>
      </c>
      <c r="E13" s="38" t="s">
        <v>1497</v>
      </c>
      <c r="F13" s="517" t="s">
        <v>1498</v>
      </c>
      <c r="G13" s="39">
        <v>15</v>
      </c>
      <c r="H13" s="39"/>
      <c r="I13" s="40" t="s">
        <v>261</v>
      </c>
      <c r="J13" s="41">
        <v>28.5</v>
      </c>
      <c r="K13" s="41">
        <v>522</v>
      </c>
      <c r="L13" s="41"/>
      <c r="M13" s="42">
        <v>800</v>
      </c>
      <c r="N13" s="42">
        <v>225.2</v>
      </c>
      <c r="O13" s="43">
        <v>14877</v>
      </c>
      <c r="P13" s="44">
        <v>3200</v>
      </c>
      <c r="Q13" s="44">
        <v>6418.2</v>
      </c>
      <c r="R13" s="45">
        <v>0</v>
      </c>
      <c r="S13" s="46">
        <v>0</v>
      </c>
      <c r="T13" s="39">
        <f t="shared" si="0"/>
        <v>15</v>
      </c>
      <c r="U13" s="47">
        <f t="shared" si="1"/>
        <v>0.34285770650034431</v>
      </c>
      <c r="V13" s="48">
        <f t="shared" si="2"/>
        <v>-574.79999999999995</v>
      </c>
      <c r="W13" s="49">
        <f t="shared" si="3"/>
        <v>2.2857180433356286E-2</v>
      </c>
      <c r="X13" s="44">
        <f t="shared" si="4"/>
        <v>2126.0668094473517</v>
      </c>
      <c r="Y13" s="44">
        <f t="shared" si="5"/>
        <v>3218.2</v>
      </c>
      <c r="Z13" s="44">
        <f t="shared" si="6"/>
        <v>5323.3934371422465</v>
      </c>
      <c r="AA13" s="50">
        <f t="shared" si="7"/>
        <v>8544.266809447352</v>
      </c>
      <c r="AB13" s="51">
        <f t="shared" si="8"/>
        <v>4984.4507838410545</v>
      </c>
      <c r="AC13" s="44">
        <f t="shared" si="8"/>
        <v>8000.2498215799169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1.0763668537425979</v>
      </c>
      <c r="AG13" s="44">
        <f t="shared" si="10"/>
        <v>16013.109683128629</v>
      </c>
      <c r="AH13" s="52">
        <f>HLOOKUP(I13,ElecAvoidedCostsWOCC!$A$5:$Q$50,T13+1,FALSE)</f>
        <v>1.0763668537425979</v>
      </c>
      <c r="AI13" s="44">
        <f t="shared" si="11"/>
        <v>0</v>
      </c>
      <c r="AJ13" s="44">
        <f t="shared" si="12"/>
        <v>16013.109683128629</v>
      </c>
      <c r="AK13" s="44">
        <f>HLOOKUP(I13,ElecAvoidedCostsWOCC!$A$5:$Q$50,G13+1,FALSE)*J13*L13</f>
        <v>0</v>
      </c>
      <c r="AL13" s="44">
        <f t="shared" si="13"/>
        <v>16013.109683128629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16013.109683128627</v>
      </c>
      <c r="AN13" s="48">
        <f t="shared" si="14"/>
        <v>17614.420651441491</v>
      </c>
      <c r="AO13" s="47">
        <f t="shared" si="15"/>
        <v>3.2126126583576791</v>
      </c>
      <c r="AP13" s="47">
        <f t="shared" si="16"/>
        <v>2.2017338263523043</v>
      </c>
    </row>
    <row r="14" spans="1:42" ht="13.5" customHeight="1" x14ac:dyDescent="0.35">
      <c r="A14" s="55">
        <f>SUM(Y5:Y1000)</f>
        <v>142880.72</v>
      </c>
      <c r="B14" s="97" t="s">
        <v>67</v>
      </c>
      <c r="C14" s="98">
        <v>18230718</v>
      </c>
      <c r="D14" s="61" t="s">
        <v>125</v>
      </c>
      <c r="E14" s="38" t="s">
        <v>1499</v>
      </c>
      <c r="F14" s="517" t="s">
        <v>1500</v>
      </c>
      <c r="G14" s="39">
        <v>15</v>
      </c>
      <c r="H14" s="39"/>
      <c r="I14" s="40" t="s">
        <v>261</v>
      </c>
      <c r="J14" s="41">
        <v>11</v>
      </c>
      <c r="K14" s="41">
        <v>522</v>
      </c>
      <c r="L14" s="41"/>
      <c r="M14" s="42">
        <v>500</v>
      </c>
      <c r="N14" s="42">
        <v>275</v>
      </c>
      <c r="O14" s="43">
        <v>5742</v>
      </c>
      <c r="P14" s="44">
        <v>2000</v>
      </c>
      <c r="Q14" s="44">
        <v>3025</v>
      </c>
      <c r="R14" s="45">
        <v>0</v>
      </c>
      <c r="S14" s="46">
        <v>0</v>
      </c>
      <c r="T14" s="39">
        <f t="shared" si="0"/>
        <v>15</v>
      </c>
      <c r="U14" s="47">
        <f t="shared" si="1"/>
        <v>0.13233104461416798</v>
      </c>
      <c r="V14" s="48">
        <f t="shared" si="2"/>
        <v>-225</v>
      </c>
      <c r="W14" s="49">
        <f t="shared" si="3"/>
        <v>8.8220696409445319E-3</v>
      </c>
      <c r="X14" s="44">
        <f t="shared" si="4"/>
        <v>820.58718961125862</v>
      </c>
      <c r="Y14" s="44">
        <f t="shared" si="5"/>
        <v>1025</v>
      </c>
      <c r="Z14" s="44">
        <f t="shared" si="6"/>
        <v>2054.6430810022707</v>
      </c>
      <c r="AA14" s="50">
        <f t="shared" si="7"/>
        <v>3845.5871896112585</v>
      </c>
      <c r="AB14" s="51">
        <f t="shared" si="8"/>
        <v>1923.8231095526878</v>
      </c>
      <c r="AC14" s="44">
        <f t="shared" si="8"/>
        <v>3600.737068924399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1.0763668537425979</v>
      </c>
      <c r="AG14" s="44">
        <f t="shared" si="10"/>
        <v>6180.4984741899971</v>
      </c>
      <c r="AH14" s="52">
        <f>HLOOKUP(I14,ElecAvoidedCostsWOCC!$A$5:$Q$50,T14+1,FALSE)</f>
        <v>1.0763668537425979</v>
      </c>
      <c r="AI14" s="44">
        <f t="shared" si="11"/>
        <v>0</v>
      </c>
      <c r="AJ14" s="44">
        <f t="shared" si="12"/>
        <v>6180.4984741899971</v>
      </c>
      <c r="AK14" s="44">
        <f>HLOOKUP(I14,ElecAvoidedCostsWOCC!$A$5:$Q$50,G14+1,FALSE)*J14*L14</f>
        <v>0</v>
      </c>
      <c r="AL14" s="44">
        <f t="shared" si="13"/>
        <v>6180.4984741899971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6180.4984741899962</v>
      </c>
      <c r="AN14" s="48">
        <f t="shared" si="14"/>
        <v>6798.548321608996</v>
      </c>
      <c r="AO14" s="47">
        <f t="shared" si="15"/>
        <v>3.2126126583576786</v>
      </c>
      <c r="AP14" s="47">
        <f t="shared" si="16"/>
        <v>1.8880990729044922</v>
      </c>
    </row>
    <row r="15" spans="1:42" ht="13.5" customHeight="1" x14ac:dyDescent="0.35">
      <c r="A15" s="57" t="s">
        <v>249</v>
      </c>
      <c r="B15" s="97" t="s">
        <v>67</v>
      </c>
      <c r="C15" s="98">
        <v>18230718</v>
      </c>
      <c r="D15" s="61" t="s">
        <v>125</v>
      </c>
      <c r="E15" s="38" t="s">
        <v>1501</v>
      </c>
      <c r="F15" s="517" t="s">
        <v>1502</v>
      </c>
      <c r="G15" s="39">
        <v>15</v>
      </c>
      <c r="H15" s="39"/>
      <c r="I15" s="40" t="s">
        <v>261</v>
      </c>
      <c r="J15" s="41">
        <v>60</v>
      </c>
      <c r="K15" s="41">
        <v>803</v>
      </c>
      <c r="L15" s="41"/>
      <c r="M15" s="42">
        <v>2500</v>
      </c>
      <c r="N15" s="42">
        <v>312.91000000000003</v>
      </c>
      <c r="O15" s="43">
        <v>48180</v>
      </c>
      <c r="P15" s="44">
        <v>10000</v>
      </c>
      <c r="Q15" s="44">
        <v>18774.599999999999</v>
      </c>
      <c r="R15" s="45">
        <v>0</v>
      </c>
      <c r="S15" s="46">
        <v>0</v>
      </c>
      <c r="T15" s="39">
        <f t="shared" si="0"/>
        <v>15</v>
      </c>
      <c r="U15" s="47">
        <f t="shared" si="1"/>
        <v>1.1103639375671566</v>
      </c>
      <c r="V15" s="48">
        <f t="shared" si="2"/>
        <v>-2187.09</v>
      </c>
      <c r="W15" s="49">
        <f t="shared" si="3"/>
        <v>7.4024262504477106E-2</v>
      </c>
      <c r="X15" s="44">
        <f t="shared" si="4"/>
        <v>6885.3867634048138</v>
      </c>
      <c r="Y15" s="44">
        <f t="shared" si="5"/>
        <v>8774.5999999999985</v>
      </c>
      <c r="Z15" s="44">
        <f t="shared" si="6"/>
        <v>17240.10861070871</v>
      </c>
      <c r="AA15" s="50">
        <f t="shared" si="7"/>
        <v>25659.986763404813</v>
      </c>
      <c r="AB15" s="51">
        <f t="shared" si="8"/>
        <v>16142.423792798418</v>
      </c>
      <c r="AC15" s="44">
        <f t="shared" si="8"/>
        <v>24026.204834648699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1.0763668537425979</v>
      </c>
      <c r="AG15" s="44">
        <f t="shared" si="10"/>
        <v>51859.355013318367</v>
      </c>
      <c r="AH15" s="52">
        <f>HLOOKUP(I15,ElecAvoidedCostsWOCC!$A$5:$Q$50,T15+1,FALSE)</f>
        <v>1.0763668537425979</v>
      </c>
      <c r="AI15" s="44">
        <f t="shared" si="11"/>
        <v>0</v>
      </c>
      <c r="AJ15" s="44">
        <f t="shared" si="12"/>
        <v>51859.355013318367</v>
      </c>
      <c r="AK15" s="44">
        <f>HLOOKUP(I15,ElecAvoidedCostsWOCC!$A$5:$Q$50,G15+1,FALSE)*J15*L15</f>
        <v>0</v>
      </c>
      <c r="AL15" s="44">
        <f t="shared" si="13"/>
        <v>51859.355013318367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51859.355013318367</v>
      </c>
      <c r="AN15" s="48">
        <f t="shared" si="14"/>
        <v>57045.290514650209</v>
      </c>
      <c r="AO15" s="47">
        <f t="shared" si="15"/>
        <v>3.2126126583576786</v>
      </c>
      <c r="AP15" s="47">
        <f t="shared" si="16"/>
        <v>2.3742946881225282</v>
      </c>
    </row>
    <row r="16" spans="1:42" ht="13.5" customHeight="1" x14ac:dyDescent="0.35">
      <c r="A16" s="54">
        <f>SUM(U5:U999)</f>
        <v>14.834256250056848</v>
      </c>
      <c r="B16" s="97" t="s">
        <v>67</v>
      </c>
      <c r="C16" s="98">
        <v>18230718</v>
      </c>
      <c r="D16" s="61" t="s">
        <v>125</v>
      </c>
      <c r="E16" s="38" t="s">
        <v>1503</v>
      </c>
      <c r="F16" s="517" t="s">
        <v>1504</v>
      </c>
      <c r="G16" s="39">
        <v>15</v>
      </c>
      <c r="H16" s="39"/>
      <c r="I16" s="40" t="s">
        <v>261</v>
      </c>
      <c r="J16" s="41">
        <v>47</v>
      </c>
      <c r="K16" s="41">
        <v>803</v>
      </c>
      <c r="L16" s="41"/>
      <c r="M16" s="42">
        <v>1500</v>
      </c>
      <c r="N16" s="42">
        <v>312.91000000000003</v>
      </c>
      <c r="O16" s="43">
        <v>37741</v>
      </c>
      <c r="P16" s="44">
        <v>10500</v>
      </c>
      <c r="Q16" s="44">
        <v>14706.79</v>
      </c>
      <c r="R16" s="45">
        <v>0</v>
      </c>
      <c r="S16" s="46">
        <v>0</v>
      </c>
      <c r="T16" s="39">
        <f t="shared" si="0"/>
        <v>15</v>
      </c>
      <c r="U16" s="47">
        <f t="shared" si="1"/>
        <v>0.86978508442760605</v>
      </c>
      <c r="V16" s="48">
        <f t="shared" si="2"/>
        <v>-1187.0899999999999</v>
      </c>
      <c r="W16" s="49">
        <f t="shared" si="3"/>
        <v>5.7985672295173735E-2</v>
      </c>
      <c r="X16" s="44">
        <f t="shared" si="4"/>
        <v>5393.5529646671039</v>
      </c>
      <c r="Y16" s="44">
        <f t="shared" si="5"/>
        <v>4206.7900000000009</v>
      </c>
      <c r="Z16" s="44">
        <f t="shared" si="6"/>
        <v>13504.751745055155</v>
      </c>
      <c r="AA16" s="50">
        <f t="shared" si="7"/>
        <v>20100.342964667107</v>
      </c>
      <c r="AB16" s="51">
        <f t="shared" si="8"/>
        <v>12644.898637692091</v>
      </c>
      <c r="AC16" s="44">
        <f t="shared" si="8"/>
        <v>18820.54584706658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1.0763668537425979</v>
      </c>
      <c r="AG16" s="44">
        <f t="shared" si="10"/>
        <v>40623.161427099389</v>
      </c>
      <c r="AH16" s="52">
        <f>HLOOKUP(I16,ElecAvoidedCostsWOCC!$A$5:$Q$50,T16+1,FALSE)</f>
        <v>1.0763668537425979</v>
      </c>
      <c r="AI16" s="44">
        <f t="shared" si="11"/>
        <v>0</v>
      </c>
      <c r="AJ16" s="44">
        <f t="shared" si="12"/>
        <v>40623.161427099389</v>
      </c>
      <c r="AK16" s="44">
        <f>HLOOKUP(I16,ElecAvoidedCostsWOCC!$A$5:$Q$50,G16+1,FALSE)*J16*L16</f>
        <v>0</v>
      </c>
      <c r="AL16" s="44">
        <f t="shared" si="13"/>
        <v>40623.161427099389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40623.161427099389</v>
      </c>
      <c r="AN16" s="48">
        <f t="shared" si="14"/>
        <v>44685.477569809329</v>
      </c>
      <c r="AO16" s="47">
        <f t="shared" si="15"/>
        <v>3.2126126583576795</v>
      </c>
      <c r="AP16" s="47">
        <f t="shared" si="16"/>
        <v>2.3742923256805608</v>
      </c>
    </row>
    <row r="17" spans="1:42" ht="13.5" customHeight="1" x14ac:dyDescent="0.35">
      <c r="A17" s="58" t="s">
        <v>252</v>
      </c>
      <c r="B17" s="97" t="s">
        <v>67</v>
      </c>
      <c r="C17" s="98">
        <v>18230718</v>
      </c>
      <c r="D17" s="61" t="s">
        <v>125</v>
      </c>
      <c r="E17" s="38" t="s">
        <v>1505</v>
      </c>
      <c r="F17" s="517" t="s">
        <v>1506</v>
      </c>
      <c r="G17" s="39">
        <v>15</v>
      </c>
      <c r="H17" s="39"/>
      <c r="I17" s="40" t="s">
        <v>261</v>
      </c>
      <c r="J17" s="41">
        <v>475</v>
      </c>
      <c r="K17" s="41">
        <v>803</v>
      </c>
      <c r="L17" s="41"/>
      <c r="M17" s="42">
        <v>4500</v>
      </c>
      <c r="N17" s="42">
        <v>312.91000000000003</v>
      </c>
      <c r="O17" s="43">
        <v>381425</v>
      </c>
      <c r="P17" s="44">
        <v>85500</v>
      </c>
      <c r="Q17" s="44">
        <v>148632.25</v>
      </c>
      <c r="R17" s="45">
        <v>0</v>
      </c>
      <c r="S17" s="46">
        <v>0</v>
      </c>
      <c r="T17" s="39">
        <f t="shared" si="0"/>
        <v>15</v>
      </c>
      <c r="U17" s="47">
        <f t="shared" si="1"/>
        <v>8.7903811724066561</v>
      </c>
      <c r="V17" s="48">
        <f t="shared" si="2"/>
        <v>-4187.09</v>
      </c>
      <c r="W17" s="49">
        <f t="shared" si="3"/>
        <v>0.58602541149377707</v>
      </c>
      <c r="X17" s="44">
        <f t="shared" si="4"/>
        <v>54509.311876954773</v>
      </c>
      <c r="Y17" s="44">
        <f t="shared" si="5"/>
        <v>63132.25</v>
      </c>
      <c r="Z17" s="44">
        <f t="shared" si="6"/>
        <v>136484.19316811062</v>
      </c>
      <c r="AA17" s="50">
        <f t="shared" si="7"/>
        <v>203141.56187695477</v>
      </c>
      <c r="AB17" s="51">
        <f t="shared" si="8"/>
        <v>127794.18835965413</v>
      </c>
      <c r="AC17" s="44">
        <f t="shared" si="8"/>
        <v>190207.45494096889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1.0763668537425979</v>
      </c>
      <c r="AG17" s="44">
        <f t="shared" si="10"/>
        <v>410553.22718877043</v>
      </c>
      <c r="AH17" s="52">
        <f>HLOOKUP(I17,ElecAvoidedCostsWOCC!$A$5:$Q$50,T17+1,FALSE)</f>
        <v>1.0763668537425979</v>
      </c>
      <c r="AI17" s="44">
        <f t="shared" si="11"/>
        <v>0</v>
      </c>
      <c r="AJ17" s="44">
        <f t="shared" si="12"/>
        <v>410553.22718877043</v>
      </c>
      <c r="AK17" s="44">
        <f>HLOOKUP(I17,ElecAvoidedCostsWOCC!$A$5:$Q$50,G17+1,FALSE)*J17*L17</f>
        <v>0</v>
      </c>
      <c r="AL17" s="44">
        <f t="shared" si="13"/>
        <v>410553.22718877043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410553.22718877037</v>
      </c>
      <c r="AN17" s="48">
        <f t="shared" si="14"/>
        <v>451608.54990764742</v>
      </c>
      <c r="AO17" s="47">
        <f t="shared" si="15"/>
        <v>3.2126126583576786</v>
      </c>
      <c r="AP17" s="47">
        <f t="shared" si="16"/>
        <v>2.3742946881225273</v>
      </c>
    </row>
    <row r="18" spans="1:42" ht="13.5" customHeight="1" x14ac:dyDescent="0.35">
      <c r="A18" s="59">
        <f>A6+A8</f>
        <v>232898.08</v>
      </c>
      <c r="B18" s="97" t="s">
        <v>67</v>
      </c>
      <c r="C18" s="98">
        <v>18230718</v>
      </c>
      <c r="D18" s="61" t="s">
        <v>125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 t="s">
        <v>67</v>
      </c>
      <c r="C19" s="98">
        <v>18230718</v>
      </c>
      <c r="D19" s="61" t="s">
        <v>125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375778.80000000005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3.216649555987019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2.1929567505789365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4 R5:S24">
    <cfRule type="expression" dxfId="187" priority="2">
      <formula>ISTEXT(M5)</formula>
    </cfRule>
  </conditionalFormatting>
  <conditionalFormatting sqref="M5:N24 R5:S24">
    <cfRule type="notContainsBlanks" dxfId="186" priority="3">
      <formula>LEN(TRIM(M5))&gt;0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topLeftCell="A7" zoomScale="85" zoomScaleNormal="85" workbookViewId="0">
      <selection activeCell="F28" sqref="F2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18230524</v>
      </c>
      <c r="D2" s="20" t="s">
        <v>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18230524</v>
      </c>
      <c r="D5" s="61" t="s">
        <v>68</v>
      </c>
      <c r="E5" s="38" t="s">
        <v>1507</v>
      </c>
      <c r="F5" s="39" t="s">
        <v>1508</v>
      </c>
      <c r="G5" s="39">
        <v>15</v>
      </c>
      <c r="H5" s="39"/>
      <c r="I5" s="40" t="s">
        <v>266</v>
      </c>
      <c r="J5" s="41">
        <v>11</v>
      </c>
      <c r="K5" s="41">
        <v>478.54545454545456</v>
      </c>
      <c r="L5" s="41"/>
      <c r="M5" s="42">
        <v>40</v>
      </c>
      <c r="N5" s="42">
        <v>101</v>
      </c>
      <c r="O5" s="43">
        <v>5264</v>
      </c>
      <c r="P5" s="44">
        <v>4232</v>
      </c>
      <c r="Q5" s="44">
        <v>10685.8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0.12307251084444015</v>
      </c>
      <c r="V5" s="48">
        <f t="shared" ref="V5:V24" si="2">N5-M5</f>
        <v>61</v>
      </c>
      <c r="W5" s="49">
        <f t="shared" ref="W5:W24" si="3">(O5/A$10)</f>
        <v>8.2048340562960106E-3</v>
      </c>
      <c r="X5" s="44">
        <f t="shared" ref="X5:X24" si="4">W5*A$8</f>
        <v>785.50734672437864</v>
      </c>
      <c r="Y5" s="44">
        <f t="shared" ref="Y5:Y24" si="5">Q5-P5</f>
        <v>6453.7999999999993</v>
      </c>
      <c r="Z5" s="44">
        <f t="shared" ref="Z5:Z24" si="6">X5+(A$6*W5)</f>
        <v>4853.4974655105498</v>
      </c>
      <c r="AA5" s="50">
        <f t="shared" ref="AA5:AA24" si="7">Q5+X5</f>
        <v>11471.307346724378</v>
      </c>
      <c r="AB5" s="51">
        <f t="shared" ref="AB5:AC20" si="8">Z5/(1+ElecDiscountRate)^1</f>
        <v>4544.473282313249</v>
      </c>
      <c r="AC5" s="44">
        <f t="shared" si="8"/>
        <v>10740.924481951664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1.2903205727715383</v>
      </c>
      <c r="AG5" s="44">
        <f t="shared" ref="AG5:AG24" si="10">AF5*J5*K5</f>
        <v>6792.2474950693777</v>
      </c>
      <c r="AH5" s="52">
        <f>HLOOKUP(I5,ElecAvoidedCostsWOCC!$A$5:$Q$50,T5+1,FALSE)</f>
        <v>1.2903205727715383</v>
      </c>
      <c r="AI5" s="44">
        <f t="shared" ref="AI5:AI24" si="11">AH5*J5*L5</f>
        <v>0</v>
      </c>
      <c r="AJ5" s="44">
        <f>AG5+AI5</f>
        <v>6792.2474950693777</v>
      </c>
      <c r="AK5" s="44">
        <f>HLOOKUP(I5,ElecAvoidedCostsWOCC!$A$5:$Q$50,G5+1,FALSE)*J5*L5</f>
        <v>0</v>
      </c>
      <c r="AL5" s="44">
        <f>AG5+AI5-AK5</f>
        <v>6792.2474950693777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6792.2474950693777</v>
      </c>
      <c r="AN5" s="48">
        <f>AM5*1.1+AD5+AE5</f>
        <v>7471.4722445763164</v>
      </c>
      <c r="AO5" s="47">
        <f>IFERROR(AM5/AB5,0)</f>
        <v>1.4946171037035905</v>
      </c>
      <c r="AP5" s="47">
        <f>AN5/AC5</f>
        <v>0.69560792994410137</v>
      </c>
    </row>
    <row r="6" spans="1:42" ht="13.5" customHeight="1" x14ac:dyDescent="0.35">
      <c r="A6" s="53">
        <f>SUMIF('Program Costs'!D:D,C2,'Program Costs'!L:L)</f>
        <v>495804.07</v>
      </c>
      <c r="B6" s="97" t="s">
        <v>67</v>
      </c>
      <c r="C6" s="98">
        <v>18230524</v>
      </c>
      <c r="D6" s="61" t="s">
        <v>68</v>
      </c>
      <c r="E6" s="38" t="s">
        <v>1509</v>
      </c>
      <c r="F6" s="39" t="s">
        <v>1510</v>
      </c>
      <c r="G6" s="39">
        <v>15</v>
      </c>
      <c r="H6" s="39"/>
      <c r="I6" s="40" t="s">
        <v>266</v>
      </c>
      <c r="J6" s="41">
        <v>22</v>
      </c>
      <c r="K6" s="41">
        <v>816.5454545454545</v>
      </c>
      <c r="L6" s="41"/>
      <c r="M6" s="42">
        <v>65</v>
      </c>
      <c r="N6" s="42">
        <v>191</v>
      </c>
      <c r="O6" s="43">
        <v>17964</v>
      </c>
      <c r="P6" s="44">
        <v>11907.35</v>
      </c>
      <c r="Q6" s="44">
        <v>34989.29</v>
      </c>
      <c r="R6" s="45">
        <v>0</v>
      </c>
      <c r="S6" s="46">
        <v>0</v>
      </c>
      <c r="T6" s="39">
        <f t="shared" si="0"/>
        <v>15</v>
      </c>
      <c r="U6" s="47">
        <f t="shared" si="1"/>
        <v>0.4199989712784048</v>
      </c>
      <c r="V6" s="48">
        <f t="shared" si="2"/>
        <v>126</v>
      </c>
      <c r="W6" s="49">
        <f t="shared" si="3"/>
        <v>2.7999931418560321E-2</v>
      </c>
      <c r="X6" s="44">
        <f t="shared" si="4"/>
        <v>2680.633354209107</v>
      </c>
      <c r="Y6" s="44">
        <f t="shared" si="5"/>
        <v>23081.940000000002</v>
      </c>
      <c r="Z6" s="44">
        <f t="shared" si="6"/>
        <v>16563.113311252186</v>
      </c>
      <c r="AA6" s="50">
        <f t="shared" si="7"/>
        <v>37669.92335420911</v>
      </c>
      <c r="AB6" s="51">
        <f t="shared" si="8"/>
        <v>15508.533062970211</v>
      </c>
      <c r="AC6" s="44">
        <f t="shared" si="8"/>
        <v>35271.463814802533</v>
      </c>
      <c r="AD6" s="44">
        <f t="shared" si="9"/>
        <v>0</v>
      </c>
      <c r="AE6" s="44">
        <v>0</v>
      </c>
      <c r="AF6" s="52">
        <f>HLOOKUP(I6,ElecAvoidedCostsWOCC!$A$5:$Q$50,G6+1,FALSE)</f>
        <v>1.2903205727715383</v>
      </c>
      <c r="AG6" s="44">
        <f t="shared" si="10"/>
        <v>23179.318769267913</v>
      </c>
      <c r="AH6" s="52">
        <f>HLOOKUP(I6,ElecAvoidedCostsWOCC!$A$5:$Q$50,T6+1,FALSE)</f>
        <v>1.2903205727715383</v>
      </c>
      <c r="AI6" s="44">
        <f t="shared" si="11"/>
        <v>0</v>
      </c>
      <c r="AJ6" s="44">
        <f t="shared" ref="AJ6:AJ24" si="12">AG6+AI6</f>
        <v>23179.318769267913</v>
      </c>
      <c r="AK6" s="44">
        <f>HLOOKUP(I6,ElecAvoidedCostsWOCC!$A$5:$Q$50,G6+1,FALSE)*J6*L6</f>
        <v>0</v>
      </c>
      <c r="AL6" s="44">
        <f t="shared" ref="AL6:AL24" si="13">AG6+AI6-AK6</f>
        <v>23179.318769267913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23179.318769267913</v>
      </c>
      <c r="AN6" s="48">
        <f t="shared" ref="AN6:AN24" si="14">AM6*1.1+AD6+AE6</f>
        <v>25497.250646194705</v>
      </c>
      <c r="AO6" s="47">
        <f t="shared" ref="AO6:AO24" si="15">IFERROR(AM6/AB6,0)</f>
        <v>1.4946171037035907</v>
      </c>
      <c r="AP6" s="47">
        <f t="shared" ref="AP6:AP24" si="16">AN6/AC6</f>
        <v>0.72288609228330802</v>
      </c>
    </row>
    <row r="7" spans="1:42" ht="13.5" customHeight="1" x14ac:dyDescent="0.35">
      <c r="A7" s="36" t="s">
        <v>240</v>
      </c>
      <c r="B7" s="97" t="s">
        <v>67</v>
      </c>
      <c r="C7" s="98">
        <v>18230524</v>
      </c>
      <c r="D7" s="61" t="s">
        <v>68</v>
      </c>
      <c r="E7" s="38" t="s">
        <v>1511</v>
      </c>
      <c r="F7" s="39" t="s">
        <v>1512</v>
      </c>
      <c r="G7" s="39">
        <v>15</v>
      </c>
      <c r="H7" s="39"/>
      <c r="I7" s="40" t="s">
        <v>266</v>
      </c>
      <c r="J7" s="41">
        <v>13</v>
      </c>
      <c r="K7" s="41">
        <v>1912.2307692307693</v>
      </c>
      <c r="L7" s="41"/>
      <c r="M7" s="42">
        <v>100</v>
      </c>
      <c r="N7" s="42">
        <v>245</v>
      </c>
      <c r="O7" s="43">
        <v>24859</v>
      </c>
      <c r="P7" s="44">
        <v>13903.75</v>
      </c>
      <c r="Q7" s="44">
        <v>33146.54</v>
      </c>
      <c r="R7" s="45">
        <v>0</v>
      </c>
      <c r="S7" s="46">
        <v>0</v>
      </c>
      <c r="T7" s="39">
        <f t="shared" si="0"/>
        <v>15</v>
      </c>
      <c r="U7" s="47">
        <f t="shared" si="1"/>
        <v>0.58120432125416754</v>
      </c>
      <c r="V7" s="48">
        <f t="shared" si="2"/>
        <v>145</v>
      </c>
      <c r="W7" s="49">
        <f t="shared" si="3"/>
        <v>3.8746954750277833E-2</v>
      </c>
      <c r="X7" s="44">
        <f t="shared" si="4"/>
        <v>3709.5226315010123</v>
      </c>
      <c r="Y7" s="44">
        <f t="shared" si="5"/>
        <v>19242.79</v>
      </c>
      <c r="Z7" s="44">
        <f t="shared" si="6"/>
        <v>22920.420496794595</v>
      </c>
      <c r="AA7" s="50">
        <f t="shared" si="7"/>
        <v>36856.062631501016</v>
      </c>
      <c r="AB7" s="51">
        <f t="shared" si="8"/>
        <v>21461.067880893814</v>
      </c>
      <c r="AC7" s="44">
        <f t="shared" si="8"/>
        <v>34509.421939607688</v>
      </c>
      <c r="AD7" s="44">
        <f t="shared" si="9"/>
        <v>0</v>
      </c>
      <c r="AE7" s="44">
        <v>0</v>
      </c>
      <c r="AF7" s="52">
        <f>HLOOKUP(I7,ElecAvoidedCostsWOCC!$A$5:$Q$50,G7+1,FALSE)</f>
        <v>1.2903205727715383</v>
      </c>
      <c r="AG7" s="44">
        <f t="shared" si="10"/>
        <v>32076.079118527672</v>
      </c>
      <c r="AH7" s="52">
        <f>HLOOKUP(I7,ElecAvoidedCostsWOCC!$A$5:$Q$50,T7+1,FALSE)</f>
        <v>1.2903205727715383</v>
      </c>
      <c r="AI7" s="44">
        <f t="shared" si="11"/>
        <v>0</v>
      </c>
      <c r="AJ7" s="44">
        <f t="shared" si="12"/>
        <v>32076.079118527672</v>
      </c>
      <c r="AK7" s="44">
        <f>HLOOKUP(I7,ElecAvoidedCostsWOCC!$A$5:$Q$50,G7+1,FALSE)*J7*L7</f>
        <v>0</v>
      </c>
      <c r="AL7" s="44">
        <f t="shared" si="13"/>
        <v>32076.079118527672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32076.079118527668</v>
      </c>
      <c r="AN7" s="48">
        <f t="shared" si="14"/>
        <v>35283.687030380439</v>
      </c>
      <c r="AO7" s="47">
        <f t="shared" si="15"/>
        <v>1.4946171037035907</v>
      </c>
      <c r="AP7" s="47">
        <f t="shared" si="16"/>
        <v>1.0224363390417763</v>
      </c>
    </row>
    <row r="8" spans="1:42" ht="13.5" customHeight="1" x14ac:dyDescent="0.35">
      <c r="A8" s="53">
        <f>SUMIF('Program Costs'!D:D,C2,'Program Costs'!O:O)</f>
        <v>95737.139999999956</v>
      </c>
      <c r="B8" s="97" t="s">
        <v>67</v>
      </c>
      <c r="C8" s="98">
        <v>18230524</v>
      </c>
      <c r="D8" s="61" t="s">
        <v>68</v>
      </c>
      <c r="E8" s="38" t="s">
        <v>1513</v>
      </c>
      <c r="F8" s="39" t="s">
        <v>1514</v>
      </c>
      <c r="G8" s="39">
        <v>15</v>
      </c>
      <c r="H8" s="39"/>
      <c r="I8" s="40" t="s">
        <v>266</v>
      </c>
      <c r="J8" s="41">
        <v>5</v>
      </c>
      <c r="K8" s="41">
        <v>1009.2</v>
      </c>
      <c r="L8" s="41"/>
      <c r="M8" s="42">
        <v>40</v>
      </c>
      <c r="N8" s="42">
        <v>89</v>
      </c>
      <c r="O8" s="43">
        <v>5046</v>
      </c>
      <c r="P8" s="44">
        <v>3066</v>
      </c>
      <c r="Q8" s="44">
        <v>6821.85</v>
      </c>
      <c r="R8" s="45">
        <v>0</v>
      </c>
      <c r="S8" s="46">
        <v>0</v>
      </c>
      <c r="T8" s="39">
        <f t="shared" si="0"/>
        <v>15</v>
      </c>
      <c r="U8" s="47">
        <f t="shared" si="1"/>
        <v>0.117975662940928</v>
      </c>
      <c r="V8" s="48">
        <f t="shared" si="2"/>
        <v>49</v>
      </c>
      <c r="W8" s="49">
        <f t="shared" si="3"/>
        <v>7.8650441960618662E-3</v>
      </c>
      <c r="X8" s="44">
        <f t="shared" si="4"/>
        <v>752.97683730456197</v>
      </c>
      <c r="Y8" s="44">
        <f t="shared" si="5"/>
        <v>3755.8500000000004</v>
      </c>
      <c r="Z8" s="44">
        <f t="shared" si="6"/>
        <v>4652.4977604419137</v>
      </c>
      <c r="AA8" s="50">
        <f t="shared" si="7"/>
        <v>7574.8268373045621</v>
      </c>
      <c r="AB8" s="51">
        <f t="shared" si="8"/>
        <v>4356.2713112751999</v>
      </c>
      <c r="AC8" s="44">
        <f t="shared" si="8"/>
        <v>7092.5344918582041</v>
      </c>
      <c r="AD8" s="44">
        <f t="shared" si="9"/>
        <v>0</v>
      </c>
      <c r="AE8" s="44">
        <v>0</v>
      </c>
      <c r="AF8" s="52">
        <f>HLOOKUP(I8,ElecAvoidedCostsWOCC!$A$5:$Q$50,G8+1,FALSE)</f>
        <v>1.2903205727715383</v>
      </c>
      <c r="AG8" s="44">
        <f t="shared" si="10"/>
        <v>6510.9576102051824</v>
      </c>
      <c r="AH8" s="52">
        <f>HLOOKUP(I8,ElecAvoidedCostsWOCC!$A$5:$Q$50,T8+1,FALSE)</f>
        <v>1.2903205727715383</v>
      </c>
      <c r="AI8" s="44">
        <f t="shared" si="11"/>
        <v>0</v>
      </c>
      <c r="AJ8" s="44">
        <f t="shared" si="12"/>
        <v>6510.9576102051824</v>
      </c>
      <c r="AK8" s="44">
        <f>HLOOKUP(I8,ElecAvoidedCostsWOCC!$A$5:$Q$50,G8+1,FALSE)*J8*L8</f>
        <v>0</v>
      </c>
      <c r="AL8" s="44">
        <f t="shared" si="13"/>
        <v>6510.9576102051824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6510.9576102051824</v>
      </c>
      <c r="AN8" s="48">
        <f t="shared" si="14"/>
        <v>7162.0533712257011</v>
      </c>
      <c r="AO8" s="47">
        <f t="shared" si="15"/>
        <v>1.4946171037035907</v>
      </c>
      <c r="AP8" s="47">
        <f t="shared" si="16"/>
        <v>1.0098016977495563</v>
      </c>
    </row>
    <row r="9" spans="1:42" ht="13.5" customHeight="1" x14ac:dyDescent="0.35">
      <c r="A9" s="36" t="s">
        <v>242</v>
      </c>
      <c r="B9" s="97" t="s">
        <v>67</v>
      </c>
      <c r="C9" s="98">
        <v>18230524</v>
      </c>
      <c r="D9" s="61" t="s">
        <v>68</v>
      </c>
      <c r="E9" s="38" t="s">
        <v>1515</v>
      </c>
      <c r="F9" s="39" t="s">
        <v>1516</v>
      </c>
      <c r="G9" s="39">
        <v>15</v>
      </c>
      <c r="H9" s="39"/>
      <c r="I9" s="40" t="s">
        <v>266</v>
      </c>
      <c r="J9" s="41">
        <v>22</v>
      </c>
      <c r="K9" s="41">
        <v>1969.909090909091</v>
      </c>
      <c r="L9" s="41"/>
      <c r="M9" s="42">
        <v>65</v>
      </c>
      <c r="N9" s="42">
        <v>135</v>
      </c>
      <c r="O9" s="43">
        <v>43338</v>
      </c>
      <c r="P9" s="44">
        <v>24232</v>
      </c>
      <c r="Q9" s="44">
        <v>50328</v>
      </c>
      <c r="R9" s="45">
        <v>0</v>
      </c>
      <c r="S9" s="46">
        <v>0</v>
      </c>
      <c r="T9" s="39">
        <f t="shared" si="0"/>
        <v>15</v>
      </c>
      <c r="U9" s="47">
        <f t="shared" si="1"/>
        <v>1.0132440112037133</v>
      </c>
      <c r="V9" s="48">
        <f t="shared" si="2"/>
        <v>70</v>
      </c>
      <c r="W9" s="49">
        <f t="shared" si="3"/>
        <v>6.7549600746914226E-2</v>
      </c>
      <c r="X9" s="44">
        <f t="shared" si="4"/>
        <v>6467.0055836514284</v>
      </c>
      <c r="Y9" s="44">
        <f t="shared" si="5"/>
        <v>26096</v>
      </c>
      <c r="Z9" s="44">
        <f t="shared" si="6"/>
        <v>39958.372560846547</v>
      </c>
      <c r="AA9" s="50">
        <f t="shared" si="7"/>
        <v>56795.005583651429</v>
      </c>
      <c r="AB9" s="51">
        <f t="shared" si="8"/>
        <v>37414.206517646577</v>
      </c>
      <c r="AC9" s="44">
        <f t="shared" si="8"/>
        <v>53178.844179448904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1.2903205727715383</v>
      </c>
      <c r="AG9" s="44">
        <f t="shared" si="10"/>
        <v>55919.912982772927</v>
      </c>
      <c r="AH9" s="52">
        <f>HLOOKUP(I9,ElecAvoidedCostsWOCC!$A$5:$Q$50,T9+1,FALSE)</f>
        <v>1.2903205727715383</v>
      </c>
      <c r="AI9" s="44">
        <f t="shared" si="11"/>
        <v>0</v>
      </c>
      <c r="AJ9" s="44">
        <f t="shared" si="12"/>
        <v>55919.912982772927</v>
      </c>
      <c r="AK9" s="44">
        <f>HLOOKUP(I9,ElecAvoidedCostsWOCC!$A$5:$Q$50,G9+1,FALSE)*J9*L9</f>
        <v>0</v>
      </c>
      <c r="AL9" s="44">
        <f t="shared" si="13"/>
        <v>55919.912982772927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55919.912982772934</v>
      </c>
      <c r="AN9" s="48">
        <f t="shared" si="14"/>
        <v>61511.904281050229</v>
      </c>
      <c r="AO9" s="47">
        <f t="shared" si="15"/>
        <v>1.4946171037035907</v>
      </c>
      <c r="AP9" s="47">
        <f t="shared" si="16"/>
        <v>1.1566987818216188</v>
      </c>
    </row>
    <row r="10" spans="1:42" ht="13.5" customHeight="1" x14ac:dyDescent="0.35">
      <c r="A10" s="54">
        <f>SUM(O5:O999)</f>
        <v>641573</v>
      </c>
      <c r="B10" s="97" t="s">
        <v>67</v>
      </c>
      <c r="C10" s="98">
        <v>18230524</v>
      </c>
      <c r="D10" s="61" t="s">
        <v>68</v>
      </c>
      <c r="E10" s="38" t="s">
        <v>1517</v>
      </c>
      <c r="F10" s="39" t="s">
        <v>1518</v>
      </c>
      <c r="G10" s="39">
        <v>15</v>
      </c>
      <c r="H10" s="39"/>
      <c r="I10" s="40" t="s">
        <v>266</v>
      </c>
      <c r="J10" s="41">
        <v>11</v>
      </c>
      <c r="K10" s="41">
        <v>2794.3636363636365</v>
      </c>
      <c r="L10" s="41"/>
      <c r="M10" s="42">
        <v>100</v>
      </c>
      <c r="N10" s="42">
        <v>170</v>
      </c>
      <c r="O10" s="43">
        <v>30738</v>
      </c>
      <c r="P10" s="44">
        <v>19155.25</v>
      </c>
      <c r="Q10" s="44">
        <v>31467.68</v>
      </c>
      <c r="R10" s="45">
        <v>0</v>
      </c>
      <c r="S10" s="46">
        <v>0</v>
      </c>
      <c r="T10" s="39">
        <f t="shared" si="0"/>
        <v>15</v>
      </c>
      <c r="U10" s="47">
        <f t="shared" si="1"/>
        <v>0.71865555439521311</v>
      </c>
      <c r="V10" s="48">
        <f t="shared" si="2"/>
        <v>70</v>
      </c>
      <c r="W10" s="49">
        <f t="shared" si="3"/>
        <v>4.7910370293014204E-2</v>
      </c>
      <c r="X10" s="44">
        <f t="shared" si="4"/>
        <v>4586.8018281941395</v>
      </c>
      <c r="Y10" s="44">
        <f t="shared" si="5"/>
        <v>12312.43</v>
      </c>
      <c r="Z10" s="44">
        <f t="shared" si="6"/>
        <v>28340.958414677676</v>
      </c>
      <c r="AA10" s="50">
        <f t="shared" si="7"/>
        <v>36054.481828194141</v>
      </c>
      <c r="AB10" s="51">
        <f t="shared" si="8"/>
        <v>26536.477916364864</v>
      </c>
      <c r="AC10" s="44">
        <f t="shared" si="8"/>
        <v>33758.878116286643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1.2903205727715383</v>
      </c>
      <c r="AG10" s="44">
        <f t="shared" si="10"/>
        <v>39661.873765851546</v>
      </c>
      <c r="AH10" s="52">
        <f>HLOOKUP(I10,ElecAvoidedCostsWOCC!$A$5:$Q$50,T10+1,FALSE)</f>
        <v>1.2903205727715383</v>
      </c>
      <c r="AI10" s="44">
        <f t="shared" si="11"/>
        <v>0</v>
      </c>
      <c r="AJ10" s="44">
        <f t="shared" si="12"/>
        <v>39661.873765851546</v>
      </c>
      <c r="AK10" s="44">
        <f>HLOOKUP(I10,ElecAvoidedCostsWOCC!$A$5:$Q$50,G10+1,FALSE)*J10*L10</f>
        <v>0</v>
      </c>
      <c r="AL10" s="44">
        <f t="shared" si="13"/>
        <v>39661.873765851546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39661.873765851546</v>
      </c>
      <c r="AN10" s="48">
        <f t="shared" si="14"/>
        <v>43628.061142436702</v>
      </c>
      <c r="AO10" s="47">
        <f t="shared" si="15"/>
        <v>1.4946171037035907</v>
      </c>
      <c r="AP10" s="47">
        <f t="shared" si="16"/>
        <v>1.2923433353488358</v>
      </c>
    </row>
    <row r="11" spans="1:42" ht="13.5" customHeight="1" x14ac:dyDescent="0.35">
      <c r="A11" s="36" t="s">
        <v>243</v>
      </c>
      <c r="B11" s="97" t="s">
        <v>67</v>
      </c>
      <c r="C11" s="98">
        <v>18230524</v>
      </c>
      <c r="D11" s="61" t="s">
        <v>68</v>
      </c>
      <c r="E11" s="38" t="s">
        <v>1519</v>
      </c>
      <c r="F11" s="39" t="s">
        <v>1520</v>
      </c>
      <c r="G11" s="39">
        <v>15</v>
      </c>
      <c r="H11" s="39"/>
      <c r="I11" s="40" t="s">
        <v>266</v>
      </c>
      <c r="J11" s="41">
        <v>4</v>
      </c>
      <c r="K11" s="41">
        <v>1967.5</v>
      </c>
      <c r="L11" s="41"/>
      <c r="M11" s="42">
        <v>40</v>
      </c>
      <c r="N11" s="42">
        <v>50</v>
      </c>
      <c r="O11" s="43">
        <v>7870</v>
      </c>
      <c r="P11" s="44">
        <v>6670</v>
      </c>
      <c r="Q11" s="44">
        <v>8337.5</v>
      </c>
      <c r="R11" s="45">
        <v>0</v>
      </c>
      <c r="S11" s="46">
        <v>0</v>
      </c>
      <c r="T11" s="39">
        <f t="shared" si="0"/>
        <v>15</v>
      </c>
      <c r="U11" s="47">
        <f t="shared" si="1"/>
        <v>0.18400088532403949</v>
      </c>
      <c r="V11" s="48">
        <f t="shared" si="2"/>
        <v>10</v>
      </c>
      <c r="W11" s="49">
        <f t="shared" si="3"/>
        <v>1.22667256882693E-2</v>
      </c>
      <c r="X11" s="44">
        <f t="shared" si="4"/>
        <v>1174.3812345594338</v>
      </c>
      <c r="Y11" s="44">
        <f t="shared" si="5"/>
        <v>1667.5</v>
      </c>
      <c r="Z11" s="44">
        <f t="shared" si="6"/>
        <v>7256.2737563769042</v>
      </c>
      <c r="AA11" s="50">
        <f t="shared" si="7"/>
        <v>9511.8812345594342</v>
      </c>
      <c r="AB11" s="51">
        <f t="shared" si="8"/>
        <v>6794.2638168323065</v>
      </c>
      <c r="AC11" s="44">
        <f t="shared" si="8"/>
        <v>8906.2558376024663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1.2903205727715383</v>
      </c>
      <c r="AG11" s="44">
        <f t="shared" si="10"/>
        <v>10154.822907712007</v>
      </c>
      <c r="AH11" s="52">
        <f>HLOOKUP(I11,ElecAvoidedCostsWOCC!$A$5:$Q$50,T11+1,FALSE)</f>
        <v>1.2903205727715383</v>
      </c>
      <c r="AI11" s="44">
        <f t="shared" si="11"/>
        <v>0</v>
      </c>
      <c r="AJ11" s="44">
        <f t="shared" si="12"/>
        <v>10154.822907712007</v>
      </c>
      <c r="AK11" s="44">
        <f>HLOOKUP(I11,ElecAvoidedCostsWOCC!$A$5:$Q$50,G11+1,FALSE)*J11*L11</f>
        <v>0</v>
      </c>
      <c r="AL11" s="44">
        <f t="shared" si="13"/>
        <v>10154.822907712007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10154.822907712007</v>
      </c>
      <c r="AN11" s="48">
        <f t="shared" si="14"/>
        <v>11170.305198483209</v>
      </c>
      <c r="AO11" s="47">
        <f t="shared" si="15"/>
        <v>1.4946171037035909</v>
      </c>
      <c r="AP11" s="47">
        <f t="shared" si="16"/>
        <v>1.2542088844250197</v>
      </c>
    </row>
    <row r="12" spans="1:42" ht="13.5" customHeight="1" x14ac:dyDescent="0.35">
      <c r="A12" s="55">
        <f>SUM(P5:P1000)</f>
        <v>366185</v>
      </c>
      <c r="B12" s="97" t="s">
        <v>67</v>
      </c>
      <c r="C12" s="98">
        <v>18230524</v>
      </c>
      <c r="D12" s="61" t="s">
        <v>68</v>
      </c>
      <c r="E12" s="38" t="s">
        <v>1521</v>
      </c>
      <c r="F12" s="39" t="s">
        <v>1522</v>
      </c>
      <c r="G12" s="39">
        <v>15</v>
      </c>
      <c r="H12" s="39"/>
      <c r="I12" s="40" t="s">
        <v>266</v>
      </c>
      <c r="J12" s="41">
        <v>6</v>
      </c>
      <c r="K12" s="41">
        <v>2851.5</v>
      </c>
      <c r="L12" s="41"/>
      <c r="M12" s="42">
        <v>65</v>
      </c>
      <c r="N12" s="42">
        <v>96</v>
      </c>
      <c r="O12" s="43">
        <v>17109</v>
      </c>
      <c r="P12" s="44">
        <v>11824.8</v>
      </c>
      <c r="Q12" s="44">
        <v>17464.32</v>
      </c>
      <c r="R12" s="45">
        <v>0</v>
      </c>
      <c r="S12" s="46">
        <v>0</v>
      </c>
      <c r="T12" s="39">
        <f t="shared" si="0"/>
        <v>15</v>
      </c>
      <c r="U12" s="47">
        <f t="shared" si="1"/>
        <v>0.40000904028068512</v>
      </c>
      <c r="V12" s="48">
        <f t="shared" si="2"/>
        <v>31</v>
      </c>
      <c r="W12" s="49">
        <f t="shared" si="3"/>
        <v>2.6667269352045674E-2</v>
      </c>
      <c r="X12" s="44">
        <f t="shared" si="4"/>
        <v>2553.048099374505</v>
      </c>
      <c r="Y12" s="44">
        <f t="shared" si="5"/>
        <v>5639.52</v>
      </c>
      <c r="Z12" s="44">
        <f t="shared" si="6"/>
        <v>15774.788779905015</v>
      </c>
      <c r="AA12" s="50">
        <f t="shared" si="7"/>
        <v>20017.368099374504</v>
      </c>
      <c r="AB12" s="51">
        <f t="shared" si="8"/>
        <v>14770.401479311811</v>
      </c>
      <c r="AC12" s="44">
        <f t="shared" si="8"/>
        <v>18742.854025631557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1.2903205727715383</v>
      </c>
      <c r="AG12" s="44">
        <f t="shared" si="10"/>
        <v>22076.094679548252</v>
      </c>
      <c r="AH12" s="52">
        <f>HLOOKUP(I12,ElecAvoidedCostsWOCC!$A$5:$Q$50,T12+1,FALSE)</f>
        <v>1.2903205727715383</v>
      </c>
      <c r="AI12" s="44">
        <f t="shared" si="11"/>
        <v>0</v>
      </c>
      <c r="AJ12" s="44">
        <f t="shared" si="12"/>
        <v>22076.094679548252</v>
      </c>
      <c r="AK12" s="44">
        <f>HLOOKUP(I12,ElecAvoidedCostsWOCC!$A$5:$Q$50,G12+1,FALSE)*J12*L12</f>
        <v>0</v>
      </c>
      <c r="AL12" s="44">
        <f t="shared" si="13"/>
        <v>22076.094679548252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22076.094679548249</v>
      </c>
      <c r="AN12" s="48">
        <f t="shared" si="14"/>
        <v>24283.704147503075</v>
      </c>
      <c r="AO12" s="47">
        <f t="shared" si="15"/>
        <v>1.4946171037035905</v>
      </c>
      <c r="AP12" s="47">
        <f t="shared" si="16"/>
        <v>1.2956246745716633</v>
      </c>
    </row>
    <row r="13" spans="1:42" ht="13.5" customHeight="1" x14ac:dyDescent="0.35">
      <c r="A13" s="56" t="s">
        <v>246</v>
      </c>
      <c r="B13" s="97" t="s">
        <v>67</v>
      </c>
      <c r="C13" s="98">
        <v>18230524</v>
      </c>
      <c r="D13" s="61" t="s">
        <v>68</v>
      </c>
      <c r="E13" s="38" t="s">
        <v>1523</v>
      </c>
      <c r="F13" s="39" t="s">
        <v>1524</v>
      </c>
      <c r="G13" s="39">
        <v>15</v>
      </c>
      <c r="H13" s="39"/>
      <c r="I13" s="40" t="s">
        <v>266</v>
      </c>
      <c r="J13" s="41">
        <v>32</v>
      </c>
      <c r="K13" s="41">
        <v>3948.96875</v>
      </c>
      <c r="L13" s="41"/>
      <c r="M13" s="42">
        <v>100</v>
      </c>
      <c r="N13" s="42">
        <v>186</v>
      </c>
      <c r="O13" s="43">
        <v>126367</v>
      </c>
      <c r="P13" s="44">
        <v>85782</v>
      </c>
      <c r="Q13" s="44">
        <v>159554.51999999999</v>
      </c>
      <c r="R13" s="45">
        <v>0</v>
      </c>
      <c r="S13" s="46">
        <v>0</v>
      </c>
      <c r="T13" s="39">
        <f t="shared" si="0"/>
        <v>15</v>
      </c>
      <c r="U13" s="47">
        <f t="shared" si="1"/>
        <v>2.9544650413904576</v>
      </c>
      <c r="V13" s="48">
        <f t="shared" si="2"/>
        <v>86</v>
      </c>
      <c r="W13" s="49">
        <f t="shared" si="3"/>
        <v>0.19696433609269717</v>
      </c>
      <c r="X13" s="44">
        <f t="shared" si="4"/>
        <v>18856.802219513593</v>
      </c>
      <c r="Y13" s="44">
        <f t="shared" si="5"/>
        <v>73772.51999999999</v>
      </c>
      <c r="Z13" s="44">
        <f t="shared" si="6"/>
        <v>116512.52169912076</v>
      </c>
      <c r="AA13" s="50">
        <f t="shared" si="7"/>
        <v>178411.32221951359</v>
      </c>
      <c r="AB13" s="51">
        <f t="shared" si="8"/>
        <v>109094.1214411243</v>
      </c>
      <c r="AC13" s="44">
        <f t="shared" si="8"/>
        <v>167051.79983100522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1.2903205727715383</v>
      </c>
      <c r="AG13" s="44">
        <f t="shared" si="10"/>
        <v>163053.93981942098</v>
      </c>
      <c r="AH13" s="52">
        <f>HLOOKUP(I13,ElecAvoidedCostsWOCC!$A$5:$Q$50,T13+1,FALSE)</f>
        <v>1.2903205727715383</v>
      </c>
      <c r="AI13" s="44">
        <f t="shared" si="11"/>
        <v>0</v>
      </c>
      <c r="AJ13" s="44">
        <f t="shared" si="12"/>
        <v>163053.93981942098</v>
      </c>
      <c r="AK13" s="44">
        <f>HLOOKUP(I13,ElecAvoidedCostsWOCC!$A$5:$Q$50,G13+1,FALSE)*J13*L13</f>
        <v>0</v>
      </c>
      <c r="AL13" s="44">
        <f t="shared" si="13"/>
        <v>163053.93981942098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163053.93981942098</v>
      </c>
      <c r="AN13" s="48">
        <f t="shared" si="14"/>
        <v>179359.3338013631</v>
      </c>
      <c r="AO13" s="47">
        <f t="shared" si="15"/>
        <v>1.4946171037035905</v>
      </c>
      <c r="AP13" s="47">
        <f t="shared" si="16"/>
        <v>1.073674955808968</v>
      </c>
    </row>
    <row r="14" spans="1:42" ht="13.5" customHeight="1" x14ac:dyDescent="0.35">
      <c r="A14" s="55">
        <f>SUM(Y5:Y1000)</f>
        <v>272016.42999999993</v>
      </c>
      <c r="B14" s="97" t="s">
        <v>67</v>
      </c>
      <c r="C14" s="98">
        <v>18230524</v>
      </c>
      <c r="D14" s="61" t="s">
        <v>68</v>
      </c>
      <c r="E14" s="38" t="s">
        <v>1525</v>
      </c>
      <c r="F14" s="39" t="s">
        <v>1526</v>
      </c>
      <c r="G14" s="39">
        <v>15</v>
      </c>
      <c r="H14" s="39"/>
      <c r="I14" s="40" t="s">
        <v>266</v>
      </c>
      <c r="J14" s="41">
        <v>1</v>
      </c>
      <c r="K14" s="41">
        <v>14788</v>
      </c>
      <c r="L14" s="41"/>
      <c r="M14" s="42">
        <v>65</v>
      </c>
      <c r="N14" s="42">
        <v>158</v>
      </c>
      <c r="O14" s="43">
        <v>14788</v>
      </c>
      <c r="P14" s="44">
        <v>6427.85</v>
      </c>
      <c r="Q14" s="44">
        <v>15624.62</v>
      </c>
      <c r="R14" s="45">
        <v>0</v>
      </c>
      <c r="S14" s="46">
        <v>0</v>
      </c>
      <c r="T14" s="39">
        <f t="shared" si="0"/>
        <v>15</v>
      </c>
      <c r="U14" s="47">
        <f t="shared" si="1"/>
        <v>0.34574397613365904</v>
      </c>
      <c r="V14" s="48">
        <f t="shared" si="2"/>
        <v>93</v>
      </c>
      <c r="W14" s="49">
        <f t="shared" si="3"/>
        <v>2.3049598408910601E-2</v>
      </c>
      <c r="X14" s="44">
        <f t="shared" si="4"/>
        <v>2206.7026298176506</v>
      </c>
      <c r="Y14" s="44">
        <f t="shared" si="5"/>
        <v>9196.77</v>
      </c>
      <c r="Z14" s="44">
        <f t="shared" si="6"/>
        <v>13634.787332821052</v>
      </c>
      <c r="AA14" s="50">
        <f t="shared" si="7"/>
        <v>17831.322629817652</v>
      </c>
      <c r="AB14" s="51">
        <f t="shared" si="8"/>
        <v>12766.65480601222</v>
      </c>
      <c r="AC14" s="44">
        <f t="shared" si="8"/>
        <v>16695.994971739376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1.2903205727715383</v>
      </c>
      <c r="AG14" s="44">
        <f t="shared" si="10"/>
        <v>19081.260630145509</v>
      </c>
      <c r="AH14" s="52">
        <f>HLOOKUP(I14,ElecAvoidedCostsWOCC!$A$5:$Q$50,T14+1,FALSE)</f>
        <v>1.2903205727715383</v>
      </c>
      <c r="AI14" s="44">
        <f t="shared" si="11"/>
        <v>0</v>
      </c>
      <c r="AJ14" s="44">
        <f t="shared" si="12"/>
        <v>19081.260630145509</v>
      </c>
      <c r="AK14" s="44">
        <f>HLOOKUP(I14,ElecAvoidedCostsWOCC!$A$5:$Q$50,G14+1,FALSE)*J14*L14</f>
        <v>0</v>
      </c>
      <c r="AL14" s="44">
        <f t="shared" si="13"/>
        <v>19081.260630145509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19081.260630145509</v>
      </c>
      <c r="AN14" s="48">
        <f t="shared" si="14"/>
        <v>20989.386693160061</v>
      </c>
      <c r="AO14" s="47">
        <f t="shared" si="15"/>
        <v>1.4946171037035905</v>
      </c>
      <c r="AP14" s="47">
        <f t="shared" si="16"/>
        <v>1.2571509951151718</v>
      </c>
    </row>
    <row r="15" spans="1:42" ht="13.5" customHeight="1" x14ac:dyDescent="0.35">
      <c r="A15" s="57" t="s">
        <v>249</v>
      </c>
      <c r="B15" s="97" t="s">
        <v>67</v>
      </c>
      <c r="C15" s="98">
        <v>18230524</v>
      </c>
      <c r="D15" s="61" t="s">
        <v>68</v>
      </c>
      <c r="E15" s="38" t="s">
        <v>1527</v>
      </c>
      <c r="F15" s="39" t="s">
        <v>1528</v>
      </c>
      <c r="G15" s="39">
        <v>15</v>
      </c>
      <c r="H15" s="39"/>
      <c r="I15" s="40" t="s">
        <v>266</v>
      </c>
      <c r="J15" s="41">
        <v>2</v>
      </c>
      <c r="K15" s="41">
        <v>15159</v>
      </c>
      <c r="L15" s="41"/>
      <c r="M15" s="42">
        <v>125</v>
      </c>
      <c r="N15" s="42">
        <v>262</v>
      </c>
      <c r="O15" s="43">
        <v>30318</v>
      </c>
      <c r="P15" s="44">
        <v>16888.25</v>
      </c>
      <c r="Q15" s="44">
        <v>35397.769999999997</v>
      </c>
      <c r="R15" s="45">
        <v>0</v>
      </c>
      <c r="S15" s="46">
        <v>0</v>
      </c>
      <c r="T15" s="39">
        <f t="shared" si="0"/>
        <v>15</v>
      </c>
      <c r="U15" s="47">
        <f t="shared" si="1"/>
        <v>0.70883593916826293</v>
      </c>
      <c r="V15" s="48">
        <f t="shared" si="2"/>
        <v>137</v>
      </c>
      <c r="W15" s="49">
        <f t="shared" si="3"/>
        <v>4.7255729277884198E-2</v>
      </c>
      <c r="X15" s="44">
        <f t="shared" si="4"/>
        <v>4524.128369678896</v>
      </c>
      <c r="Y15" s="44">
        <f t="shared" si="5"/>
        <v>18509.519999999997</v>
      </c>
      <c r="Z15" s="44">
        <f t="shared" si="6"/>
        <v>27953.711276472044</v>
      </c>
      <c r="AA15" s="50">
        <f t="shared" si="7"/>
        <v>39921.898369678893</v>
      </c>
      <c r="AB15" s="51">
        <f t="shared" si="8"/>
        <v>26173.886962988803</v>
      </c>
      <c r="AC15" s="44">
        <f t="shared" si="8"/>
        <v>37380.054653257386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1.2903205727715383</v>
      </c>
      <c r="AG15" s="44">
        <f t="shared" si="10"/>
        <v>39119.939125287499</v>
      </c>
      <c r="AH15" s="52">
        <f>HLOOKUP(I15,ElecAvoidedCostsWOCC!$A$5:$Q$50,T15+1,FALSE)</f>
        <v>1.2903205727715383</v>
      </c>
      <c r="AI15" s="44">
        <f t="shared" si="11"/>
        <v>0</v>
      </c>
      <c r="AJ15" s="44">
        <f t="shared" si="12"/>
        <v>39119.939125287499</v>
      </c>
      <c r="AK15" s="44">
        <f>HLOOKUP(I15,ElecAvoidedCostsWOCC!$A$5:$Q$50,G15+1,FALSE)*J15*L15</f>
        <v>0</v>
      </c>
      <c r="AL15" s="44">
        <f t="shared" si="13"/>
        <v>39119.939125287499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39119.939125287499</v>
      </c>
      <c r="AN15" s="48">
        <f t="shared" si="14"/>
        <v>43031.933037816256</v>
      </c>
      <c r="AO15" s="47">
        <f t="shared" si="15"/>
        <v>1.4946171037035909</v>
      </c>
      <c r="AP15" s="47">
        <f t="shared" si="16"/>
        <v>1.1512003777679429</v>
      </c>
    </row>
    <row r="16" spans="1:42" ht="13.5" customHeight="1" x14ac:dyDescent="0.35">
      <c r="A16" s="54">
        <f>SUM(U5:U999)</f>
        <v>14.866936420329409</v>
      </c>
      <c r="B16" s="97" t="s">
        <v>67</v>
      </c>
      <c r="C16" s="98">
        <v>18230524</v>
      </c>
      <c r="D16" s="61" t="s">
        <v>68</v>
      </c>
      <c r="E16" s="38" t="s">
        <v>1529</v>
      </c>
      <c r="F16" s="39" t="s">
        <v>1530</v>
      </c>
      <c r="G16" s="39">
        <v>15</v>
      </c>
      <c r="H16" s="39"/>
      <c r="I16" s="40" t="s">
        <v>266</v>
      </c>
      <c r="J16" s="41">
        <v>5</v>
      </c>
      <c r="K16" s="41">
        <v>1518</v>
      </c>
      <c r="L16" s="41"/>
      <c r="M16" s="42">
        <v>65</v>
      </c>
      <c r="N16" s="42">
        <v>135</v>
      </c>
      <c r="O16" s="43">
        <v>7590</v>
      </c>
      <c r="P16" s="44">
        <v>2574</v>
      </c>
      <c r="Q16" s="44">
        <v>5346</v>
      </c>
      <c r="R16" s="45">
        <v>0</v>
      </c>
      <c r="S16" s="46">
        <v>0</v>
      </c>
      <c r="T16" s="39">
        <f t="shared" si="0"/>
        <v>15</v>
      </c>
      <c r="U16" s="47">
        <f t="shared" si="1"/>
        <v>0.17745447517273949</v>
      </c>
      <c r="V16" s="48">
        <f t="shared" si="2"/>
        <v>70</v>
      </c>
      <c r="W16" s="49">
        <f t="shared" si="3"/>
        <v>1.18302983448493E-2</v>
      </c>
      <c r="X16" s="44">
        <f t="shared" si="4"/>
        <v>1132.5989288826052</v>
      </c>
      <c r="Y16" s="44">
        <f t="shared" si="5"/>
        <v>2772</v>
      </c>
      <c r="Z16" s="44">
        <f t="shared" si="6"/>
        <v>6998.1089975731511</v>
      </c>
      <c r="AA16" s="50">
        <f t="shared" si="7"/>
        <v>6478.5989288826049</v>
      </c>
      <c r="AB16" s="51">
        <f t="shared" si="8"/>
        <v>6552.5365145816022</v>
      </c>
      <c r="AC16" s="44">
        <f t="shared" si="8"/>
        <v>6066.1038659949481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1.2903205727715383</v>
      </c>
      <c r="AG16" s="44">
        <f t="shared" si="10"/>
        <v>9793.5331473359747</v>
      </c>
      <c r="AH16" s="52">
        <f>HLOOKUP(I16,ElecAvoidedCostsWOCC!$A$5:$Q$50,T16+1,FALSE)</f>
        <v>1.2903205727715383</v>
      </c>
      <c r="AI16" s="44">
        <f t="shared" si="11"/>
        <v>0</v>
      </c>
      <c r="AJ16" s="44">
        <f t="shared" si="12"/>
        <v>9793.5331473359747</v>
      </c>
      <c r="AK16" s="44">
        <f>HLOOKUP(I16,ElecAvoidedCostsWOCC!$A$5:$Q$50,G16+1,FALSE)*J16*L16</f>
        <v>0</v>
      </c>
      <c r="AL16" s="44">
        <f t="shared" si="13"/>
        <v>9793.5331473359747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9793.5331473359765</v>
      </c>
      <c r="AN16" s="48">
        <f t="shared" si="14"/>
        <v>10772.886462069575</v>
      </c>
      <c r="AO16" s="47">
        <f t="shared" si="15"/>
        <v>1.4946171037035909</v>
      </c>
      <c r="AP16" s="47">
        <f t="shared" si="16"/>
        <v>1.7759152662155466</v>
      </c>
    </row>
    <row r="17" spans="1:42" ht="13.5" customHeight="1" x14ac:dyDescent="0.35">
      <c r="A17" s="58" t="s">
        <v>252</v>
      </c>
      <c r="B17" s="97" t="s">
        <v>67</v>
      </c>
      <c r="C17" s="98">
        <v>18230524</v>
      </c>
      <c r="D17" s="61" t="s">
        <v>68</v>
      </c>
      <c r="E17" s="38" t="s">
        <v>1531</v>
      </c>
      <c r="F17" s="39" t="s">
        <v>1532</v>
      </c>
      <c r="G17" s="39">
        <v>15</v>
      </c>
      <c r="H17" s="39"/>
      <c r="I17" s="40" t="s">
        <v>266</v>
      </c>
      <c r="J17" s="41">
        <v>20</v>
      </c>
      <c r="K17" s="41">
        <v>159.35</v>
      </c>
      <c r="L17" s="41"/>
      <c r="M17" s="42">
        <v>50</v>
      </c>
      <c r="N17" s="42">
        <v>163</v>
      </c>
      <c r="O17" s="43">
        <v>3187</v>
      </c>
      <c r="P17" s="44">
        <v>769</v>
      </c>
      <c r="Q17" s="44">
        <v>2506.94</v>
      </c>
      <c r="R17" s="45">
        <v>0</v>
      </c>
      <c r="S17" s="46">
        <v>0</v>
      </c>
      <c r="T17" s="39">
        <f t="shared" si="0"/>
        <v>15</v>
      </c>
      <c r="U17" s="47">
        <f t="shared" si="1"/>
        <v>7.4512175543546874E-2</v>
      </c>
      <c r="V17" s="48">
        <f t="shared" si="2"/>
        <v>113</v>
      </c>
      <c r="W17" s="49">
        <f t="shared" si="3"/>
        <v>4.9674783695697914E-3</v>
      </c>
      <c r="X17" s="44">
        <f t="shared" si="4"/>
        <v>475.57217211447465</v>
      </c>
      <c r="Y17" s="44">
        <f t="shared" si="5"/>
        <v>1737.94</v>
      </c>
      <c r="Z17" s="44">
        <f t="shared" si="6"/>
        <v>2938.4681653841412</v>
      </c>
      <c r="AA17" s="50">
        <f t="shared" si="7"/>
        <v>2982.5121721144747</v>
      </c>
      <c r="AB17" s="51">
        <f t="shared" si="8"/>
        <v>2751.3746866892707</v>
      </c>
      <c r="AC17" s="44">
        <f t="shared" si="8"/>
        <v>2792.6143933656126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1.2903205727715383</v>
      </c>
      <c r="AG17" s="44">
        <f t="shared" si="10"/>
        <v>4112.2516654228921</v>
      </c>
      <c r="AH17" s="52">
        <f>HLOOKUP(I17,ElecAvoidedCostsWOCC!$A$5:$Q$50,T17+1,FALSE)</f>
        <v>1.2903205727715383</v>
      </c>
      <c r="AI17" s="44">
        <f t="shared" si="11"/>
        <v>0</v>
      </c>
      <c r="AJ17" s="44">
        <f t="shared" si="12"/>
        <v>4112.2516654228921</v>
      </c>
      <c r="AK17" s="44">
        <f>HLOOKUP(I17,ElecAvoidedCostsWOCC!$A$5:$Q$50,G17+1,FALSE)*J17*L17</f>
        <v>0</v>
      </c>
      <c r="AL17" s="44">
        <f t="shared" si="13"/>
        <v>4112.2516654228921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4112.2516654228921</v>
      </c>
      <c r="AN17" s="48">
        <f t="shared" si="14"/>
        <v>4523.4768319651821</v>
      </c>
      <c r="AO17" s="47">
        <f t="shared" si="15"/>
        <v>1.4946171037035907</v>
      </c>
      <c r="AP17" s="47">
        <f t="shared" si="16"/>
        <v>1.6198000134610646</v>
      </c>
    </row>
    <row r="18" spans="1:42" ht="13.5" customHeight="1" x14ac:dyDescent="0.35">
      <c r="A18" s="59">
        <f>A6+A8</f>
        <v>591541.21</v>
      </c>
      <c r="B18" s="97" t="s">
        <v>67</v>
      </c>
      <c r="C18" s="98">
        <v>18230524</v>
      </c>
      <c r="D18" s="61" t="s">
        <v>68</v>
      </c>
      <c r="E18" s="38" t="s">
        <v>1533</v>
      </c>
      <c r="F18" s="39" t="s">
        <v>1534</v>
      </c>
      <c r="G18" s="39">
        <v>15</v>
      </c>
      <c r="H18" s="39"/>
      <c r="I18" s="40" t="s">
        <v>266</v>
      </c>
      <c r="J18" s="41">
        <v>11</v>
      </c>
      <c r="K18" s="41">
        <v>649.18181818181813</v>
      </c>
      <c r="L18" s="41"/>
      <c r="M18" s="42">
        <v>75</v>
      </c>
      <c r="N18" s="42">
        <v>245</v>
      </c>
      <c r="O18" s="43">
        <v>7141</v>
      </c>
      <c r="P18" s="44">
        <v>4196.25</v>
      </c>
      <c r="Q18" s="44">
        <v>13707.75</v>
      </c>
      <c r="R18" s="45">
        <v>0</v>
      </c>
      <c r="S18" s="46">
        <v>0</v>
      </c>
      <c r="T18" s="39">
        <f t="shared" si="0"/>
        <v>15</v>
      </c>
      <c r="U18" s="47">
        <f t="shared" si="1"/>
        <v>0.16695683889440482</v>
      </c>
      <c r="V18" s="48">
        <f t="shared" si="2"/>
        <v>170</v>
      </c>
      <c r="W18" s="49">
        <f t="shared" si="3"/>
        <v>1.1130455926293656E-2</v>
      </c>
      <c r="X18" s="44">
        <f t="shared" si="4"/>
        <v>1065.598017279405</v>
      </c>
      <c r="Y18" s="44">
        <f t="shared" si="5"/>
        <v>9511.5</v>
      </c>
      <c r="Z18" s="44">
        <f t="shared" si="6"/>
        <v>6584.1233664914198</v>
      </c>
      <c r="AA18" s="50">
        <f t="shared" si="7"/>
        <v>14773.348017279404</v>
      </c>
      <c r="AB18" s="51">
        <f t="shared" si="8"/>
        <v>6164.9095191867227</v>
      </c>
      <c r="AC18" s="44">
        <f t="shared" si="8"/>
        <v>13832.722862621164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1.2903205727715383</v>
      </c>
      <c r="AG18" s="44">
        <f t="shared" si="10"/>
        <v>9214.1792101615538</v>
      </c>
      <c r="AH18" s="52">
        <f>HLOOKUP(I18,ElecAvoidedCostsWOCC!$A$5:$Q$50,T18+1,FALSE)</f>
        <v>1.2903205727715383</v>
      </c>
      <c r="AI18" s="44">
        <f t="shared" si="11"/>
        <v>0</v>
      </c>
      <c r="AJ18" s="44">
        <f t="shared" si="12"/>
        <v>9214.1792101615538</v>
      </c>
      <c r="AK18" s="44">
        <f>HLOOKUP(I18,ElecAvoidedCostsWOCC!$A$5:$Q$50,G18+1,FALSE)*J18*L18</f>
        <v>0</v>
      </c>
      <c r="AL18" s="44">
        <f t="shared" si="13"/>
        <v>9214.1792101615538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9214.1792101615538</v>
      </c>
      <c r="AN18" s="48">
        <f t="shared" si="14"/>
        <v>10135.59713117771</v>
      </c>
      <c r="AO18" s="47">
        <f t="shared" si="15"/>
        <v>1.4946171037035905</v>
      </c>
      <c r="AP18" s="47">
        <f t="shared" si="16"/>
        <v>0.7327261040244043</v>
      </c>
    </row>
    <row r="19" spans="1:42" ht="13.5" customHeight="1" x14ac:dyDescent="0.35">
      <c r="A19" s="58" t="s">
        <v>222</v>
      </c>
      <c r="B19" s="97" t="s">
        <v>67</v>
      </c>
      <c r="C19" s="98">
        <v>18230524</v>
      </c>
      <c r="D19" s="61" t="s">
        <v>68</v>
      </c>
      <c r="E19" s="38" t="s">
        <v>1535</v>
      </c>
      <c r="F19" s="39" t="s">
        <v>1536</v>
      </c>
      <c r="G19" s="39">
        <v>15</v>
      </c>
      <c r="H19" s="39"/>
      <c r="I19" s="40" t="s">
        <v>266</v>
      </c>
      <c r="J19" s="41">
        <v>32</v>
      </c>
      <c r="K19" s="41">
        <v>590.5625</v>
      </c>
      <c r="L19" s="41"/>
      <c r="M19" s="42">
        <v>125</v>
      </c>
      <c r="N19" s="42">
        <v>327</v>
      </c>
      <c r="O19" s="43">
        <v>18898</v>
      </c>
      <c r="P19" s="44">
        <v>10468.75</v>
      </c>
      <c r="Q19" s="44">
        <v>27386.25</v>
      </c>
      <c r="R19" s="45">
        <v>0</v>
      </c>
      <c r="S19" s="46">
        <v>0</v>
      </c>
      <c r="T19" s="39">
        <f t="shared" si="0"/>
        <v>15</v>
      </c>
      <c r="U19" s="47">
        <f t="shared" si="1"/>
        <v>0.44183592514024128</v>
      </c>
      <c r="V19" s="48">
        <f t="shared" si="2"/>
        <v>202</v>
      </c>
      <c r="W19" s="49">
        <f t="shared" si="3"/>
        <v>2.9455728342682751E-2</v>
      </c>
      <c r="X19" s="44">
        <f t="shared" si="4"/>
        <v>2820.007188145385</v>
      </c>
      <c r="Y19" s="44">
        <f t="shared" si="5"/>
        <v>16917.5</v>
      </c>
      <c r="Z19" s="44">
        <f t="shared" si="6"/>
        <v>17424.277185261846</v>
      </c>
      <c r="AA19" s="50">
        <f t="shared" si="7"/>
        <v>30206.257188145384</v>
      </c>
      <c r="AB19" s="51">
        <f t="shared" si="8"/>
        <v>16314.866278335061</v>
      </c>
      <c r="AC19" s="44">
        <f t="shared" si="8"/>
        <v>28283.012348450731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1.2903205727715383</v>
      </c>
      <c r="AG19" s="44">
        <f t="shared" si="10"/>
        <v>24384.47818423653</v>
      </c>
      <c r="AH19" s="52">
        <f>HLOOKUP(I19,ElecAvoidedCostsWOCC!$A$5:$Q$50,T19+1,FALSE)</f>
        <v>1.2903205727715383</v>
      </c>
      <c r="AI19" s="44">
        <f t="shared" si="11"/>
        <v>0</v>
      </c>
      <c r="AJ19" s="44">
        <f t="shared" si="12"/>
        <v>24384.47818423653</v>
      </c>
      <c r="AK19" s="44">
        <f>HLOOKUP(I19,ElecAvoidedCostsWOCC!$A$5:$Q$50,G19+1,FALSE)*J19*L19</f>
        <v>0</v>
      </c>
      <c r="AL19" s="44">
        <f t="shared" si="13"/>
        <v>24384.47818423653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24384.47818423653</v>
      </c>
      <c r="AN19" s="48">
        <f t="shared" si="14"/>
        <v>26822.926002660184</v>
      </c>
      <c r="AO19" s="47">
        <f t="shared" si="15"/>
        <v>1.4946171037035907</v>
      </c>
      <c r="AP19" s="47">
        <f t="shared" si="16"/>
        <v>0.94837585445984052</v>
      </c>
    </row>
    <row r="20" spans="1:42" ht="13.5" customHeight="1" x14ac:dyDescent="0.35">
      <c r="A20" s="59">
        <f>A8+SUM(Q5:Q906)</f>
        <v>733938.57000000007</v>
      </c>
      <c r="B20" s="97" t="s">
        <v>67</v>
      </c>
      <c r="C20" s="98">
        <v>18230524</v>
      </c>
      <c r="D20" s="61" t="s">
        <v>68</v>
      </c>
      <c r="E20" s="38" t="s">
        <v>1537</v>
      </c>
      <c r="F20" s="39" t="s">
        <v>1538</v>
      </c>
      <c r="G20" s="39">
        <v>15</v>
      </c>
      <c r="H20" s="39"/>
      <c r="I20" s="40" t="s">
        <v>266</v>
      </c>
      <c r="J20" s="41">
        <v>3</v>
      </c>
      <c r="K20" s="41">
        <v>680.33333333333337</v>
      </c>
      <c r="L20" s="41"/>
      <c r="M20" s="42">
        <v>50</v>
      </c>
      <c r="N20" s="42">
        <v>150</v>
      </c>
      <c r="O20" s="43">
        <v>2041</v>
      </c>
      <c r="P20" s="44">
        <v>681.5</v>
      </c>
      <c r="Q20" s="44">
        <v>2044.5</v>
      </c>
      <c r="R20" s="45">
        <v>0</v>
      </c>
      <c r="S20" s="46">
        <v>0</v>
      </c>
      <c r="T20" s="39">
        <f t="shared" si="0"/>
        <v>15</v>
      </c>
      <c r="U20" s="47">
        <f t="shared" si="1"/>
        <v>4.7718653995726126E-2</v>
      </c>
      <c r="V20" s="48">
        <f t="shared" si="2"/>
        <v>100</v>
      </c>
      <c r="W20" s="49">
        <f t="shared" si="3"/>
        <v>3.1812435997150752E-3</v>
      </c>
      <c r="X20" s="44">
        <f t="shared" si="4"/>
        <v>304.56316388002597</v>
      </c>
      <c r="Y20" s="44">
        <f t="shared" si="5"/>
        <v>1363</v>
      </c>
      <c r="Z20" s="44">
        <f t="shared" si="6"/>
        <v>1881.8366882802111</v>
      </c>
      <c r="AA20" s="50">
        <f t="shared" si="7"/>
        <v>2349.063163880026</v>
      </c>
      <c r="AB20" s="51">
        <f t="shared" si="8"/>
        <v>1762.0193710488868</v>
      </c>
      <c r="AC20" s="44">
        <f t="shared" si="8"/>
        <v>2199.4973444569532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1.2903205727715383</v>
      </c>
      <c r="AG20" s="44">
        <f t="shared" si="10"/>
        <v>2633.54428902671</v>
      </c>
      <c r="AH20" s="52">
        <f>HLOOKUP(I20,ElecAvoidedCostsWOCC!$A$5:$Q$50,T20+1,FALSE)</f>
        <v>1.2903205727715383</v>
      </c>
      <c r="AI20" s="44">
        <f t="shared" si="11"/>
        <v>0</v>
      </c>
      <c r="AJ20" s="44">
        <f t="shared" si="12"/>
        <v>2633.54428902671</v>
      </c>
      <c r="AK20" s="44">
        <f>HLOOKUP(I20,ElecAvoidedCostsWOCC!$A$5:$Q$50,G20+1,FALSE)*J20*L20</f>
        <v>0</v>
      </c>
      <c r="AL20" s="44">
        <f t="shared" si="13"/>
        <v>2633.54428902671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2633.54428902671</v>
      </c>
      <c r="AN20" s="48">
        <f t="shared" si="14"/>
        <v>2896.8987179293813</v>
      </c>
      <c r="AO20" s="47">
        <f t="shared" si="15"/>
        <v>1.4946171037035909</v>
      </c>
      <c r="AP20" s="47">
        <f t="shared" si="16"/>
        <v>1.317073069094618</v>
      </c>
    </row>
    <row r="21" spans="1:42" ht="13.5" customHeight="1" x14ac:dyDescent="0.35">
      <c r="A21" s="58" t="s">
        <v>236</v>
      </c>
      <c r="B21" s="97" t="s">
        <v>67</v>
      </c>
      <c r="C21" s="98">
        <v>18230524</v>
      </c>
      <c r="D21" s="61" t="s">
        <v>68</v>
      </c>
      <c r="E21" s="38" t="s">
        <v>1539</v>
      </c>
      <c r="F21" s="39" t="s">
        <v>1540</v>
      </c>
      <c r="G21" s="39">
        <v>13</v>
      </c>
      <c r="H21" s="39"/>
      <c r="I21" s="40" t="s">
        <v>260</v>
      </c>
      <c r="J21" s="41">
        <v>338</v>
      </c>
      <c r="K21" s="41">
        <v>0</v>
      </c>
      <c r="L21" s="41"/>
      <c r="M21" s="42"/>
      <c r="N21" s="42"/>
      <c r="O21" s="43">
        <v>0</v>
      </c>
      <c r="P21" s="44">
        <v>0</v>
      </c>
      <c r="Q21" s="44">
        <v>0</v>
      </c>
      <c r="R21" s="45">
        <v>0.32069999999999999</v>
      </c>
      <c r="S21" s="46">
        <v>0</v>
      </c>
      <c r="T21" s="39">
        <f t="shared" si="0"/>
        <v>13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916.30057999203098</v>
      </c>
      <c r="AE21" s="44">
        <f t="shared" si="17"/>
        <v>0</v>
      </c>
      <c r="AF21" s="52">
        <f>HLOOKUP(I21,ElecAvoidedCostsWOCC!$A$5:$Q$50,G21+1,FALSE)</f>
        <v>0.94976086996648723</v>
      </c>
      <c r="AG21" s="44">
        <f t="shared" si="10"/>
        <v>0</v>
      </c>
      <c r="AH21" s="52">
        <f>HLOOKUP(I21,ElecAvoidedCostsWOCC!$A$5:$Q$50,T21+1,FALSE)</f>
        <v>0.94976086996648723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916.30057999203098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1.4683716073054587</v>
      </c>
      <c r="B22" s="97" t="s">
        <v>67</v>
      </c>
      <c r="C22" s="98">
        <v>18230524</v>
      </c>
      <c r="D22" s="61" t="s">
        <v>68</v>
      </c>
      <c r="E22" s="38" t="s">
        <v>1541</v>
      </c>
      <c r="F22" s="39" t="s">
        <v>1542</v>
      </c>
      <c r="G22" s="39">
        <v>13</v>
      </c>
      <c r="H22" s="39"/>
      <c r="I22" s="40" t="s">
        <v>260</v>
      </c>
      <c r="J22" s="41">
        <v>53</v>
      </c>
      <c r="K22" s="41">
        <v>0</v>
      </c>
      <c r="L22" s="41"/>
      <c r="M22" s="42"/>
      <c r="N22" s="42"/>
      <c r="O22" s="43">
        <v>0</v>
      </c>
      <c r="P22" s="44">
        <v>0</v>
      </c>
      <c r="Q22" s="44">
        <v>0</v>
      </c>
      <c r="R22" s="45">
        <v>0.28389999999999999</v>
      </c>
      <c r="S22" s="46">
        <v>0</v>
      </c>
      <c r="T22" s="39">
        <f t="shared" si="0"/>
        <v>13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127.1931032612286</v>
      </c>
      <c r="AE22" s="44">
        <f t="shared" si="17"/>
        <v>0</v>
      </c>
      <c r="AF22" s="52">
        <f>HLOOKUP(I22,ElecAvoidedCostsWOCC!$A$5:$Q$50,G22+1,FALSE)</f>
        <v>0.94976086996648723</v>
      </c>
      <c r="AG22" s="44">
        <f t="shared" si="10"/>
        <v>0</v>
      </c>
      <c r="AH22" s="52">
        <f>HLOOKUP(I22,ElecAvoidedCostsWOCC!$A$5:$Q$50,T22+1,FALSE)</f>
        <v>0.94976086996648723</v>
      </c>
      <c r="AI22" s="44">
        <f t="shared" si="11"/>
        <v>0</v>
      </c>
      <c r="AJ22" s="44">
        <f t="shared" si="12"/>
        <v>0</v>
      </c>
      <c r="AK22" s="44">
        <f>HLOOKUP(I22,ElecAvoidedCostsWOCC!$A$5:$Q$50,G22+1,FALSE)*J22*L22</f>
        <v>0</v>
      </c>
      <c r="AL22" s="44">
        <f t="shared" si="13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127.1931032612286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67</v>
      </c>
      <c r="C23" s="98">
        <v>18230524</v>
      </c>
      <c r="D23" s="61" t="s">
        <v>68</v>
      </c>
      <c r="E23" s="38" t="s">
        <v>1543</v>
      </c>
      <c r="F23" s="39" t="s">
        <v>1544</v>
      </c>
      <c r="G23" s="39">
        <v>13</v>
      </c>
      <c r="H23" s="39"/>
      <c r="I23" s="40" t="s">
        <v>260</v>
      </c>
      <c r="J23" s="41">
        <v>115</v>
      </c>
      <c r="K23" s="41">
        <v>0</v>
      </c>
      <c r="L23" s="41"/>
      <c r="M23" s="42"/>
      <c r="N23" s="42"/>
      <c r="O23" s="43">
        <v>0</v>
      </c>
      <c r="P23" s="44">
        <v>0</v>
      </c>
      <c r="Q23" s="44">
        <v>0</v>
      </c>
      <c r="R23" s="45">
        <v>0.3306</v>
      </c>
      <c r="S23" s="46">
        <v>0</v>
      </c>
      <c r="T23" s="39">
        <f t="shared" si="0"/>
        <v>13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321.38306691092737</v>
      </c>
      <c r="AE23" s="44">
        <f t="shared" si="17"/>
        <v>0</v>
      </c>
      <c r="AF23" s="52">
        <f>HLOOKUP(I23,ElecAvoidedCostsWOCC!$A$5:$Q$50,G23+1,FALSE)</f>
        <v>0.94976086996648723</v>
      </c>
      <c r="AG23" s="44">
        <f t="shared" si="10"/>
        <v>0</v>
      </c>
      <c r="AH23" s="52">
        <f>HLOOKUP(I23,ElecAvoidedCostsWOCC!$A$5:$Q$50,T23+1,FALSE)</f>
        <v>0.94976086996648723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321.38306691092737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1.3044491448023918</v>
      </c>
      <c r="B24" s="97" t="s">
        <v>67</v>
      </c>
      <c r="C24" s="98">
        <v>18230524</v>
      </c>
      <c r="D24" s="61" t="s">
        <v>68</v>
      </c>
      <c r="E24" s="38" t="s">
        <v>1545</v>
      </c>
      <c r="F24" s="39" t="s">
        <v>1546</v>
      </c>
      <c r="G24" s="39">
        <v>13</v>
      </c>
      <c r="H24" s="39"/>
      <c r="I24" s="40" t="s">
        <v>260</v>
      </c>
      <c r="J24" s="41">
        <v>53</v>
      </c>
      <c r="K24" s="41">
        <v>0</v>
      </c>
      <c r="L24" s="41"/>
      <c r="M24" s="42"/>
      <c r="N24" s="42"/>
      <c r="O24" s="43">
        <v>0</v>
      </c>
      <c r="P24" s="44">
        <v>0</v>
      </c>
      <c r="Q24" s="44">
        <v>0</v>
      </c>
      <c r="R24" s="45">
        <v>0.32069999999999999</v>
      </c>
      <c r="S24" s="46">
        <v>0</v>
      </c>
      <c r="T24" s="39">
        <f t="shared" si="0"/>
        <v>13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143.68026846028889</v>
      </c>
      <c r="AE24" s="44">
        <f t="shared" si="17"/>
        <v>0</v>
      </c>
      <c r="AF24" s="52">
        <f>HLOOKUP(I24,ElecAvoidedCostsWOCC!$A$5:$Q$50,G24+1,FALSE)</f>
        <v>0.94976086996648723</v>
      </c>
      <c r="AG24" s="44">
        <f t="shared" si="10"/>
        <v>0</v>
      </c>
      <c r="AH24" s="52">
        <f>HLOOKUP(I24,ElecAvoidedCostsWOCC!$A$5:$Q$50,T24+1,FALSE)</f>
        <v>0.94976086996648723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143.68026846028889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67</v>
      </c>
      <c r="C25" s="98">
        <v>18230524</v>
      </c>
      <c r="D25" s="61" t="s">
        <v>68</v>
      </c>
      <c r="E25" s="38" t="s">
        <v>1547</v>
      </c>
      <c r="F25" s="39" t="s">
        <v>1548</v>
      </c>
      <c r="G25" s="39">
        <v>13</v>
      </c>
      <c r="H25" s="39"/>
      <c r="I25" s="40" t="s">
        <v>260</v>
      </c>
      <c r="J25" s="41">
        <v>18</v>
      </c>
      <c r="K25" s="41">
        <v>0</v>
      </c>
      <c r="L25" s="41"/>
      <c r="M25" s="42"/>
      <c r="N25" s="42"/>
      <c r="O25" s="43">
        <v>0</v>
      </c>
      <c r="P25" s="44">
        <v>0</v>
      </c>
      <c r="Q25" s="44">
        <v>0</v>
      </c>
      <c r="R25" s="45">
        <v>0.28389999999999999</v>
      </c>
      <c r="S25" s="46">
        <v>0</v>
      </c>
      <c r="T25" s="39">
        <f t="shared" ref="T25:T59" si="19">G25+H25</f>
        <v>13</v>
      </c>
      <c r="U25" s="47">
        <f t="shared" ref="U25:U59" si="20">(O25/$A$10)*T25</f>
        <v>0</v>
      </c>
      <c r="V25" s="48">
        <f t="shared" ref="V25:V59" si="21">N25-M25</f>
        <v>0</v>
      </c>
      <c r="W25" s="49">
        <f t="shared" ref="W25:W59" si="22">(O25/A$10)</f>
        <v>0</v>
      </c>
      <c r="X25" s="44">
        <f t="shared" ref="X25:X59" si="23">W25*A$8</f>
        <v>0</v>
      </c>
      <c r="Y25" s="44">
        <f t="shared" ref="Y25:Y59" si="24">Q25-P25</f>
        <v>0</v>
      </c>
      <c r="Z25" s="44">
        <f t="shared" ref="Z25:Z59" si="25">X25+(A$6*W25)</f>
        <v>0</v>
      </c>
      <c r="AA25" s="50">
        <f t="shared" ref="AA25:AA59" si="26">Q25+X25</f>
        <v>0</v>
      </c>
      <c r="AB25" s="51">
        <f t="shared" ref="AB25:AB59" si="27">Z25/(1+ElecDiscountRate)^1</f>
        <v>0</v>
      </c>
      <c r="AC25" s="44">
        <f t="shared" ref="AC25:AC59" si="28">AA25/(1+ElecDiscountRate)^1</f>
        <v>0</v>
      </c>
      <c r="AD25" s="44">
        <f t="shared" ref="AD25:AD59" si="29">-PV(ElecDiscountRate,T25,R25)*J25</f>
        <v>43.197657711360655</v>
      </c>
      <c r="AE25" s="44">
        <f t="shared" ref="AE25:AE59" si="30">-PV(ElecDiscountRate,T25,S25)*J25</f>
        <v>0</v>
      </c>
      <c r="AF25" s="52">
        <f>HLOOKUP(I25,ElecAvoidedCostsWOCC!$A$5:$Q$50,G25+1,FALSE)</f>
        <v>0.94976086996648723</v>
      </c>
      <c r="AG25" s="44">
        <f t="shared" ref="AG25:AG59" si="31">AF25*J25*K25</f>
        <v>0</v>
      </c>
      <c r="AH25" s="52">
        <f>HLOOKUP(I25,ElecAvoidedCostsWOCC!$A$5:$Q$50,T25+1,FALSE)</f>
        <v>0.94976086996648723</v>
      </c>
      <c r="AI25" s="44">
        <f t="shared" ref="AI25:AI59" si="32">AH25*J25*L25</f>
        <v>0</v>
      </c>
      <c r="AJ25" s="44">
        <f t="shared" ref="AJ25:AJ59" si="33">AG25+AI25</f>
        <v>0</v>
      </c>
      <c r="AK25" s="44">
        <f>HLOOKUP(I25,ElecAvoidedCostsWOCC!$A$5:$Q$50,G25+1,FALSE)*J25*L25</f>
        <v>0</v>
      </c>
      <c r="AL25" s="44">
        <f t="shared" ref="AL25:AL59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9" si="35">AM25*1.1+AD25+AE25</f>
        <v>43.197657711360655</v>
      </c>
      <c r="AO25" s="47">
        <f t="shared" ref="AO25:AO59" si="36">IFERROR(AM25/AB25,0)</f>
        <v>0</v>
      </c>
      <c r="AP25" s="47" t="e">
        <f t="shared" ref="AP25:AP59" si="37">AN25/AC25</f>
        <v>#DIV/0!</v>
      </c>
    </row>
    <row r="26" spans="1:42" ht="13.5" customHeight="1" x14ac:dyDescent="0.35">
      <c r="B26" s="97" t="s">
        <v>67</v>
      </c>
      <c r="C26" s="98">
        <v>18230524</v>
      </c>
      <c r="D26" s="61" t="s">
        <v>68</v>
      </c>
      <c r="E26" s="38" t="s">
        <v>1549</v>
      </c>
      <c r="F26" s="39" t="s">
        <v>1550</v>
      </c>
      <c r="G26" s="39">
        <v>13</v>
      </c>
      <c r="H26" s="39"/>
      <c r="I26" s="40" t="s">
        <v>260</v>
      </c>
      <c r="J26" s="41">
        <v>67</v>
      </c>
      <c r="K26" s="41">
        <v>0</v>
      </c>
      <c r="L26" s="41"/>
      <c r="M26" s="42"/>
      <c r="N26" s="42"/>
      <c r="O26" s="43">
        <v>0</v>
      </c>
      <c r="P26" s="44">
        <v>0</v>
      </c>
      <c r="Q26" s="44">
        <v>0</v>
      </c>
      <c r="R26" s="45">
        <v>0.32069999999999999</v>
      </c>
      <c r="S26" s="46">
        <v>0</v>
      </c>
      <c r="T26" s="39">
        <f t="shared" si="19"/>
        <v>13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181.63354692149727</v>
      </c>
      <c r="AE26" s="44">
        <f t="shared" si="30"/>
        <v>0</v>
      </c>
      <c r="AF26" s="52">
        <f>HLOOKUP(I26,ElecAvoidedCostsWOCC!$A$5:$Q$50,G26+1,FALSE)</f>
        <v>0.94976086996648723</v>
      </c>
      <c r="AG26" s="44">
        <f t="shared" si="31"/>
        <v>0</v>
      </c>
      <c r="AH26" s="52">
        <f>HLOOKUP(I26,ElecAvoidedCostsWOCC!$A$5:$Q$50,T26+1,FALSE)</f>
        <v>0.94976086996648723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181.63354692149727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67</v>
      </c>
      <c r="C27" s="98">
        <v>18230524</v>
      </c>
      <c r="D27" s="61" t="s">
        <v>68</v>
      </c>
      <c r="E27" s="38" t="s">
        <v>1551</v>
      </c>
      <c r="F27" s="39" t="s">
        <v>1552</v>
      </c>
      <c r="G27" s="39">
        <v>13</v>
      </c>
      <c r="H27" s="39"/>
      <c r="I27" s="40" t="s">
        <v>260</v>
      </c>
      <c r="J27" s="41">
        <v>21</v>
      </c>
      <c r="K27" s="41">
        <v>0</v>
      </c>
      <c r="L27" s="41"/>
      <c r="M27" s="42"/>
      <c r="N27" s="42"/>
      <c r="O27" s="43">
        <v>0</v>
      </c>
      <c r="P27" s="44">
        <v>0</v>
      </c>
      <c r="Q27" s="44">
        <v>0</v>
      </c>
      <c r="R27" s="45">
        <v>0.28389999999999999</v>
      </c>
      <c r="S27" s="46">
        <v>0</v>
      </c>
      <c r="T27" s="39">
        <f t="shared" si="19"/>
        <v>13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50.397267329920766</v>
      </c>
      <c r="AE27" s="44">
        <f t="shared" si="30"/>
        <v>0</v>
      </c>
      <c r="AF27" s="52">
        <f>HLOOKUP(I27,ElecAvoidedCostsWOCC!$A$5:$Q$50,G27+1,FALSE)</f>
        <v>0.94976086996648723</v>
      </c>
      <c r="AG27" s="44">
        <f t="shared" si="31"/>
        <v>0</v>
      </c>
      <c r="AH27" s="52">
        <f>HLOOKUP(I27,ElecAvoidedCostsWOCC!$A$5:$Q$50,T27+1,FALSE)</f>
        <v>0.94976086996648723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50.397267329920766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67</v>
      </c>
      <c r="C28" s="98">
        <v>18230524</v>
      </c>
      <c r="D28" s="61" t="s">
        <v>68</v>
      </c>
      <c r="E28" s="38" t="s">
        <v>1553</v>
      </c>
      <c r="F28" s="39" t="s">
        <v>1554</v>
      </c>
      <c r="G28" s="39">
        <v>13</v>
      </c>
      <c r="H28" s="39"/>
      <c r="I28" s="40" t="s">
        <v>260</v>
      </c>
      <c r="J28" s="41">
        <v>6</v>
      </c>
      <c r="K28" s="41">
        <v>0</v>
      </c>
      <c r="L28" s="41"/>
      <c r="M28" s="42"/>
      <c r="N28" s="42"/>
      <c r="O28" s="43">
        <v>0</v>
      </c>
      <c r="P28" s="44">
        <v>0</v>
      </c>
      <c r="Q28" s="44">
        <v>0</v>
      </c>
      <c r="R28" s="45">
        <v>0.3306</v>
      </c>
      <c r="S28" s="46">
        <v>0</v>
      </c>
      <c r="T28" s="39">
        <f t="shared" si="19"/>
        <v>13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16.767812186657078</v>
      </c>
      <c r="AE28" s="44">
        <f t="shared" si="30"/>
        <v>0</v>
      </c>
      <c r="AF28" s="52">
        <f>HLOOKUP(I28,ElecAvoidedCostsWOCC!$A$5:$Q$50,G28+1,FALSE)</f>
        <v>0.94976086996648723</v>
      </c>
      <c r="AG28" s="44">
        <f t="shared" si="31"/>
        <v>0</v>
      </c>
      <c r="AH28" s="52">
        <f>HLOOKUP(I28,ElecAvoidedCostsWOCC!$A$5:$Q$50,T28+1,FALSE)</f>
        <v>0.94976086996648723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16.767812186657078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 t="s">
        <v>1555</v>
      </c>
      <c r="F29" s="39" t="s">
        <v>1556</v>
      </c>
      <c r="G29" s="39">
        <v>15</v>
      </c>
      <c r="H29" s="39"/>
      <c r="I29" s="40" t="s">
        <v>266</v>
      </c>
      <c r="J29" s="41">
        <v>38</v>
      </c>
      <c r="K29" s="41">
        <v>769.60526315789468</v>
      </c>
      <c r="L29" s="41"/>
      <c r="M29" s="42">
        <v>400</v>
      </c>
      <c r="N29" s="42">
        <v>500</v>
      </c>
      <c r="O29" s="43">
        <v>29245</v>
      </c>
      <c r="P29" s="44">
        <v>15200</v>
      </c>
      <c r="Q29" s="44">
        <v>12467.28</v>
      </c>
      <c r="R29" s="45">
        <v>0</v>
      </c>
      <c r="S29" s="46">
        <v>0</v>
      </c>
      <c r="T29" s="39">
        <f t="shared" si="19"/>
        <v>15</v>
      </c>
      <c r="U29" s="47">
        <f t="shared" si="20"/>
        <v>0.68374916026703114</v>
      </c>
      <c r="V29" s="48">
        <f t="shared" si="21"/>
        <v>100</v>
      </c>
      <c r="W29" s="49">
        <f t="shared" si="22"/>
        <v>4.5583277351135411E-2</v>
      </c>
      <c r="X29" s="44">
        <f t="shared" si="23"/>
        <v>4364.0126054244784</v>
      </c>
      <c r="Y29" s="44">
        <f t="shared" si="24"/>
        <v>-2732.7199999999993</v>
      </c>
      <c r="Z29" s="44">
        <f t="shared" si="25"/>
        <v>26964.387040056234</v>
      </c>
      <c r="AA29" s="50">
        <f t="shared" si="26"/>
        <v>16831.292605424478</v>
      </c>
      <c r="AB29" s="51">
        <f t="shared" si="27"/>
        <v>25247.553408292351</v>
      </c>
      <c r="AC29" s="44">
        <f t="shared" si="28"/>
        <v>15759.637270996702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1.2903205727715383</v>
      </c>
      <c r="AG29" s="44">
        <f t="shared" si="31"/>
        <v>37735.425150703632</v>
      </c>
      <c r="AH29" s="52">
        <f>HLOOKUP(I29,ElecAvoidedCostsWOCC!$A$5:$Q$50,T29+1,FALSE)</f>
        <v>1.2903205727715383</v>
      </c>
      <c r="AI29" s="44">
        <f t="shared" si="32"/>
        <v>0</v>
      </c>
      <c r="AJ29" s="44">
        <f t="shared" si="33"/>
        <v>37735.425150703632</v>
      </c>
      <c r="AK29" s="44">
        <f>HLOOKUP(I29,ElecAvoidedCostsWOCC!$A$5:$Q$50,G29+1,FALSE)*J29*L29</f>
        <v>0</v>
      </c>
      <c r="AL29" s="44">
        <f t="shared" si="34"/>
        <v>37735.425150703632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37735.425150703639</v>
      </c>
      <c r="AN29" s="48">
        <f t="shared" si="35"/>
        <v>41508.967665774006</v>
      </c>
      <c r="AO29" s="47">
        <f t="shared" si="36"/>
        <v>1.4946171037035909</v>
      </c>
      <c r="AP29" s="47">
        <f t="shared" si="37"/>
        <v>2.6338783661071417</v>
      </c>
    </row>
    <row r="30" spans="1:42" x14ac:dyDescent="0.35">
      <c r="B30" s="37"/>
      <c r="C30" s="61"/>
      <c r="D30" s="61"/>
      <c r="E30" s="38" t="s">
        <v>1557</v>
      </c>
      <c r="F30" s="39" t="s">
        <v>1558</v>
      </c>
      <c r="G30" s="39">
        <v>15</v>
      </c>
      <c r="H30" s="39"/>
      <c r="I30" s="40" t="s">
        <v>266</v>
      </c>
      <c r="J30" s="41">
        <v>112</v>
      </c>
      <c r="K30" s="41">
        <v>1086.1785714285713</v>
      </c>
      <c r="L30" s="41"/>
      <c r="M30" s="42">
        <v>600</v>
      </c>
      <c r="N30" s="42">
        <v>840</v>
      </c>
      <c r="O30" s="43">
        <v>121652</v>
      </c>
      <c r="P30" s="44">
        <v>67200</v>
      </c>
      <c r="Q30" s="44">
        <v>77721.600000000006</v>
      </c>
      <c r="R30" s="45">
        <v>0</v>
      </c>
      <c r="S30" s="46">
        <v>0</v>
      </c>
      <c r="T30" s="39">
        <f t="shared" si="19"/>
        <v>15</v>
      </c>
      <c r="U30" s="47">
        <f t="shared" si="20"/>
        <v>2.8442281704498167</v>
      </c>
      <c r="V30" s="48">
        <f t="shared" si="21"/>
        <v>240</v>
      </c>
      <c r="W30" s="49">
        <f t="shared" si="22"/>
        <v>0.1896152113633211</v>
      </c>
      <c r="X30" s="44">
        <f t="shared" si="23"/>
        <v>18153.218036419854</v>
      </c>
      <c r="Y30" s="44">
        <f t="shared" si="24"/>
        <v>10521.600000000006</v>
      </c>
      <c r="Z30" s="44">
        <f t="shared" si="25"/>
        <v>112165.21156426471</v>
      </c>
      <c r="AA30" s="50">
        <f t="shared" si="26"/>
        <v>95874.818036419863</v>
      </c>
      <c r="AB30" s="51">
        <f t="shared" si="27"/>
        <v>105023.60633358118</v>
      </c>
      <c r="AC30" s="44">
        <f t="shared" si="28"/>
        <v>89770.428873052297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1.2903205727715383</v>
      </c>
      <c r="AG30" s="44">
        <f t="shared" si="31"/>
        <v>156970.07831880316</v>
      </c>
      <c r="AH30" s="52">
        <f>HLOOKUP(I30,ElecAvoidedCostsWOCC!$A$5:$Q$50,T30+1,FALSE)</f>
        <v>1.2903205727715383</v>
      </c>
      <c r="AI30" s="44">
        <f t="shared" si="32"/>
        <v>0</v>
      </c>
      <c r="AJ30" s="44">
        <f t="shared" si="33"/>
        <v>156970.07831880316</v>
      </c>
      <c r="AK30" s="44">
        <f>HLOOKUP(I30,ElecAvoidedCostsWOCC!$A$5:$Q$50,G30+1,FALSE)*J30*L30</f>
        <v>0</v>
      </c>
      <c r="AL30" s="44">
        <f t="shared" si="34"/>
        <v>156970.07831880316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156970.07831880316</v>
      </c>
      <c r="AN30" s="48">
        <f t="shared" si="35"/>
        <v>172667.08615068349</v>
      </c>
      <c r="AO30" s="47">
        <f t="shared" si="36"/>
        <v>1.4946171037035905</v>
      </c>
      <c r="AP30" s="47">
        <f t="shared" si="37"/>
        <v>1.9234294446209947</v>
      </c>
    </row>
    <row r="31" spans="1:42" x14ac:dyDescent="0.35">
      <c r="B31" s="37"/>
      <c r="C31" s="61"/>
      <c r="D31" s="61"/>
      <c r="E31" s="38" t="s">
        <v>1559</v>
      </c>
      <c r="F31" s="39" t="s">
        <v>1560</v>
      </c>
      <c r="G31" s="39">
        <v>13</v>
      </c>
      <c r="H31" s="39"/>
      <c r="I31" s="40" t="s">
        <v>260</v>
      </c>
      <c r="J31" s="41">
        <v>6</v>
      </c>
      <c r="K31" s="41">
        <v>7114.166666666667</v>
      </c>
      <c r="L31" s="41"/>
      <c r="M31" s="42">
        <v>600</v>
      </c>
      <c r="N31" s="42">
        <v>727.16</v>
      </c>
      <c r="O31" s="43">
        <v>42685</v>
      </c>
      <c r="P31" s="44">
        <v>3200</v>
      </c>
      <c r="Q31" s="44">
        <v>2254.6799999999998</v>
      </c>
      <c r="R31" s="45">
        <v>0</v>
      </c>
      <c r="S31" s="46">
        <v>0</v>
      </c>
      <c r="T31" s="39">
        <f t="shared" si="19"/>
        <v>13</v>
      </c>
      <c r="U31" s="47">
        <f t="shared" si="20"/>
        <v>0.86491326785884071</v>
      </c>
      <c r="V31" s="48">
        <f t="shared" si="21"/>
        <v>127.15999999999997</v>
      </c>
      <c r="W31" s="49">
        <f t="shared" si="22"/>
        <v>6.6531789835295438E-2</v>
      </c>
      <c r="X31" s="44">
        <f t="shared" si="23"/>
        <v>6369.5632779122534</v>
      </c>
      <c r="Y31" s="44">
        <f t="shared" si="24"/>
        <v>-945.32000000000016</v>
      </c>
      <c r="Z31" s="44">
        <f t="shared" si="25"/>
        <v>39356.295462636364</v>
      </c>
      <c r="AA31" s="50">
        <f t="shared" si="26"/>
        <v>8624.2432779122537</v>
      </c>
      <c r="AB31" s="51">
        <f t="shared" si="27"/>
        <v>36850.463916326182</v>
      </c>
      <c r="AC31" s="44">
        <f t="shared" si="28"/>
        <v>8075.1341553485518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0.94976086996648723</v>
      </c>
      <c r="AG31" s="44">
        <f t="shared" si="31"/>
        <v>40540.542734519506</v>
      </c>
      <c r="AH31" s="52">
        <f>HLOOKUP(I31,ElecAvoidedCostsWOCC!$A$5:$Q$50,T31+1,FALSE)</f>
        <v>0.94976086996648723</v>
      </c>
      <c r="AI31" s="44">
        <f t="shared" si="32"/>
        <v>0</v>
      </c>
      <c r="AJ31" s="44">
        <f t="shared" si="33"/>
        <v>40540.542734519506</v>
      </c>
      <c r="AK31" s="44">
        <f>HLOOKUP(I31,ElecAvoidedCostsWOCC!$A$5:$Q$50,G31+1,FALSE)*J31*L31</f>
        <v>0</v>
      </c>
      <c r="AL31" s="44">
        <f t="shared" si="34"/>
        <v>40540.542734519506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40540.542734519506</v>
      </c>
      <c r="AN31" s="48">
        <f t="shared" si="35"/>
        <v>44594.597007971461</v>
      </c>
      <c r="AO31" s="47">
        <f t="shared" si="36"/>
        <v>1.1001365634520133</v>
      </c>
      <c r="AP31" s="47">
        <f t="shared" si="37"/>
        <v>5.5224589647757494</v>
      </c>
    </row>
    <row r="32" spans="1:42" x14ac:dyDescent="0.35">
      <c r="B32" s="37"/>
      <c r="C32" s="61"/>
      <c r="D32" s="61"/>
      <c r="E32" s="38" t="s">
        <v>1561</v>
      </c>
      <c r="F32" s="39" t="s">
        <v>1562</v>
      </c>
      <c r="G32" s="39"/>
      <c r="H32" s="39"/>
      <c r="I32" s="40"/>
      <c r="J32" s="41">
        <v>132</v>
      </c>
      <c r="K32" s="41">
        <v>0</v>
      </c>
      <c r="L32" s="41"/>
      <c r="M32" s="42">
        <v>50</v>
      </c>
      <c r="N32" s="42">
        <v>0</v>
      </c>
      <c r="O32" s="43">
        <v>0</v>
      </c>
      <c r="P32" s="44">
        <v>6600</v>
      </c>
      <c r="Q32" s="44">
        <v>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-50</v>
      </c>
      <c r="W32" s="49">
        <f t="shared" si="22"/>
        <v>0</v>
      </c>
      <c r="X32" s="44">
        <f t="shared" si="23"/>
        <v>0</v>
      </c>
      <c r="Y32" s="44">
        <f t="shared" si="24"/>
        <v>-6600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 t="s">
        <v>1563</v>
      </c>
      <c r="F33" s="39" t="s">
        <v>1564</v>
      </c>
      <c r="G33" s="39">
        <v>15</v>
      </c>
      <c r="H33" s="39"/>
      <c r="I33" s="40" t="s">
        <v>266</v>
      </c>
      <c r="J33" s="41">
        <v>19</v>
      </c>
      <c r="K33" s="41">
        <v>3427.3157894736842</v>
      </c>
      <c r="L33" s="41"/>
      <c r="M33" s="42">
        <v>125</v>
      </c>
      <c r="N33" s="42">
        <v>204</v>
      </c>
      <c r="O33" s="43">
        <v>65119</v>
      </c>
      <c r="P33" s="44">
        <v>40455</v>
      </c>
      <c r="Q33" s="44">
        <v>66022.559999999998</v>
      </c>
      <c r="R33" s="45">
        <v>0</v>
      </c>
      <c r="S33" s="46">
        <v>0</v>
      </c>
      <c r="T33" s="39">
        <f t="shared" si="19"/>
        <v>15</v>
      </c>
      <c r="U33" s="47">
        <f t="shared" si="20"/>
        <v>1.5224845808660901</v>
      </c>
      <c r="V33" s="48">
        <f t="shared" si="21"/>
        <v>79</v>
      </c>
      <c r="W33" s="49">
        <f t="shared" si="22"/>
        <v>0.10149897205773933</v>
      </c>
      <c r="X33" s="44">
        <f t="shared" si="23"/>
        <v>9717.2212977478739</v>
      </c>
      <c r="Y33" s="44">
        <f t="shared" si="24"/>
        <v>25567.559999999998</v>
      </c>
      <c r="Z33" s="44">
        <f t="shared" si="25"/>
        <v>60040.824744791316</v>
      </c>
      <c r="AA33" s="50">
        <f t="shared" si="26"/>
        <v>75739.781297747875</v>
      </c>
      <c r="AB33" s="51">
        <f t="shared" si="27"/>
        <v>56218.000697370146</v>
      </c>
      <c r="AC33" s="44">
        <f t="shared" si="28"/>
        <v>70917.398218865041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1.2903205727715383</v>
      </c>
      <c r="AG33" s="44">
        <f t="shared" si="31"/>
        <v>84024.385378309802</v>
      </c>
      <c r="AH33" s="52">
        <f>HLOOKUP(I33,ElecAvoidedCostsWOCC!$A$5:$Q$50,T33+1,FALSE)</f>
        <v>1.2903205727715383</v>
      </c>
      <c r="AI33" s="44">
        <f t="shared" si="32"/>
        <v>0</v>
      </c>
      <c r="AJ33" s="44">
        <f t="shared" si="33"/>
        <v>84024.385378309802</v>
      </c>
      <c r="AK33" s="44">
        <f>HLOOKUP(I33,ElecAvoidedCostsWOCC!$A$5:$Q$50,G33+1,FALSE)*J33*L33</f>
        <v>0</v>
      </c>
      <c r="AL33" s="44">
        <f t="shared" si="34"/>
        <v>84024.385378309802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84024.385378309802</v>
      </c>
      <c r="AN33" s="48">
        <f t="shared" si="35"/>
        <v>92426.823916140784</v>
      </c>
      <c r="AO33" s="47">
        <f t="shared" si="36"/>
        <v>1.4946171037035905</v>
      </c>
      <c r="AP33" s="47">
        <f t="shared" si="37"/>
        <v>1.303302521489768</v>
      </c>
    </row>
    <row r="34" spans="2:42" x14ac:dyDescent="0.35">
      <c r="B34" s="37"/>
      <c r="C34" s="61"/>
      <c r="D34" s="61"/>
      <c r="E34" s="38" t="s">
        <v>1565</v>
      </c>
      <c r="F34" s="39" t="s">
        <v>1566</v>
      </c>
      <c r="G34" s="39">
        <v>15</v>
      </c>
      <c r="H34" s="39"/>
      <c r="I34" s="40" t="s">
        <v>266</v>
      </c>
      <c r="J34" s="41">
        <v>9</v>
      </c>
      <c r="K34" s="41">
        <v>2011</v>
      </c>
      <c r="L34" s="41"/>
      <c r="M34" s="42">
        <v>125</v>
      </c>
      <c r="N34" s="42">
        <v>298</v>
      </c>
      <c r="O34" s="43">
        <v>18099</v>
      </c>
      <c r="P34" s="44">
        <v>9813.75</v>
      </c>
      <c r="Q34" s="44">
        <v>23395.98</v>
      </c>
      <c r="R34" s="45">
        <v>0</v>
      </c>
      <c r="S34" s="46">
        <v>0</v>
      </c>
      <c r="T34" s="39">
        <f t="shared" si="19"/>
        <v>15</v>
      </c>
      <c r="U34" s="47">
        <f t="shared" si="20"/>
        <v>0.42315527617278159</v>
      </c>
      <c r="V34" s="48">
        <f t="shared" si="21"/>
        <v>173</v>
      </c>
      <c r="W34" s="49">
        <f t="shared" si="22"/>
        <v>2.8210351744852105E-2</v>
      </c>
      <c r="X34" s="44">
        <f t="shared" si="23"/>
        <v>2700.7783944461489</v>
      </c>
      <c r="Y34" s="44">
        <f t="shared" si="24"/>
        <v>13582.23</v>
      </c>
      <c r="Z34" s="44">
        <f t="shared" si="25"/>
        <v>16687.585605675424</v>
      </c>
      <c r="AA34" s="50">
        <f t="shared" si="26"/>
        <v>26096.758394446148</v>
      </c>
      <c r="AB34" s="51">
        <f t="shared" si="27"/>
        <v>15625.0801551268</v>
      </c>
      <c r="AC34" s="44">
        <f t="shared" si="28"/>
        <v>24435.167035998264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1.2903205727715383</v>
      </c>
      <c r="AG34" s="44">
        <f t="shared" si="31"/>
        <v>23353.512046592074</v>
      </c>
      <c r="AH34" s="52">
        <f>HLOOKUP(I34,ElecAvoidedCostsWOCC!$A$5:$Q$50,T34+1,FALSE)</f>
        <v>1.2903205727715383</v>
      </c>
      <c r="AI34" s="44">
        <f t="shared" si="32"/>
        <v>0</v>
      </c>
      <c r="AJ34" s="44">
        <f t="shared" si="33"/>
        <v>23353.512046592074</v>
      </c>
      <c r="AK34" s="44">
        <f>HLOOKUP(I34,ElecAvoidedCostsWOCC!$A$5:$Q$50,G34+1,FALSE)*J34*L34</f>
        <v>0</v>
      </c>
      <c r="AL34" s="44">
        <f t="shared" si="34"/>
        <v>23353.512046592074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23353.512046592074</v>
      </c>
      <c r="AN34" s="48">
        <f t="shared" si="35"/>
        <v>25688.863251251281</v>
      </c>
      <c r="AO34" s="47">
        <f t="shared" si="36"/>
        <v>1.4946171037035909</v>
      </c>
      <c r="AP34" s="47">
        <f t="shared" si="37"/>
        <v>1.0513070450226942</v>
      </c>
    </row>
    <row r="35" spans="2:42" x14ac:dyDescent="0.35">
      <c r="B35" s="37"/>
      <c r="C35" s="61"/>
      <c r="D35" s="61"/>
      <c r="E35" s="38" t="s">
        <v>1567</v>
      </c>
      <c r="F35" s="39" t="s">
        <v>1568</v>
      </c>
      <c r="G35" s="39">
        <v>15</v>
      </c>
      <c r="H35" s="39"/>
      <c r="I35" s="40" t="s">
        <v>266</v>
      </c>
      <c r="J35" s="41">
        <v>1</v>
      </c>
      <c r="K35" s="41">
        <v>2255</v>
      </c>
      <c r="L35" s="41"/>
      <c r="M35" s="42">
        <v>125</v>
      </c>
      <c r="N35" s="42">
        <v>204</v>
      </c>
      <c r="O35" s="43">
        <v>2255</v>
      </c>
      <c r="P35" s="44">
        <v>937.5</v>
      </c>
      <c r="Q35" s="44">
        <v>1530</v>
      </c>
      <c r="R35" s="45">
        <v>0</v>
      </c>
      <c r="S35" s="46">
        <v>0</v>
      </c>
      <c r="T35" s="39">
        <f t="shared" si="19"/>
        <v>15</v>
      </c>
      <c r="U35" s="47">
        <f t="shared" si="20"/>
        <v>5.2721981754219709E-2</v>
      </c>
      <c r="V35" s="48">
        <f t="shared" si="21"/>
        <v>79</v>
      </c>
      <c r="W35" s="49">
        <f t="shared" si="22"/>
        <v>3.5147987836146471E-3</v>
      </c>
      <c r="X35" s="44">
        <f t="shared" si="23"/>
        <v>336.49678321874501</v>
      </c>
      <c r="Y35" s="44">
        <f t="shared" si="24"/>
        <v>592.5</v>
      </c>
      <c r="Z35" s="44">
        <f t="shared" si="25"/>
        <v>2079.1483253659362</v>
      </c>
      <c r="AA35" s="50">
        <f t="shared" si="26"/>
        <v>1866.4967832187449</v>
      </c>
      <c r="AB35" s="51">
        <f t="shared" si="27"/>
        <v>1946.7680949119251</v>
      </c>
      <c r="AC35" s="44">
        <f t="shared" si="28"/>
        <v>1747.656164062495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1.2903205727715383</v>
      </c>
      <c r="AG35" s="44">
        <f t="shared" si="31"/>
        <v>2909.6728915998187</v>
      </c>
      <c r="AH35" s="52">
        <f>HLOOKUP(I35,ElecAvoidedCostsWOCC!$A$5:$Q$50,T35+1,FALSE)</f>
        <v>1.2903205727715383</v>
      </c>
      <c r="AI35" s="44">
        <f t="shared" si="32"/>
        <v>0</v>
      </c>
      <c r="AJ35" s="44">
        <f t="shared" si="33"/>
        <v>2909.6728915998187</v>
      </c>
      <c r="AK35" s="44">
        <f>HLOOKUP(I35,ElecAvoidedCostsWOCC!$A$5:$Q$50,G35+1,FALSE)*J35*L35</f>
        <v>0</v>
      </c>
      <c r="AL35" s="44">
        <f t="shared" si="34"/>
        <v>2909.6728915998187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2909.6728915998187</v>
      </c>
      <c r="AN35" s="48">
        <f t="shared" si="35"/>
        <v>3200.6401807598008</v>
      </c>
      <c r="AO35" s="47">
        <f t="shared" si="36"/>
        <v>1.4946171037035909</v>
      </c>
      <c r="AP35" s="47">
        <f t="shared" si="37"/>
        <v>1.8313900906685143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59 R5:S59">
    <cfRule type="expression" dxfId="182" priority="2">
      <formula>ISTEXT(M5)</formula>
    </cfRule>
  </conditionalFormatting>
  <conditionalFormatting sqref="M5:N59 R5:S59">
    <cfRule type="notContainsBlanks" dxfId="181" priority="3">
      <formula>LEN(TRIM(M5))&gt;0</formula>
    </cfRule>
  </conditionalFormatting>
  <conditionalFormatting sqref="R5:S5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F11" sqref="F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18231134</v>
      </c>
      <c r="D2" s="20" t="s">
        <v>167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18231134</v>
      </c>
      <c r="D5" s="61" t="s">
        <v>167</v>
      </c>
      <c r="E5" s="38" t="s">
        <v>1569</v>
      </c>
      <c r="F5" s="39" t="s">
        <v>1570</v>
      </c>
      <c r="G5" s="39">
        <v>12</v>
      </c>
      <c r="H5" s="39"/>
      <c r="I5" s="40" t="s">
        <v>265</v>
      </c>
      <c r="J5" s="41">
        <v>25</v>
      </c>
      <c r="K5" s="41">
        <v>231</v>
      </c>
      <c r="L5" s="41"/>
      <c r="M5" s="42">
        <v>42.4</v>
      </c>
      <c r="N5" s="42">
        <v>42.4</v>
      </c>
      <c r="O5" s="43">
        <v>5775</v>
      </c>
      <c r="P5" s="44">
        <v>1060</v>
      </c>
      <c r="Q5" s="44">
        <v>1060</v>
      </c>
      <c r="R5" s="45">
        <v>0</v>
      </c>
      <c r="S5" s="46">
        <v>0</v>
      </c>
      <c r="T5" s="39">
        <f t="shared" ref="T5:T23" si="0">G5+H5</f>
        <v>12</v>
      </c>
      <c r="U5" s="47">
        <f t="shared" ref="U5:U23" si="1">(O5/$A$10)*T5</f>
        <v>4.990943497306847E-3</v>
      </c>
      <c r="V5" s="48">
        <f t="shared" ref="V5:V23" si="2">N5-M5</f>
        <v>0</v>
      </c>
      <c r="W5" s="49">
        <f t="shared" ref="W5:W23" si="3">(O5/A$10)</f>
        <v>4.1591195810890394E-4</v>
      </c>
      <c r="X5" s="44">
        <f t="shared" ref="X5:X23" si="4">W5*A$8</f>
        <v>551.54816353956062</v>
      </c>
      <c r="Y5" s="44">
        <f t="shared" ref="Y5:Y23" si="5">Q5-P5</f>
        <v>0</v>
      </c>
      <c r="Z5" s="44">
        <f t="shared" ref="Z5:Z23" si="6">X5+(A$6*W5)</f>
        <v>3282.5986548314022</v>
      </c>
      <c r="AA5" s="50">
        <f t="shared" ref="AA5:AA23" si="7">Q5+X5</f>
        <v>1611.5481635395606</v>
      </c>
      <c r="AB5" s="51">
        <f t="shared" ref="AB5:AC19" si="8">Z5/(1+ElecDiscountRate)^1</f>
        <v>3073.5942460968186</v>
      </c>
      <c r="AC5" s="44">
        <f t="shared" si="8"/>
        <v>1508.9402280332963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0.88470520788483886</v>
      </c>
      <c r="AG5" s="44">
        <f t="shared" ref="AG5:AG23" si="10">AF5*J5*K5</f>
        <v>5109.1725755349444</v>
      </c>
      <c r="AH5" s="52">
        <f>HLOOKUP(I5,ElecAvoidedCostsWOCC!$A$5:$Q$50,T5+1,FALSE)</f>
        <v>0.88470520788483886</v>
      </c>
      <c r="AI5" s="44">
        <f t="shared" ref="AI5:AI23" si="11">AH5*J5*L5</f>
        <v>0</v>
      </c>
      <c r="AJ5" s="44">
        <f>AG5+AI5</f>
        <v>5109.1725755349444</v>
      </c>
      <c r="AK5" s="44">
        <f>HLOOKUP(I5,ElecAvoidedCostsWOCC!$A$5:$Q$50,G5+1,FALSE)*J5*L5</f>
        <v>0</v>
      </c>
      <c r="AL5" s="44">
        <f>AG5+AI5-AK5</f>
        <v>5109.1725755349444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5109.1725755349444</v>
      </c>
      <c r="AN5" s="48">
        <f>AM5*1.1+AD5+AE5</f>
        <v>5620.0898330884393</v>
      </c>
      <c r="AO5" s="47">
        <f>IFERROR(AM5/AB5,0)</f>
        <v>1.6622794573561954</v>
      </c>
      <c r="AP5" s="47">
        <f>AN5/AC5</f>
        <v>3.7245278034726943</v>
      </c>
    </row>
    <row r="6" spans="1:42" ht="13.5" customHeight="1" x14ac:dyDescent="0.35">
      <c r="A6" s="53">
        <f>SUMIF('Program Costs'!D:D,C2,'Program Costs'!L:L)</f>
        <v>6566414.9299999997</v>
      </c>
      <c r="B6" s="97" t="s">
        <v>67</v>
      </c>
      <c r="C6" s="98">
        <v>18231134</v>
      </c>
      <c r="D6" s="61" t="s">
        <v>167</v>
      </c>
      <c r="E6" s="38" t="s">
        <v>1571</v>
      </c>
      <c r="F6" s="39" t="s">
        <v>1572</v>
      </c>
      <c r="G6" s="39">
        <v>12</v>
      </c>
      <c r="H6" s="39"/>
      <c r="I6" s="40" t="s">
        <v>262</v>
      </c>
      <c r="J6" s="41">
        <v>6</v>
      </c>
      <c r="K6" s="41">
        <v>54</v>
      </c>
      <c r="L6" s="41"/>
      <c r="M6" s="42">
        <v>37</v>
      </c>
      <c r="N6" s="42">
        <v>37</v>
      </c>
      <c r="O6" s="43">
        <v>324</v>
      </c>
      <c r="P6" s="44">
        <v>222</v>
      </c>
      <c r="Q6" s="44">
        <v>222</v>
      </c>
      <c r="R6" s="45">
        <v>0</v>
      </c>
      <c r="S6" s="46">
        <v>0</v>
      </c>
      <c r="T6" s="39">
        <f t="shared" si="0"/>
        <v>12</v>
      </c>
      <c r="U6" s="47">
        <f t="shared" si="1"/>
        <v>2.8001137543331924E-4</v>
      </c>
      <c r="V6" s="48">
        <f t="shared" si="2"/>
        <v>0</v>
      </c>
      <c r="W6" s="49">
        <f t="shared" si="3"/>
        <v>2.3334281286109934E-5</v>
      </c>
      <c r="X6" s="44">
        <f t="shared" si="4"/>
        <v>30.944000863518202</v>
      </c>
      <c r="Y6" s="44">
        <f t="shared" si="5"/>
        <v>0</v>
      </c>
      <c r="Z6" s="44">
        <f t="shared" si="6"/>
        <v>184.16657388145006</v>
      </c>
      <c r="AA6" s="50">
        <f t="shared" si="7"/>
        <v>252.9440008635182</v>
      </c>
      <c r="AB6" s="51">
        <f t="shared" si="8"/>
        <v>172.44061224854875</v>
      </c>
      <c r="AC6" s="44">
        <f t="shared" si="8"/>
        <v>236.83895211939904</v>
      </c>
      <c r="AD6" s="44">
        <f t="shared" si="9"/>
        <v>0</v>
      </c>
      <c r="AE6" s="44">
        <v>0</v>
      </c>
      <c r="AF6" s="52">
        <f>HLOOKUP(I6,ElecAvoidedCostsWOCC!$A$5:$Q$50,G6+1,FALSE)</f>
        <v>0.91128284670075355</v>
      </c>
      <c r="AG6" s="44">
        <f t="shared" si="10"/>
        <v>295.25564233104416</v>
      </c>
      <c r="AH6" s="52">
        <f>HLOOKUP(I6,ElecAvoidedCostsWOCC!$A$5:$Q$50,T6+1,FALSE)</f>
        <v>0.91128284670075355</v>
      </c>
      <c r="AI6" s="44">
        <f t="shared" si="11"/>
        <v>0</v>
      </c>
      <c r="AJ6" s="44">
        <f t="shared" ref="AJ6:AJ23" si="12">AG6+AI6</f>
        <v>295.25564233104416</v>
      </c>
      <c r="AK6" s="44">
        <f>HLOOKUP(I6,ElecAvoidedCostsWOCC!$A$5:$Q$50,G6+1,FALSE)*J6*L6</f>
        <v>0</v>
      </c>
      <c r="AL6" s="44">
        <f t="shared" ref="AL6:AL23" si="13">AG6+AI6-AK6</f>
        <v>295.25564233104416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295.2556423310441</v>
      </c>
      <c r="AN6" s="48">
        <f t="shared" ref="AN6:AN23" si="14">AM6*1.1+AD6+AE6</f>
        <v>324.78120656414853</v>
      </c>
      <c r="AO6" s="47">
        <f t="shared" ref="AO6:AO23" si="15">IFERROR(AM6/AB6,0)</f>
        <v>1.7122163884774131</v>
      </c>
      <c r="AP6" s="47">
        <f t="shared" ref="AP6:AP23" si="16">AN6/AC6</f>
        <v>1.3713166844295723</v>
      </c>
    </row>
    <row r="7" spans="1:42" ht="13.5" customHeight="1" x14ac:dyDescent="0.35">
      <c r="A7" s="36" t="s">
        <v>240</v>
      </c>
      <c r="B7" s="97" t="s">
        <v>67</v>
      </c>
      <c r="C7" s="98">
        <v>18231134</v>
      </c>
      <c r="D7" s="61" t="s">
        <v>167</v>
      </c>
      <c r="E7" s="38" t="s">
        <v>1573</v>
      </c>
      <c r="F7" s="39" t="s">
        <v>1572</v>
      </c>
      <c r="G7" s="39">
        <v>12</v>
      </c>
      <c r="H7" s="39"/>
      <c r="I7" s="40" t="s">
        <v>262</v>
      </c>
      <c r="J7" s="41">
        <v>66</v>
      </c>
      <c r="K7" s="41">
        <v>52</v>
      </c>
      <c r="L7" s="41"/>
      <c r="M7" s="42">
        <v>37</v>
      </c>
      <c r="N7" s="42">
        <v>37</v>
      </c>
      <c r="O7" s="43">
        <v>3432</v>
      </c>
      <c r="P7" s="44">
        <v>2442</v>
      </c>
      <c r="Q7" s="44">
        <v>2442</v>
      </c>
      <c r="R7" s="45">
        <v>1.8240000000000001</v>
      </c>
      <c r="S7" s="46">
        <v>0</v>
      </c>
      <c r="T7" s="39">
        <f t="shared" si="0"/>
        <v>12</v>
      </c>
      <c r="U7" s="47">
        <f t="shared" si="1"/>
        <v>2.9660464212566406E-3</v>
      </c>
      <c r="V7" s="48">
        <f t="shared" si="2"/>
        <v>0</v>
      </c>
      <c r="W7" s="49">
        <f t="shared" si="3"/>
        <v>2.4717053510472004E-4</v>
      </c>
      <c r="X7" s="44">
        <f t="shared" si="4"/>
        <v>327.77719433208171</v>
      </c>
      <c r="Y7" s="44">
        <f t="shared" si="5"/>
        <v>0</v>
      </c>
      <c r="Z7" s="44">
        <f t="shared" si="6"/>
        <v>1950.8014862998045</v>
      </c>
      <c r="AA7" s="50">
        <f t="shared" si="7"/>
        <v>2769.7771943320818</v>
      </c>
      <c r="AB7" s="51">
        <f t="shared" si="8"/>
        <v>1826.593151966109</v>
      </c>
      <c r="AC7" s="44">
        <f t="shared" si="8"/>
        <v>2593.4243392622488</v>
      </c>
      <c r="AD7" s="44">
        <f t="shared" si="9"/>
        <v>966.44776589708897</v>
      </c>
      <c r="AE7" s="44">
        <v>0</v>
      </c>
      <c r="AF7" s="52">
        <f>HLOOKUP(I7,ElecAvoidedCostsWOCC!$A$5:$Q$50,G7+1,FALSE)</f>
        <v>0.91128284670075355</v>
      </c>
      <c r="AG7" s="44">
        <f t="shared" si="10"/>
        <v>3127.522729876986</v>
      </c>
      <c r="AH7" s="52">
        <f>HLOOKUP(I7,ElecAvoidedCostsWOCC!$A$5:$Q$50,T7+1,FALSE)</f>
        <v>0.91128284670075355</v>
      </c>
      <c r="AI7" s="44">
        <f t="shared" si="11"/>
        <v>0</v>
      </c>
      <c r="AJ7" s="44">
        <f t="shared" si="12"/>
        <v>3127.522729876986</v>
      </c>
      <c r="AK7" s="44">
        <f>HLOOKUP(I7,ElecAvoidedCostsWOCC!$A$5:$Q$50,G7+1,FALSE)*J7*L7</f>
        <v>0</v>
      </c>
      <c r="AL7" s="44">
        <f t="shared" si="13"/>
        <v>3127.522729876986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3127.5227298769864</v>
      </c>
      <c r="AN7" s="48">
        <f t="shared" si="14"/>
        <v>4406.7227687617742</v>
      </c>
      <c r="AO7" s="47">
        <f t="shared" si="15"/>
        <v>1.7122163884774135</v>
      </c>
      <c r="AP7" s="47">
        <f t="shared" si="16"/>
        <v>1.6991907965263233</v>
      </c>
    </row>
    <row r="8" spans="1:42" ht="13.5" customHeight="1" x14ac:dyDescent="0.35">
      <c r="A8" s="53">
        <f>SUMIF('Program Costs'!D:D,C2,'Program Costs'!O:O)</f>
        <v>1326117.5899999999</v>
      </c>
      <c r="B8" s="97" t="s">
        <v>67</v>
      </c>
      <c r="C8" s="98">
        <v>18231134</v>
      </c>
      <c r="D8" s="61" t="s">
        <v>167</v>
      </c>
      <c r="E8" s="38" t="s">
        <v>1574</v>
      </c>
      <c r="F8" s="39" t="s">
        <v>1575</v>
      </c>
      <c r="G8" s="39">
        <v>12</v>
      </c>
      <c r="H8" s="39"/>
      <c r="I8" s="40" t="s">
        <v>262</v>
      </c>
      <c r="J8" s="41">
        <v>35</v>
      </c>
      <c r="K8" s="41">
        <v>105</v>
      </c>
      <c r="L8" s="41"/>
      <c r="M8" s="42">
        <v>37</v>
      </c>
      <c r="N8" s="42">
        <v>37</v>
      </c>
      <c r="O8" s="43">
        <v>3675</v>
      </c>
      <c r="P8" s="44">
        <v>1295</v>
      </c>
      <c r="Q8" s="44">
        <v>1295</v>
      </c>
      <c r="R8" s="45">
        <v>0</v>
      </c>
      <c r="S8" s="46">
        <v>0</v>
      </c>
      <c r="T8" s="39">
        <f t="shared" si="0"/>
        <v>12</v>
      </c>
      <c r="U8" s="47">
        <f t="shared" si="1"/>
        <v>3.1760549528316306E-3</v>
      </c>
      <c r="V8" s="48">
        <f t="shared" si="2"/>
        <v>0</v>
      </c>
      <c r="W8" s="49">
        <f t="shared" si="3"/>
        <v>2.6467124606930254E-4</v>
      </c>
      <c r="X8" s="44">
        <f t="shared" si="4"/>
        <v>350.9851949797204</v>
      </c>
      <c r="Y8" s="44">
        <f t="shared" si="5"/>
        <v>0</v>
      </c>
      <c r="Z8" s="44">
        <f t="shared" si="6"/>
        <v>2088.9264167108922</v>
      </c>
      <c r="AA8" s="50">
        <f t="shared" si="7"/>
        <v>1645.9851949797203</v>
      </c>
      <c r="AB8" s="51">
        <f t="shared" si="8"/>
        <v>1955.9236111525206</v>
      </c>
      <c r="AC8" s="44">
        <f t="shared" si="8"/>
        <v>1541.1846394941201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0.91128284670075355</v>
      </c>
      <c r="AG8" s="44">
        <f t="shared" si="10"/>
        <v>3348.9644616252695</v>
      </c>
      <c r="AH8" s="52">
        <f>HLOOKUP(I8,ElecAvoidedCostsWOCC!$A$5:$Q$50,T8+1,FALSE)</f>
        <v>0.91128284670075355</v>
      </c>
      <c r="AI8" s="44">
        <f t="shared" si="11"/>
        <v>0</v>
      </c>
      <c r="AJ8" s="44">
        <f t="shared" si="12"/>
        <v>3348.9644616252695</v>
      </c>
      <c r="AK8" s="44">
        <f>HLOOKUP(I8,ElecAvoidedCostsWOCC!$A$5:$Q$50,G8+1,FALSE)*J8*L8</f>
        <v>0</v>
      </c>
      <c r="AL8" s="44">
        <f t="shared" si="13"/>
        <v>3348.9644616252695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3348.964461625269</v>
      </c>
      <c r="AN8" s="48">
        <f t="shared" si="14"/>
        <v>3683.8609077877964</v>
      </c>
      <c r="AO8" s="47">
        <f t="shared" si="15"/>
        <v>1.7122163884774131</v>
      </c>
      <c r="AP8" s="47">
        <f t="shared" si="16"/>
        <v>2.3902787591997998</v>
      </c>
    </row>
    <row r="9" spans="1:42" ht="13.5" customHeight="1" x14ac:dyDescent="0.35">
      <c r="A9" s="36" t="s">
        <v>242</v>
      </c>
      <c r="B9" s="97" t="s">
        <v>67</v>
      </c>
      <c r="C9" s="98">
        <v>18231134</v>
      </c>
      <c r="D9" s="61" t="s">
        <v>167</v>
      </c>
      <c r="E9" s="38" t="s">
        <v>1576</v>
      </c>
      <c r="F9" s="39" t="s">
        <v>1575</v>
      </c>
      <c r="G9" s="39">
        <v>12</v>
      </c>
      <c r="H9" s="39"/>
      <c r="I9" s="40" t="s">
        <v>262</v>
      </c>
      <c r="J9" s="41">
        <v>39</v>
      </c>
      <c r="K9" s="41">
        <v>100</v>
      </c>
      <c r="L9" s="41"/>
      <c r="M9" s="42">
        <v>37</v>
      </c>
      <c r="N9" s="42">
        <v>37</v>
      </c>
      <c r="O9" s="43">
        <v>3900</v>
      </c>
      <c r="P9" s="44">
        <v>1443</v>
      </c>
      <c r="Q9" s="44">
        <v>1443</v>
      </c>
      <c r="R9" s="45">
        <v>3.5470000000000002</v>
      </c>
      <c r="S9" s="46">
        <v>0</v>
      </c>
      <c r="T9" s="39">
        <f t="shared" si="0"/>
        <v>12</v>
      </c>
      <c r="U9" s="47">
        <f t="shared" si="1"/>
        <v>3.3705072968825463E-3</v>
      </c>
      <c r="V9" s="48">
        <f t="shared" si="2"/>
        <v>0</v>
      </c>
      <c r="W9" s="49">
        <f t="shared" si="3"/>
        <v>2.8087560807354555E-4</v>
      </c>
      <c r="X9" s="44">
        <f t="shared" si="4"/>
        <v>372.47408446827473</v>
      </c>
      <c r="Y9" s="44">
        <f t="shared" si="5"/>
        <v>0</v>
      </c>
      <c r="Z9" s="44">
        <f t="shared" si="6"/>
        <v>2216.8198707952329</v>
      </c>
      <c r="AA9" s="50">
        <f t="shared" si="7"/>
        <v>1815.4740844682747</v>
      </c>
      <c r="AB9" s="51">
        <f t="shared" si="8"/>
        <v>2075.6740363251242</v>
      </c>
      <c r="AC9" s="44">
        <f t="shared" si="8"/>
        <v>1699.8821015620549</v>
      </c>
      <c r="AD9" s="44">
        <f t="shared" si="9"/>
        <v>1110.5430854585493</v>
      </c>
      <c r="AE9" s="44">
        <f t="shared" si="17"/>
        <v>0</v>
      </c>
      <c r="AF9" s="52">
        <f>HLOOKUP(I9,ElecAvoidedCostsWOCC!$A$5:$Q$50,G9+1,FALSE)</f>
        <v>0.91128284670075355</v>
      </c>
      <c r="AG9" s="44">
        <f t="shared" si="10"/>
        <v>3554.0031021329391</v>
      </c>
      <c r="AH9" s="52">
        <f>HLOOKUP(I9,ElecAvoidedCostsWOCC!$A$5:$Q$50,T9+1,FALSE)</f>
        <v>0.91128284670075355</v>
      </c>
      <c r="AI9" s="44">
        <f t="shared" si="11"/>
        <v>0</v>
      </c>
      <c r="AJ9" s="44">
        <f t="shared" si="12"/>
        <v>3554.0031021329391</v>
      </c>
      <c r="AK9" s="44">
        <f>HLOOKUP(I9,ElecAvoidedCostsWOCC!$A$5:$Q$50,G9+1,FALSE)*J9*L9</f>
        <v>0</v>
      </c>
      <c r="AL9" s="44">
        <f t="shared" si="13"/>
        <v>3554.0031021329391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3554.0031021329391</v>
      </c>
      <c r="AN9" s="48">
        <f t="shared" si="14"/>
        <v>5019.9464978047827</v>
      </c>
      <c r="AO9" s="47">
        <f t="shared" si="15"/>
        <v>1.7122163884774131</v>
      </c>
      <c r="AP9" s="47">
        <f t="shared" si="16"/>
        <v>2.9531145090543958</v>
      </c>
    </row>
    <row r="10" spans="1:42" ht="13.5" customHeight="1" x14ac:dyDescent="0.35">
      <c r="A10" s="54">
        <f>SUM(O5:O997)</f>
        <v>13885150.18</v>
      </c>
      <c r="B10" s="97" t="s">
        <v>67</v>
      </c>
      <c r="C10" s="98">
        <v>18231134</v>
      </c>
      <c r="D10" s="61" t="s">
        <v>167</v>
      </c>
      <c r="E10" s="38" t="s">
        <v>1577</v>
      </c>
      <c r="F10" s="39" t="s">
        <v>1578</v>
      </c>
      <c r="G10" s="39">
        <v>12</v>
      </c>
      <c r="H10" s="39"/>
      <c r="I10" s="40" t="s">
        <v>262</v>
      </c>
      <c r="J10" s="41">
        <v>38</v>
      </c>
      <c r="K10" s="41">
        <v>91</v>
      </c>
      <c r="L10" s="41"/>
      <c r="M10" s="42">
        <v>37</v>
      </c>
      <c r="N10" s="42">
        <v>37</v>
      </c>
      <c r="O10" s="43">
        <v>3458</v>
      </c>
      <c r="P10" s="44">
        <v>1406</v>
      </c>
      <c r="Q10" s="44">
        <v>1406</v>
      </c>
      <c r="R10" s="45">
        <v>0</v>
      </c>
      <c r="S10" s="46">
        <v>0</v>
      </c>
      <c r="T10" s="39">
        <f t="shared" si="0"/>
        <v>12</v>
      </c>
      <c r="U10" s="47">
        <f t="shared" si="1"/>
        <v>2.9885164699025245E-3</v>
      </c>
      <c r="V10" s="48">
        <f t="shared" si="2"/>
        <v>0</v>
      </c>
      <c r="W10" s="49">
        <f t="shared" si="3"/>
        <v>2.4904303915854371E-4</v>
      </c>
      <c r="X10" s="44">
        <f t="shared" si="4"/>
        <v>330.26035489520359</v>
      </c>
      <c r="Y10" s="44">
        <f t="shared" si="5"/>
        <v>0</v>
      </c>
      <c r="Z10" s="44">
        <f t="shared" si="6"/>
        <v>1965.5802854384397</v>
      </c>
      <c r="AA10" s="50">
        <f t="shared" si="7"/>
        <v>1736.2603548952036</v>
      </c>
      <c r="AB10" s="51">
        <f t="shared" si="8"/>
        <v>1840.4309788749433</v>
      </c>
      <c r="AC10" s="44">
        <f t="shared" si="8"/>
        <v>1625.711942785771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0.91128284670075355</v>
      </c>
      <c r="AG10" s="44">
        <f t="shared" si="10"/>
        <v>3151.2160838912055</v>
      </c>
      <c r="AH10" s="52">
        <f>HLOOKUP(I10,ElecAvoidedCostsWOCC!$A$5:$Q$50,T10+1,FALSE)</f>
        <v>0.91128284670075355</v>
      </c>
      <c r="AI10" s="44">
        <f t="shared" si="11"/>
        <v>0</v>
      </c>
      <c r="AJ10" s="44">
        <f t="shared" si="12"/>
        <v>3151.2160838912055</v>
      </c>
      <c r="AK10" s="44">
        <f>HLOOKUP(I10,ElecAvoidedCostsWOCC!$A$5:$Q$50,G10+1,FALSE)*J10*L10</f>
        <v>0</v>
      </c>
      <c r="AL10" s="44">
        <f t="shared" si="13"/>
        <v>3151.2160838912055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3151.2160838912059</v>
      </c>
      <c r="AN10" s="48">
        <f t="shared" si="14"/>
        <v>3466.3376922803268</v>
      </c>
      <c r="AO10" s="47">
        <f t="shared" si="15"/>
        <v>1.7122163884774133</v>
      </c>
      <c r="AP10" s="47">
        <f t="shared" si="16"/>
        <v>2.1321967324300486</v>
      </c>
    </row>
    <row r="11" spans="1:42" ht="13.5" customHeight="1" x14ac:dyDescent="0.35">
      <c r="A11" s="36" t="s">
        <v>243</v>
      </c>
      <c r="B11" s="97" t="s">
        <v>67</v>
      </c>
      <c r="C11" s="98">
        <v>18231134</v>
      </c>
      <c r="D11" s="61" t="s">
        <v>167</v>
      </c>
      <c r="E11" s="38" t="s">
        <v>1579</v>
      </c>
      <c r="F11" s="39" t="s">
        <v>1578</v>
      </c>
      <c r="G11" s="39">
        <v>12</v>
      </c>
      <c r="H11" s="39"/>
      <c r="I11" s="40" t="s">
        <v>262</v>
      </c>
      <c r="J11" s="41">
        <v>142</v>
      </c>
      <c r="K11" s="41">
        <v>87</v>
      </c>
      <c r="L11" s="41"/>
      <c r="M11" s="42">
        <v>37</v>
      </c>
      <c r="N11" s="42">
        <v>37</v>
      </c>
      <c r="O11" s="43">
        <v>12354</v>
      </c>
      <c r="P11" s="44">
        <v>5254</v>
      </c>
      <c r="Q11" s="44">
        <v>5254</v>
      </c>
      <c r="R11" s="45">
        <v>3.0739999999999998</v>
      </c>
      <c r="S11" s="46">
        <v>0</v>
      </c>
      <c r="T11" s="39">
        <f t="shared" si="0"/>
        <v>12</v>
      </c>
      <c r="U11" s="47">
        <f t="shared" si="1"/>
        <v>1.0676730037355635E-2</v>
      </c>
      <c r="V11" s="48">
        <f t="shared" si="2"/>
        <v>0</v>
      </c>
      <c r="W11" s="49">
        <f t="shared" si="3"/>
        <v>8.8972750311296957E-4</v>
      </c>
      <c r="X11" s="44">
        <f t="shared" si="4"/>
        <v>1179.8832921848887</v>
      </c>
      <c r="Y11" s="44">
        <f t="shared" si="5"/>
        <v>0</v>
      </c>
      <c r="Z11" s="44">
        <f t="shared" si="6"/>
        <v>7022.2032522575137</v>
      </c>
      <c r="AA11" s="50">
        <f t="shared" si="7"/>
        <v>6433.8832921848889</v>
      </c>
      <c r="AB11" s="51">
        <f t="shared" si="8"/>
        <v>6575.0966781437392</v>
      </c>
      <c r="AC11" s="44">
        <f t="shared" si="8"/>
        <v>6024.2352923079479</v>
      </c>
      <c r="AD11" s="44">
        <f t="shared" si="9"/>
        <v>3504.3044042082543</v>
      </c>
      <c r="AE11" s="44">
        <f t="shared" si="17"/>
        <v>0</v>
      </c>
      <c r="AF11" s="52">
        <f>HLOOKUP(I11,ElecAvoidedCostsWOCC!$A$5:$Q$50,G11+1,FALSE)</f>
        <v>0.91128284670075355</v>
      </c>
      <c r="AG11" s="44">
        <f t="shared" si="10"/>
        <v>11257.98828814111</v>
      </c>
      <c r="AH11" s="52">
        <f>HLOOKUP(I11,ElecAvoidedCostsWOCC!$A$5:$Q$50,T11+1,FALSE)</f>
        <v>0.91128284670075355</v>
      </c>
      <c r="AI11" s="44">
        <f t="shared" si="11"/>
        <v>0</v>
      </c>
      <c r="AJ11" s="44">
        <f t="shared" si="12"/>
        <v>11257.98828814111</v>
      </c>
      <c r="AK11" s="44">
        <f>HLOOKUP(I11,ElecAvoidedCostsWOCC!$A$5:$Q$50,G11+1,FALSE)*J11*L11</f>
        <v>0</v>
      </c>
      <c r="AL11" s="44">
        <f t="shared" si="13"/>
        <v>11257.98828814111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11257.988288141109</v>
      </c>
      <c r="AN11" s="48">
        <f t="shared" si="14"/>
        <v>15888.091521163475</v>
      </c>
      <c r="AO11" s="47">
        <f t="shared" si="15"/>
        <v>1.7122163884774131</v>
      </c>
      <c r="AP11" s="47">
        <f t="shared" si="16"/>
        <v>2.6373623788317504</v>
      </c>
    </row>
    <row r="12" spans="1:42" ht="13.5" customHeight="1" x14ac:dyDescent="0.35">
      <c r="A12" s="55">
        <f>SUM(P5:P998)</f>
        <v>5774468.9400000013</v>
      </c>
      <c r="B12" s="97" t="s">
        <v>67</v>
      </c>
      <c r="C12" s="98">
        <v>18231134</v>
      </c>
      <c r="D12" s="61" t="s">
        <v>167</v>
      </c>
      <c r="E12" s="38" t="s">
        <v>1580</v>
      </c>
      <c r="F12" s="39" t="s">
        <v>1581</v>
      </c>
      <c r="G12" s="39">
        <v>12</v>
      </c>
      <c r="H12" s="39"/>
      <c r="I12" s="40" t="s">
        <v>262</v>
      </c>
      <c r="J12" s="41">
        <v>156</v>
      </c>
      <c r="K12" s="41">
        <v>183</v>
      </c>
      <c r="L12" s="41"/>
      <c r="M12" s="42">
        <v>65</v>
      </c>
      <c r="N12" s="42">
        <v>65</v>
      </c>
      <c r="O12" s="43">
        <v>28548</v>
      </c>
      <c r="P12" s="44">
        <v>10140</v>
      </c>
      <c r="Q12" s="44">
        <v>10140</v>
      </c>
      <c r="R12" s="45">
        <v>0</v>
      </c>
      <c r="S12" s="46">
        <v>0</v>
      </c>
      <c r="T12" s="39">
        <f t="shared" si="0"/>
        <v>12</v>
      </c>
      <c r="U12" s="47">
        <f t="shared" si="1"/>
        <v>2.4672113413180239E-2</v>
      </c>
      <c r="V12" s="48">
        <f t="shared" si="2"/>
        <v>0</v>
      </c>
      <c r="W12" s="49">
        <f t="shared" si="3"/>
        <v>2.0560094510983533E-3</v>
      </c>
      <c r="X12" s="44">
        <f t="shared" si="4"/>
        <v>2726.5102983077709</v>
      </c>
      <c r="Y12" s="44">
        <f t="shared" si="5"/>
        <v>0</v>
      </c>
      <c r="Z12" s="44">
        <f t="shared" si="6"/>
        <v>16227.121454221102</v>
      </c>
      <c r="AA12" s="50">
        <f t="shared" si="7"/>
        <v>12866.51029830777</v>
      </c>
      <c r="AB12" s="51">
        <f t="shared" si="8"/>
        <v>15193.933945899907</v>
      </c>
      <c r="AC12" s="44">
        <f t="shared" si="8"/>
        <v>12047.294286805029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0.91128284670075355</v>
      </c>
      <c r="AG12" s="44">
        <f t="shared" si="10"/>
        <v>26015.302707613115</v>
      </c>
      <c r="AH12" s="52">
        <f>HLOOKUP(I12,ElecAvoidedCostsWOCC!$A$5:$Q$50,T12+1,FALSE)</f>
        <v>0.91128284670075355</v>
      </c>
      <c r="AI12" s="44">
        <f t="shared" si="11"/>
        <v>0</v>
      </c>
      <c r="AJ12" s="44">
        <f t="shared" si="12"/>
        <v>26015.302707613115</v>
      </c>
      <c r="AK12" s="44">
        <f>HLOOKUP(I12,ElecAvoidedCostsWOCC!$A$5:$Q$50,G12+1,FALSE)*J12*L12</f>
        <v>0</v>
      </c>
      <c r="AL12" s="44">
        <f t="shared" si="13"/>
        <v>26015.302707613115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26015.302707613111</v>
      </c>
      <c r="AN12" s="48">
        <f t="shared" si="14"/>
        <v>28616.832978374423</v>
      </c>
      <c r="AO12" s="47">
        <f t="shared" si="15"/>
        <v>1.7122163884774131</v>
      </c>
      <c r="AP12" s="47">
        <f t="shared" si="16"/>
        <v>2.3753742788301784</v>
      </c>
    </row>
    <row r="13" spans="1:42" ht="13.5" customHeight="1" x14ac:dyDescent="0.35">
      <c r="A13" s="56" t="s">
        <v>246</v>
      </c>
      <c r="B13" s="97" t="s">
        <v>67</v>
      </c>
      <c r="C13" s="98">
        <v>18231134</v>
      </c>
      <c r="D13" s="61" t="s">
        <v>167</v>
      </c>
      <c r="E13" s="38" t="s">
        <v>1582</v>
      </c>
      <c r="F13" s="39" t="s">
        <v>1581</v>
      </c>
      <c r="G13" s="39">
        <v>12</v>
      </c>
      <c r="H13" s="39"/>
      <c r="I13" s="40" t="s">
        <v>262</v>
      </c>
      <c r="J13" s="41">
        <v>122</v>
      </c>
      <c r="K13" s="41">
        <v>175</v>
      </c>
      <c r="L13" s="41"/>
      <c r="M13" s="42">
        <v>65</v>
      </c>
      <c r="N13" s="42">
        <v>65</v>
      </c>
      <c r="O13" s="43">
        <v>21350</v>
      </c>
      <c r="P13" s="44">
        <v>7930</v>
      </c>
      <c r="Q13" s="44">
        <v>7930</v>
      </c>
      <c r="R13" s="45">
        <v>6.1820000000000004</v>
      </c>
      <c r="S13" s="46">
        <v>0</v>
      </c>
      <c r="T13" s="39">
        <f t="shared" si="0"/>
        <v>12</v>
      </c>
      <c r="U13" s="47">
        <f t="shared" si="1"/>
        <v>1.8451366868831375E-2</v>
      </c>
      <c r="V13" s="48">
        <f t="shared" si="2"/>
        <v>0</v>
      </c>
      <c r="W13" s="49">
        <f t="shared" si="3"/>
        <v>1.537613905735948E-3</v>
      </c>
      <c r="X13" s="44">
        <f t="shared" si="4"/>
        <v>2039.0568470250423</v>
      </c>
      <c r="Y13" s="44">
        <f t="shared" si="5"/>
        <v>0</v>
      </c>
      <c r="Z13" s="44">
        <f t="shared" si="6"/>
        <v>12135.667754225184</v>
      </c>
      <c r="AA13" s="50">
        <f t="shared" si="7"/>
        <v>9969.0568470250419</v>
      </c>
      <c r="AB13" s="51">
        <f t="shared" si="8"/>
        <v>11362.984788600359</v>
      </c>
      <c r="AC13" s="44">
        <f t="shared" si="8"/>
        <v>9334.3228904728858</v>
      </c>
      <c r="AD13" s="44">
        <f t="shared" si="9"/>
        <v>6054.7811239919611</v>
      </c>
      <c r="AE13" s="44">
        <f t="shared" si="17"/>
        <v>0</v>
      </c>
      <c r="AF13" s="52">
        <f>HLOOKUP(I13,ElecAvoidedCostsWOCC!$A$5:$Q$50,G13+1,FALSE)</f>
        <v>0.91128284670075355</v>
      </c>
      <c r="AG13" s="44">
        <f t="shared" si="10"/>
        <v>19455.888777061089</v>
      </c>
      <c r="AH13" s="52">
        <f>HLOOKUP(I13,ElecAvoidedCostsWOCC!$A$5:$Q$50,T13+1,FALSE)</f>
        <v>0.91128284670075355</v>
      </c>
      <c r="AI13" s="44">
        <f t="shared" si="11"/>
        <v>0</v>
      </c>
      <c r="AJ13" s="44">
        <f t="shared" si="12"/>
        <v>19455.888777061089</v>
      </c>
      <c r="AK13" s="44">
        <f>HLOOKUP(I13,ElecAvoidedCostsWOCC!$A$5:$Q$50,G13+1,FALSE)*J13*L13</f>
        <v>0</v>
      </c>
      <c r="AL13" s="44">
        <f t="shared" si="13"/>
        <v>19455.888777061089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19455.888777061089</v>
      </c>
      <c r="AN13" s="48">
        <f t="shared" si="14"/>
        <v>27456.258778759162</v>
      </c>
      <c r="AO13" s="47">
        <f t="shared" si="15"/>
        <v>1.7122163884774131</v>
      </c>
      <c r="AP13" s="47">
        <f t="shared" si="16"/>
        <v>2.94143014988077</v>
      </c>
    </row>
    <row r="14" spans="1:42" ht="13.5" customHeight="1" x14ac:dyDescent="0.35">
      <c r="A14" s="55">
        <f>SUM(Y5:Y998)</f>
        <v>147286.82</v>
      </c>
      <c r="B14" s="97" t="s">
        <v>67</v>
      </c>
      <c r="C14" s="98">
        <v>18231134</v>
      </c>
      <c r="D14" s="61" t="s">
        <v>167</v>
      </c>
      <c r="E14" s="38" t="s">
        <v>1583</v>
      </c>
      <c r="F14" s="39" t="s">
        <v>1581</v>
      </c>
      <c r="G14" s="39">
        <v>12</v>
      </c>
      <c r="H14" s="39"/>
      <c r="I14" s="40" t="s">
        <v>262</v>
      </c>
      <c r="J14" s="41">
        <v>1378</v>
      </c>
      <c r="K14" s="41">
        <v>175</v>
      </c>
      <c r="L14" s="41"/>
      <c r="M14" s="42">
        <v>75</v>
      </c>
      <c r="N14" s="42">
        <v>75</v>
      </c>
      <c r="O14" s="43">
        <v>241150</v>
      </c>
      <c r="P14" s="44">
        <v>103210</v>
      </c>
      <c r="Q14" s="44">
        <v>103350</v>
      </c>
      <c r="R14" s="45">
        <v>6.1820000000000004</v>
      </c>
      <c r="S14" s="46">
        <v>0</v>
      </c>
      <c r="T14" s="39">
        <f t="shared" si="0"/>
        <v>12</v>
      </c>
      <c r="U14" s="47">
        <f t="shared" si="1"/>
        <v>0.20840970119057078</v>
      </c>
      <c r="V14" s="48">
        <f t="shared" si="2"/>
        <v>0</v>
      </c>
      <c r="W14" s="49">
        <f t="shared" si="3"/>
        <v>1.7367475099214231E-2</v>
      </c>
      <c r="X14" s="44">
        <f t="shared" si="4"/>
        <v>23031.314222954985</v>
      </c>
      <c r="Y14" s="44">
        <f t="shared" si="5"/>
        <v>140</v>
      </c>
      <c r="Z14" s="44">
        <f t="shared" si="6"/>
        <v>137073.36201083852</v>
      </c>
      <c r="AA14" s="50">
        <f t="shared" si="7"/>
        <v>126381.31422295498</v>
      </c>
      <c r="AB14" s="51">
        <f t="shared" si="8"/>
        <v>128345.84457943682</v>
      </c>
      <c r="AC14" s="44">
        <f t="shared" si="8"/>
        <v>118334.56387917133</v>
      </c>
      <c r="AD14" s="44">
        <f t="shared" si="9"/>
        <v>68389.249089023957</v>
      </c>
      <c r="AE14" s="44">
        <f t="shared" si="17"/>
        <v>0</v>
      </c>
      <c r="AF14" s="52">
        <f>HLOOKUP(I14,ElecAvoidedCostsWOCC!$A$5:$Q$50,G14+1,FALSE)</f>
        <v>0.91128284670075355</v>
      </c>
      <c r="AG14" s="44">
        <f t="shared" si="10"/>
        <v>219755.85848188674</v>
      </c>
      <c r="AH14" s="52">
        <f>HLOOKUP(I14,ElecAvoidedCostsWOCC!$A$5:$Q$50,T14+1,FALSE)</f>
        <v>0.91128284670075355</v>
      </c>
      <c r="AI14" s="44">
        <f t="shared" si="11"/>
        <v>0</v>
      </c>
      <c r="AJ14" s="44">
        <f t="shared" si="12"/>
        <v>219755.85848188674</v>
      </c>
      <c r="AK14" s="44">
        <f>HLOOKUP(I14,ElecAvoidedCostsWOCC!$A$5:$Q$50,G14+1,FALSE)*J14*L14</f>
        <v>0</v>
      </c>
      <c r="AL14" s="44">
        <f t="shared" si="13"/>
        <v>219755.85848188674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219755.85848188674</v>
      </c>
      <c r="AN14" s="48">
        <f t="shared" si="14"/>
        <v>310120.69341909938</v>
      </c>
      <c r="AO14" s="47">
        <f t="shared" si="15"/>
        <v>1.7122163884774135</v>
      </c>
      <c r="AP14" s="47">
        <f t="shared" si="16"/>
        <v>2.6207110015274693</v>
      </c>
    </row>
    <row r="15" spans="1:42" ht="13.5" customHeight="1" x14ac:dyDescent="0.35">
      <c r="A15" s="57" t="s">
        <v>249</v>
      </c>
      <c r="B15" s="97" t="s">
        <v>67</v>
      </c>
      <c r="C15" s="98">
        <v>18231134</v>
      </c>
      <c r="D15" s="61" t="s">
        <v>167</v>
      </c>
      <c r="E15" s="38" t="s">
        <v>1584</v>
      </c>
      <c r="F15" s="39" t="s">
        <v>1585</v>
      </c>
      <c r="G15" s="39">
        <v>12</v>
      </c>
      <c r="H15" s="39"/>
      <c r="I15" s="40" t="s">
        <v>262</v>
      </c>
      <c r="J15" s="41">
        <v>83</v>
      </c>
      <c r="K15" s="41">
        <v>420</v>
      </c>
      <c r="L15" s="41"/>
      <c r="M15" s="42">
        <v>65</v>
      </c>
      <c r="N15" s="42">
        <v>65</v>
      </c>
      <c r="O15" s="43">
        <v>34860</v>
      </c>
      <c r="P15" s="44">
        <v>5395</v>
      </c>
      <c r="Q15" s="44">
        <v>5395</v>
      </c>
      <c r="R15" s="45">
        <v>0</v>
      </c>
      <c r="S15" s="46">
        <v>0</v>
      </c>
      <c r="T15" s="39">
        <f t="shared" si="0"/>
        <v>12</v>
      </c>
      <c r="U15" s="47">
        <f t="shared" si="1"/>
        <v>3.0127149838288604E-2</v>
      </c>
      <c r="V15" s="48">
        <f t="shared" si="2"/>
        <v>0</v>
      </c>
      <c r="W15" s="49">
        <f t="shared" si="3"/>
        <v>2.5105958198573838E-3</v>
      </c>
      <c r="X15" s="44">
        <f t="shared" si="4"/>
        <v>3329.3452780933476</v>
      </c>
      <c r="Y15" s="44">
        <f t="shared" si="5"/>
        <v>0</v>
      </c>
      <c r="Z15" s="44">
        <f t="shared" si="6"/>
        <v>19814.959152800464</v>
      </c>
      <c r="AA15" s="50">
        <f t="shared" si="7"/>
        <v>8724.3452780933476</v>
      </c>
      <c r="AB15" s="51">
        <f t="shared" si="8"/>
        <v>18553.332540075338</v>
      </c>
      <c r="AC15" s="44">
        <f t="shared" si="8"/>
        <v>8168.8626199375913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0.91128284670075355</v>
      </c>
      <c r="AG15" s="44">
        <f t="shared" si="10"/>
        <v>31767.320035988269</v>
      </c>
      <c r="AH15" s="52">
        <f>HLOOKUP(I15,ElecAvoidedCostsWOCC!$A$5:$Q$50,T15+1,FALSE)</f>
        <v>0.91128284670075355</v>
      </c>
      <c r="AI15" s="44">
        <f t="shared" si="11"/>
        <v>0</v>
      </c>
      <c r="AJ15" s="44">
        <f t="shared" si="12"/>
        <v>31767.320035988269</v>
      </c>
      <c r="AK15" s="44">
        <f>HLOOKUP(I15,ElecAvoidedCostsWOCC!$A$5:$Q$50,G15+1,FALSE)*J15*L15</f>
        <v>0</v>
      </c>
      <c r="AL15" s="44">
        <f t="shared" si="13"/>
        <v>31767.320035988269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31767.320035988269</v>
      </c>
      <c r="AN15" s="48">
        <f t="shared" si="14"/>
        <v>34944.052039587099</v>
      </c>
      <c r="AO15" s="47">
        <f t="shared" si="15"/>
        <v>1.7122163884774133</v>
      </c>
      <c r="AP15" s="47">
        <f t="shared" si="16"/>
        <v>4.2777132711596595</v>
      </c>
    </row>
    <row r="16" spans="1:42" ht="13.5" customHeight="1" x14ac:dyDescent="0.35">
      <c r="A16" s="54">
        <f>SUM(U5:U997)</f>
        <v>12.691959421068358</v>
      </c>
      <c r="B16" s="97" t="s">
        <v>67</v>
      </c>
      <c r="C16" s="98">
        <v>18231134</v>
      </c>
      <c r="D16" s="61" t="s">
        <v>167</v>
      </c>
      <c r="E16" s="38" t="s">
        <v>1586</v>
      </c>
      <c r="F16" s="39" t="s">
        <v>1585</v>
      </c>
      <c r="G16" s="39">
        <v>12</v>
      </c>
      <c r="H16" s="39"/>
      <c r="I16" s="40" t="s">
        <v>262</v>
      </c>
      <c r="J16" s="41">
        <v>15</v>
      </c>
      <c r="K16" s="41">
        <v>401</v>
      </c>
      <c r="L16" s="41"/>
      <c r="M16" s="42">
        <v>65</v>
      </c>
      <c r="N16" s="42">
        <v>65</v>
      </c>
      <c r="O16" s="43">
        <v>6015</v>
      </c>
      <c r="P16" s="44">
        <v>975</v>
      </c>
      <c r="Q16" s="44">
        <v>975</v>
      </c>
      <c r="R16" s="45">
        <v>14.188000000000001</v>
      </c>
      <c r="S16" s="46">
        <v>0</v>
      </c>
      <c r="T16" s="39">
        <f t="shared" si="0"/>
        <v>12</v>
      </c>
      <c r="U16" s="47">
        <f t="shared" si="1"/>
        <v>5.1983593309611574E-3</v>
      </c>
      <c r="V16" s="48">
        <f t="shared" si="2"/>
        <v>0</v>
      </c>
      <c r="W16" s="49">
        <f t="shared" si="3"/>
        <v>4.3319661091342982E-4</v>
      </c>
      <c r="X16" s="44">
        <f t="shared" si="4"/>
        <v>574.46964566068516</v>
      </c>
      <c r="Y16" s="44">
        <f t="shared" si="5"/>
        <v>0</v>
      </c>
      <c r="Z16" s="44">
        <f t="shared" si="6"/>
        <v>3419.0183391880319</v>
      </c>
      <c r="AA16" s="50">
        <f t="shared" si="7"/>
        <v>1549.4696456606853</v>
      </c>
      <c r="AB16" s="51">
        <f t="shared" si="8"/>
        <v>3201.3280329475951</v>
      </c>
      <c r="AC16" s="44">
        <f t="shared" si="8"/>
        <v>1450.8142749631884</v>
      </c>
      <c r="AD16" s="44">
        <f t="shared" si="9"/>
        <v>1708.5278237823836</v>
      </c>
      <c r="AE16" s="44">
        <f t="shared" si="17"/>
        <v>0</v>
      </c>
      <c r="AF16" s="52">
        <f>HLOOKUP(I16,ElecAvoidedCostsWOCC!$A$5:$Q$50,G16+1,FALSE)</f>
        <v>0.91128284670075355</v>
      </c>
      <c r="AG16" s="44">
        <f t="shared" si="10"/>
        <v>5481.3663229050326</v>
      </c>
      <c r="AH16" s="52">
        <f>HLOOKUP(I16,ElecAvoidedCostsWOCC!$A$5:$Q$50,T16+1,FALSE)</f>
        <v>0.91128284670075355</v>
      </c>
      <c r="AI16" s="44">
        <f t="shared" si="11"/>
        <v>0</v>
      </c>
      <c r="AJ16" s="44">
        <f t="shared" si="12"/>
        <v>5481.3663229050326</v>
      </c>
      <c r="AK16" s="44">
        <f>HLOOKUP(I16,ElecAvoidedCostsWOCC!$A$5:$Q$50,G16+1,FALSE)*J16*L16</f>
        <v>0</v>
      </c>
      <c r="AL16" s="44">
        <f t="shared" si="13"/>
        <v>5481.3663229050326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5481.3663229050326</v>
      </c>
      <c r="AN16" s="48">
        <f t="shared" si="14"/>
        <v>7738.0307789779199</v>
      </c>
      <c r="AO16" s="47">
        <f t="shared" si="15"/>
        <v>1.7122163884774131</v>
      </c>
      <c r="AP16" s="47">
        <f t="shared" si="16"/>
        <v>5.3335777793985777</v>
      </c>
    </row>
    <row r="17" spans="1:42" ht="13.5" customHeight="1" x14ac:dyDescent="0.35">
      <c r="A17" s="58" t="s">
        <v>252</v>
      </c>
      <c r="B17" s="97" t="s">
        <v>67</v>
      </c>
      <c r="C17" s="98">
        <v>18231134</v>
      </c>
      <c r="D17" s="61" t="s">
        <v>167</v>
      </c>
      <c r="E17" s="38" t="s">
        <v>1587</v>
      </c>
      <c r="F17" s="39" t="s">
        <v>1585</v>
      </c>
      <c r="G17" s="39">
        <v>12</v>
      </c>
      <c r="H17" s="39"/>
      <c r="I17" s="40" t="s">
        <v>262</v>
      </c>
      <c r="J17" s="41">
        <v>34</v>
      </c>
      <c r="K17" s="41">
        <v>401</v>
      </c>
      <c r="L17" s="41"/>
      <c r="M17" s="42">
        <v>75</v>
      </c>
      <c r="N17" s="42">
        <v>75</v>
      </c>
      <c r="O17" s="43">
        <v>13634</v>
      </c>
      <c r="P17" s="44">
        <v>2550</v>
      </c>
      <c r="Q17" s="44">
        <v>2550</v>
      </c>
      <c r="R17" s="45">
        <v>14.188000000000001</v>
      </c>
      <c r="S17" s="46">
        <v>0</v>
      </c>
      <c r="T17" s="39">
        <f t="shared" si="0"/>
        <v>12</v>
      </c>
      <c r="U17" s="47">
        <f t="shared" si="1"/>
        <v>1.1782947816845291E-2</v>
      </c>
      <c r="V17" s="48">
        <f t="shared" si="2"/>
        <v>0</v>
      </c>
      <c r="W17" s="49">
        <f t="shared" si="3"/>
        <v>9.8191231807044101E-4</v>
      </c>
      <c r="X17" s="44">
        <f t="shared" si="4"/>
        <v>1302.1311968308864</v>
      </c>
      <c r="Y17" s="44">
        <f t="shared" si="5"/>
        <v>0</v>
      </c>
      <c r="Z17" s="44">
        <f t="shared" si="6"/>
        <v>7749.7749021595391</v>
      </c>
      <c r="AA17" s="50">
        <f t="shared" si="7"/>
        <v>3852.1311968308864</v>
      </c>
      <c r="AB17" s="51">
        <f t="shared" si="8"/>
        <v>7256.3435413478828</v>
      </c>
      <c r="AC17" s="44">
        <f t="shared" si="8"/>
        <v>3606.8644165083206</v>
      </c>
      <c r="AD17" s="44">
        <f t="shared" si="9"/>
        <v>3872.6630672400697</v>
      </c>
      <c r="AE17" s="44">
        <f t="shared" si="17"/>
        <v>0</v>
      </c>
      <c r="AF17" s="52">
        <f>HLOOKUP(I17,ElecAvoidedCostsWOCC!$A$5:$Q$50,G17+1,FALSE)</f>
        <v>0.91128284670075355</v>
      </c>
      <c r="AG17" s="44">
        <f t="shared" si="10"/>
        <v>12424.430331918074</v>
      </c>
      <c r="AH17" s="52">
        <f>HLOOKUP(I17,ElecAvoidedCostsWOCC!$A$5:$Q$50,T17+1,FALSE)</f>
        <v>0.91128284670075355</v>
      </c>
      <c r="AI17" s="44">
        <f t="shared" si="11"/>
        <v>0</v>
      </c>
      <c r="AJ17" s="44">
        <f t="shared" si="12"/>
        <v>12424.430331918074</v>
      </c>
      <c r="AK17" s="44">
        <f>HLOOKUP(I17,ElecAvoidedCostsWOCC!$A$5:$Q$50,G17+1,FALSE)*J17*L17</f>
        <v>0</v>
      </c>
      <c r="AL17" s="44">
        <f t="shared" si="13"/>
        <v>12424.430331918074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12424.430331918073</v>
      </c>
      <c r="AN17" s="48">
        <f t="shared" si="14"/>
        <v>17539.536432349953</v>
      </c>
      <c r="AO17" s="47">
        <f t="shared" si="15"/>
        <v>1.7122163884774129</v>
      </c>
      <c r="AP17" s="47">
        <f t="shared" si="16"/>
        <v>4.8628211118978975</v>
      </c>
    </row>
    <row r="18" spans="1:42" ht="13.5" customHeight="1" x14ac:dyDescent="0.35">
      <c r="A18" s="59">
        <f>A6+A8</f>
        <v>7892532.5199999996</v>
      </c>
      <c r="B18" s="97" t="s">
        <v>67</v>
      </c>
      <c r="C18" s="98">
        <v>18231134</v>
      </c>
      <c r="D18" s="61" t="s">
        <v>167</v>
      </c>
      <c r="E18" s="38" t="s">
        <v>1588</v>
      </c>
      <c r="F18" s="39" t="s">
        <v>1589</v>
      </c>
      <c r="G18" s="39">
        <v>12</v>
      </c>
      <c r="H18" s="39"/>
      <c r="I18" s="40" t="s">
        <v>262</v>
      </c>
      <c r="J18" s="41">
        <v>10</v>
      </c>
      <c r="K18" s="41">
        <v>602</v>
      </c>
      <c r="L18" s="41"/>
      <c r="M18" s="42">
        <v>100</v>
      </c>
      <c r="N18" s="42">
        <v>100</v>
      </c>
      <c r="O18" s="43">
        <v>6020</v>
      </c>
      <c r="P18" s="44">
        <v>1000</v>
      </c>
      <c r="Q18" s="44">
        <v>1000</v>
      </c>
      <c r="R18" s="45">
        <v>21.280999999999999</v>
      </c>
      <c r="S18" s="46">
        <v>0</v>
      </c>
      <c r="T18" s="39">
        <f t="shared" si="0"/>
        <v>12</v>
      </c>
      <c r="U18" s="47">
        <f t="shared" si="1"/>
        <v>5.2026804941622895E-3</v>
      </c>
      <c r="V18" s="48">
        <f t="shared" si="2"/>
        <v>0</v>
      </c>
      <c r="W18" s="49">
        <f t="shared" si="3"/>
        <v>4.3355670784685744E-4</v>
      </c>
      <c r="X18" s="44">
        <f t="shared" si="4"/>
        <v>574.94717653820862</v>
      </c>
      <c r="Y18" s="44">
        <f t="shared" si="5"/>
        <v>0</v>
      </c>
      <c r="Z18" s="44">
        <f t="shared" si="6"/>
        <v>3421.8604159454612</v>
      </c>
      <c r="AA18" s="50">
        <f t="shared" si="7"/>
        <v>1574.9471765382086</v>
      </c>
      <c r="AB18" s="51">
        <f t="shared" si="8"/>
        <v>3203.989153506986</v>
      </c>
      <c r="AC18" s="44">
        <f t="shared" si="8"/>
        <v>1474.6696409533788</v>
      </c>
      <c r="AD18" s="44">
        <f t="shared" si="9"/>
        <v>1708.4475433658918</v>
      </c>
      <c r="AE18" s="44">
        <f t="shared" si="17"/>
        <v>0</v>
      </c>
      <c r="AF18" s="52">
        <f>HLOOKUP(I18,ElecAvoidedCostsWOCC!$A$5:$Q$50,G18+1,FALSE)</f>
        <v>0.91128284670075355</v>
      </c>
      <c r="AG18" s="44">
        <f t="shared" si="10"/>
        <v>5485.9227371385359</v>
      </c>
      <c r="AH18" s="52">
        <f>HLOOKUP(I18,ElecAvoidedCostsWOCC!$A$5:$Q$50,T18+1,FALSE)</f>
        <v>0.91128284670075355</v>
      </c>
      <c r="AI18" s="44">
        <f t="shared" si="11"/>
        <v>0</v>
      </c>
      <c r="AJ18" s="44">
        <f t="shared" si="12"/>
        <v>5485.9227371385359</v>
      </c>
      <c r="AK18" s="44">
        <f>HLOOKUP(I18,ElecAvoidedCostsWOCC!$A$5:$Q$50,G18+1,FALSE)*J18*L18</f>
        <v>0</v>
      </c>
      <c r="AL18" s="44">
        <f t="shared" si="13"/>
        <v>5485.9227371385359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5485.9227371385359</v>
      </c>
      <c r="AN18" s="48">
        <f t="shared" si="14"/>
        <v>7742.9625542182821</v>
      </c>
      <c r="AO18" s="47">
        <f t="shared" si="15"/>
        <v>1.7122163884774133</v>
      </c>
      <c r="AP18" s="47">
        <f t="shared" si="16"/>
        <v>5.2506421365075582</v>
      </c>
    </row>
    <row r="19" spans="1:42" ht="13.5" customHeight="1" x14ac:dyDescent="0.35">
      <c r="A19" s="58" t="s">
        <v>222</v>
      </c>
      <c r="B19" s="97" t="s">
        <v>67</v>
      </c>
      <c r="C19" s="98">
        <v>18231134</v>
      </c>
      <c r="D19" s="61" t="s">
        <v>167</v>
      </c>
      <c r="E19" s="38" t="s">
        <v>1590</v>
      </c>
      <c r="F19" s="39" t="s">
        <v>1591</v>
      </c>
      <c r="G19" s="39">
        <v>12</v>
      </c>
      <c r="H19" s="39"/>
      <c r="I19" s="40" t="s">
        <v>262</v>
      </c>
      <c r="J19" s="41">
        <v>64</v>
      </c>
      <c r="K19" s="41">
        <v>274</v>
      </c>
      <c r="L19" s="41"/>
      <c r="M19" s="42">
        <v>100</v>
      </c>
      <c r="N19" s="42">
        <v>100</v>
      </c>
      <c r="O19" s="43">
        <v>17536</v>
      </c>
      <c r="P19" s="44">
        <v>6400</v>
      </c>
      <c r="Q19" s="44">
        <v>6400</v>
      </c>
      <c r="R19" s="45">
        <v>0</v>
      </c>
      <c r="S19" s="46">
        <v>0</v>
      </c>
      <c r="T19" s="39">
        <f t="shared" si="0"/>
        <v>12</v>
      </c>
      <c r="U19" s="47">
        <f t="shared" si="1"/>
        <v>1.515518357900829E-2</v>
      </c>
      <c r="V19" s="48">
        <f t="shared" si="2"/>
        <v>0</v>
      </c>
      <c r="W19" s="49">
        <f t="shared" si="3"/>
        <v>1.2629319649173575E-3</v>
      </c>
      <c r="X19" s="44">
        <f t="shared" si="4"/>
        <v>1674.7962936501706</v>
      </c>
      <c r="Y19" s="44">
        <f t="shared" si="5"/>
        <v>0</v>
      </c>
      <c r="Z19" s="44">
        <f t="shared" si="6"/>
        <v>9967.7316036577413</v>
      </c>
      <c r="AA19" s="50">
        <f t="shared" si="7"/>
        <v>8074.7962936501708</v>
      </c>
      <c r="AB19" s="51">
        <f t="shared" si="8"/>
        <v>9333.0820258967615</v>
      </c>
      <c r="AC19" s="44">
        <f t="shared" si="8"/>
        <v>7560.6706869383615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0.91128284670075355</v>
      </c>
      <c r="AG19" s="44">
        <f t="shared" si="10"/>
        <v>15980.255999744415</v>
      </c>
      <c r="AH19" s="52">
        <f>HLOOKUP(I19,ElecAvoidedCostsWOCC!$A$5:$Q$50,T19+1,FALSE)</f>
        <v>0.91128284670075355</v>
      </c>
      <c r="AI19" s="44">
        <f t="shared" si="11"/>
        <v>0</v>
      </c>
      <c r="AJ19" s="44">
        <f t="shared" si="12"/>
        <v>15980.255999744415</v>
      </c>
      <c r="AK19" s="44">
        <f>HLOOKUP(I19,ElecAvoidedCostsWOCC!$A$5:$Q$50,G19+1,FALSE)*J19*L19</f>
        <v>0</v>
      </c>
      <c r="AL19" s="44">
        <f t="shared" si="13"/>
        <v>15980.255999744415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15980.255999744415</v>
      </c>
      <c r="AN19" s="48">
        <f t="shared" si="14"/>
        <v>17578.281599718859</v>
      </c>
      <c r="AO19" s="47">
        <f t="shared" si="15"/>
        <v>1.7122163884774135</v>
      </c>
      <c r="AP19" s="47">
        <f t="shared" si="16"/>
        <v>2.3249632641832543</v>
      </c>
    </row>
    <row r="20" spans="1:42" ht="13.5" customHeight="1" x14ac:dyDescent="0.35">
      <c r="A20" s="59">
        <f>A8+SUM(Q5:Q904)</f>
        <v>7247873.3500000006</v>
      </c>
      <c r="B20" s="97" t="s">
        <v>67</v>
      </c>
      <c r="C20" s="98">
        <v>18231134</v>
      </c>
      <c r="D20" s="61" t="s">
        <v>167</v>
      </c>
      <c r="E20" s="38" t="s">
        <v>1592</v>
      </c>
      <c r="F20" s="39" t="s">
        <v>1591</v>
      </c>
      <c r="G20" s="39">
        <v>12</v>
      </c>
      <c r="H20" s="39"/>
      <c r="I20" s="40" t="s">
        <v>262</v>
      </c>
      <c r="J20" s="41">
        <v>296</v>
      </c>
      <c r="K20" s="41">
        <v>262</v>
      </c>
      <c r="L20" s="41"/>
      <c r="M20" s="42">
        <v>100</v>
      </c>
      <c r="N20" s="42">
        <v>100</v>
      </c>
      <c r="O20" s="43">
        <v>77552</v>
      </c>
      <c r="P20" s="44">
        <v>29600</v>
      </c>
      <c r="Q20" s="44">
        <v>29600</v>
      </c>
      <c r="R20" s="45">
        <v>9.2560000000000002</v>
      </c>
      <c r="S20" s="46">
        <v>0</v>
      </c>
      <c r="T20" s="39">
        <f t="shared" si="0"/>
        <v>12</v>
      </c>
      <c r="U20" s="47">
        <f t="shared" si="1"/>
        <v>6.7022969714829544E-2</v>
      </c>
      <c r="V20" s="48">
        <f t="shared" si="2"/>
        <v>0</v>
      </c>
      <c r="W20" s="49">
        <f t="shared" si="3"/>
        <v>5.5852474762357954E-3</v>
      </c>
      <c r="X20" s="44">
        <f t="shared" si="4"/>
        <v>7406.6949227393943</v>
      </c>
      <c r="Y20" s="44">
        <f t="shared" si="5"/>
        <v>0</v>
      </c>
      <c r="Z20" s="44">
        <f t="shared" si="6"/>
        <v>44081.747338438938</v>
      </c>
      <c r="AA20" s="50">
        <f t="shared" si="7"/>
        <v>37006.694922739392</v>
      </c>
      <c r="AB20" s="51">
        <f t="shared" ref="AB20:AC23" si="18">Z20/(1+ElecDiscountRate)^1</f>
        <v>41275.044324381022</v>
      </c>
      <c r="AC20" s="44">
        <f t="shared" si="18"/>
        <v>34650.463410804674</v>
      </c>
      <c r="AD20" s="44">
        <f t="shared" si="9"/>
        <v>21995.035837473937</v>
      </c>
      <c r="AE20" s="44">
        <f t="shared" si="17"/>
        <v>0</v>
      </c>
      <c r="AF20" s="52">
        <f>HLOOKUP(I20,ElecAvoidedCostsWOCC!$A$5:$Q$50,G20+1,FALSE)</f>
        <v>0.91128284670075355</v>
      </c>
      <c r="AG20" s="44">
        <f t="shared" si="10"/>
        <v>70671.807327336835</v>
      </c>
      <c r="AH20" s="52">
        <f>HLOOKUP(I20,ElecAvoidedCostsWOCC!$A$5:$Q$50,T20+1,FALSE)</f>
        <v>0.91128284670075355</v>
      </c>
      <c r="AI20" s="44">
        <f t="shared" si="11"/>
        <v>0</v>
      </c>
      <c r="AJ20" s="44">
        <f t="shared" si="12"/>
        <v>70671.807327336835</v>
      </c>
      <c r="AK20" s="44">
        <f>HLOOKUP(I20,ElecAvoidedCostsWOCC!$A$5:$Q$50,G20+1,FALSE)*J20*L20</f>
        <v>0</v>
      </c>
      <c r="AL20" s="44">
        <f t="shared" si="13"/>
        <v>70671.807327336835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70671.807327336835</v>
      </c>
      <c r="AN20" s="48">
        <f t="shared" si="14"/>
        <v>99734.023897544452</v>
      </c>
      <c r="AO20" s="47">
        <f t="shared" si="15"/>
        <v>1.7122163884774135</v>
      </c>
      <c r="AP20" s="47">
        <f t="shared" si="16"/>
        <v>2.8782883136404314</v>
      </c>
    </row>
    <row r="21" spans="1:42" ht="13.5" customHeight="1" x14ac:dyDescent="0.35">
      <c r="A21" s="58" t="s">
        <v>236</v>
      </c>
      <c r="B21" s="97" t="s">
        <v>67</v>
      </c>
      <c r="C21" s="98">
        <v>18231134</v>
      </c>
      <c r="D21" s="61" t="s">
        <v>167</v>
      </c>
      <c r="E21" s="38" t="s">
        <v>1593</v>
      </c>
      <c r="F21" s="39" t="s">
        <v>1594</v>
      </c>
      <c r="G21" s="39">
        <v>12</v>
      </c>
      <c r="H21" s="39"/>
      <c r="I21" s="40" t="s">
        <v>262</v>
      </c>
      <c r="J21" s="41">
        <v>150</v>
      </c>
      <c r="K21" s="41">
        <v>366</v>
      </c>
      <c r="L21" s="41"/>
      <c r="M21" s="42">
        <v>127</v>
      </c>
      <c r="N21" s="42">
        <v>127</v>
      </c>
      <c r="O21" s="43">
        <v>54900</v>
      </c>
      <c r="P21" s="44">
        <v>19050</v>
      </c>
      <c r="Q21" s="44">
        <v>19050</v>
      </c>
      <c r="R21" s="45">
        <v>0</v>
      </c>
      <c r="S21" s="46">
        <v>0</v>
      </c>
      <c r="T21" s="39">
        <f t="shared" si="0"/>
        <v>12</v>
      </c>
      <c r="U21" s="47">
        <f t="shared" si="1"/>
        <v>4.7446371948423535E-2</v>
      </c>
      <c r="V21" s="48">
        <f t="shared" si="2"/>
        <v>0</v>
      </c>
      <c r="W21" s="49">
        <f t="shared" si="3"/>
        <v>3.9538643290352943E-3</v>
      </c>
      <c r="X21" s="44">
        <f t="shared" si="4"/>
        <v>5243.2890352072509</v>
      </c>
      <c r="Y21" s="44">
        <f t="shared" si="5"/>
        <v>0</v>
      </c>
      <c r="Z21" s="44">
        <f t="shared" si="6"/>
        <v>31206.00279657904</v>
      </c>
      <c r="AA21" s="50">
        <f t="shared" si="7"/>
        <v>24293.28903520725</v>
      </c>
      <c r="AB21" s="51">
        <f t="shared" si="18"/>
        <v>29219.103742115203</v>
      </c>
      <c r="AC21" s="44">
        <f t="shared" si="18"/>
        <v>22746.525313864466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0.91128284670075355</v>
      </c>
      <c r="AG21" s="44">
        <f t="shared" si="10"/>
        <v>50029.428283871363</v>
      </c>
      <c r="AH21" s="52">
        <f>HLOOKUP(I21,ElecAvoidedCostsWOCC!$A$5:$Q$50,T21+1,FALSE)</f>
        <v>0.91128284670075355</v>
      </c>
      <c r="AI21" s="44">
        <f t="shared" si="11"/>
        <v>0</v>
      </c>
      <c r="AJ21" s="44">
        <f t="shared" si="12"/>
        <v>50029.428283871363</v>
      </c>
      <c r="AK21" s="44">
        <f>HLOOKUP(I21,ElecAvoidedCostsWOCC!$A$5:$Q$50,G21+1,FALSE)*J21*L21</f>
        <v>0</v>
      </c>
      <c r="AL21" s="44">
        <f t="shared" si="13"/>
        <v>50029.428283871363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50029.428283871363</v>
      </c>
      <c r="AN21" s="48">
        <f t="shared" si="14"/>
        <v>55032.371112258501</v>
      </c>
      <c r="AO21" s="47">
        <f t="shared" si="15"/>
        <v>1.7122163884774133</v>
      </c>
      <c r="AP21" s="47">
        <f t="shared" si="16"/>
        <v>2.4193748430981308</v>
      </c>
    </row>
    <row r="22" spans="1:42" ht="13.5" customHeight="1" x14ac:dyDescent="0.35">
      <c r="A22" s="60">
        <f>(SUM(AM5:AM998)/(SUM(AB5:AB998)))</f>
        <v>1.7897527449585449</v>
      </c>
      <c r="B22" s="97" t="s">
        <v>67</v>
      </c>
      <c r="C22" s="98">
        <v>18231134</v>
      </c>
      <c r="D22" s="61" t="s">
        <v>167</v>
      </c>
      <c r="E22" s="38" t="s">
        <v>1595</v>
      </c>
      <c r="F22" s="39" t="s">
        <v>1594</v>
      </c>
      <c r="G22" s="39">
        <v>12</v>
      </c>
      <c r="H22" s="39"/>
      <c r="I22" s="40" t="s">
        <v>262</v>
      </c>
      <c r="J22" s="41">
        <v>1386</v>
      </c>
      <c r="K22" s="41">
        <v>349</v>
      </c>
      <c r="L22" s="41"/>
      <c r="M22" s="42">
        <v>127</v>
      </c>
      <c r="N22" s="42">
        <v>127</v>
      </c>
      <c r="O22" s="43">
        <v>483714</v>
      </c>
      <c r="P22" s="44">
        <v>176022</v>
      </c>
      <c r="Q22" s="44">
        <v>176022</v>
      </c>
      <c r="R22" s="45">
        <v>12.363</v>
      </c>
      <c r="S22" s="46">
        <v>0</v>
      </c>
      <c r="T22" s="39">
        <f t="shared" si="0"/>
        <v>12</v>
      </c>
      <c r="U22" s="47">
        <f t="shared" si="1"/>
        <v>0.41804142733442151</v>
      </c>
      <c r="V22" s="48">
        <f t="shared" si="2"/>
        <v>0</v>
      </c>
      <c r="W22" s="49">
        <f t="shared" si="3"/>
        <v>3.4836785611201793E-2</v>
      </c>
      <c r="X22" s="44">
        <f t="shared" si="4"/>
        <v>46197.67417807359</v>
      </c>
      <c r="Y22" s="44">
        <f t="shared" si="5"/>
        <v>0</v>
      </c>
      <c r="Z22" s="44">
        <f t="shared" si="6"/>
        <v>274950.46332867822</v>
      </c>
      <c r="AA22" s="50">
        <f t="shared" si="7"/>
        <v>222219.67417807359</v>
      </c>
      <c r="AB22" s="51">
        <f t="shared" si="18"/>
        <v>257444.25405306948</v>
      </c>
      <c r="AC22" s="44">
        <f t="shared" si="18"/>
        <v>208070.85597197901</v>
      </c>
      <c r="AD22" s="44">
        <f t="shared" si="9"/>
        <v>137561.4409679276</v>
      </c>
      <c r="AE22" s="44">
        <f t="shared" si="17"/>
        <v>0</v>
      </c>
      <c r="AF22" s="52">
        <f>HLOOKUP(I22,ElecAvoidedCostsWOCC!$A$5:$Q$50,G22+1,FALSE)</f>
        <v>0.91128284670075355</v>
      </c>
      <c r="AG22" s="44">
        <f t="shared" si="10"/>
        <v>440800.27090900828</v>
      </c>
      <c r="AH22" s="52">
        <f>HLOOKUP(I22,ElecAvoidedCostsWOCC!$A$5:$Q$50,T22+1,FALSE)</f>
        <v>0.91128284670075355</v>
      </c>
      <c r="AI22" s="44">
        <f t="shared" si="11"/>
        <v>0</v>
      </c>
      <c r="AJ22" s="44">
        <f t="shared" si="12"/>
        <v>440800.27090900828</v>
      </c>
      <c r="AK22" s="44">
        <f>HLOOKUP(I22,ElecAvoidedCostsWOCC!$A$5:$Q$50,G22+1,FALSE)*J22*L22</f>
        <v>0</v>
      </c>
      <c r="AL22" s="44">
        <f t="shared" si="13"/>
        <v>440800.27090900828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440800.27090900834</v>
      </c>
      <c r="AN22" s="48">
        <f t="shared" si="14"/>
        <v>622441.73896783683</v>
      </c>
      <c r="AO22" s="47">
        <f t="shared" si="15"/>
        <v>1.7122163884774135</v>
      </c>
      <c r="AP22" s="47">
        <f t="shared" si="16"/>
        <v>2.9914892984900363</v>
      </c>
    </row>
    <row r="23" spans="1:42" ht="13.5" customHeight="1" x14ac:dyDescent="0.35">
      <c r="A23" s="58" t="s">
        <v>237</v>
      </c>
      <c r="B23" s="97" t="s">
        <v>67</v>
      </c>
      <c r="C23" s="98">
        <v>18231134</v>
      </c>
      <c r="D23" s="61" t="s">
        <v>167</v>
      </c>
      <c r="E23" s="38" t="s">
        <v>1596</v>
      </c>
      <c r="F23" s="39" t="s">
        <v>1597</v>
      </c>
      <c r="G23" s="39">
        <v>12</v>
      </c>
      <c r="H23" s="39"/>
      <c r="I23" s="40" t="s">
        <v>262</v>
      </c>
      <c r="J23" s="41">
        <v>43</v>
      </c>
      <c r="K23" s="41">
        <v>840</v>
      </c>
      <c r="L23" s="41"/>
      <c r="M23" s="42">
        <v>127</v>
      </c>
      <c r="N23" s="42">
        <v>127</v>
      </c>
      <c r="O23" s="43">
        <v>36120</v>
      </c>
      <c r="P23" s="44">
        <v>5461</v>
      </c>
      <c r="Q23" s="44">
        <v>5461</v>
      </c>
      <c r="R23" s="45">
        <v>0</v>
      </c>
      <c r="S23" s="46">
        <v>0</v>
      </c>
      <c r="T23" s="39">
        <f t="shared" si="0"/>
        <v>12</v>
      </c>
      <c r="U23" s="47">
        <f t="shared" si="1"/>
        <v>3.1216082964973739E-2</v>
      </c>
      <c r="V23" s="48">
        <f t="shared" si="2"/>
        <v>0</v>
      </c>
      <c r="W23" s="49">
        <f t="shared" si="3"/>
        <v>2.6013402470811448E-3</v>
      </c>
      <c r="X23" s="44">
        <f t="shared" si="4"/>
        <v>3449.6830592292517</v>
      </c>
      <c r="Y23" s="44">
        <f t="shared" si="5"/>
        <v>0</v>
      </c>
      <c r="Z23" s="44">
        <f t="shared" si="6"/>
        <v>20531.162495672768</v>
      </c>
      <c r="AA23" s="50">
        <f t="shared" si="7"/>
        <v>8910.6830592292517</v>
      </c>
      <c r="AB23" s="51">
        <f t="shared" si="18"/>
        <v>19223.934921041917</v>
      </c>
      <c r="AC23" s="44">
        <f t="shared" si="18"/>
        <v>8343.3361977801978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0.91128284670075355</v>
      </c>
      <c r="AG23" s="44">
        <f t="shared" si="10"/>
        <v>32915.536422831217</v>
      </c>
      <c r="AH23" s="52">
        <f>HLOOKUP(I23,ElecAvoidedCostsWOCC!$A$5:$Q$50,T23+1,FALSE)</f>
        <v>0.91128284670075355</v>
      </c>
      <c r="AI23" s="44">
        <f t="shared" si="11"/>
        <v>0</v>
      </c>
      <c r="AJ23" s="44">
        <f t="shared" si="12"/>
        <v>32915.536422831217</v>
      </c>
      <c r="AK23" s="44">
        <f>HLOOKUP(I23,ElecAvoidedCostsWOCC!$A$5:$Q$50,G23+1,FALSE)*J23*L23</f>
        <v>0</v>
      </c>
      <c r="AL23" s="44">
        <f t="shared" si="13"/>
        <v>32915.536422831217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32915.536422831217</v>
      </c>
      <c r="AN23" s="48">
        <f t="shared" si="14"/>
        <v>36207.090065114346</v>
      </c>
      <c r="AO23" s="47">
        <f t="shared" si="15"/>
        <v>1.7122163884774133</v>
      </c>
      <c r="AP23" s="47">
        <f t="shared" si="16"/>
        <v>4.3396417460376933</v>
      </c>
    </row>
    <row r="24" spans="1:42" ht="13.5" customHeight="1" x14ac:dyDescent="0.35">
      <c r="A24" s="60">
        <f>(SUM(AN5:AN998)/SUM(AC5:AC998))</f>
        <v>2.6758485947988282</v>
      </c>
      <c r="B24" s="97" t="s">
        <v>67</v>
      </c>
      <c r="C24" s="98">
        <v>18231134</v>
      </c>
      <c r="D24" s="61" t="s">
        <v>167</v>
      </c>
      <c r="E24" s="38" t="s">
        <v>1598</v>
      </c>
      <c r="F24" s="39" t="s">
        <v>1597</v>
      </c>
      <c r="G24" s="39">
        <v>12</v>
      </c>
      <c r="H24" s="39"/>
      <c r="I24" s="40" t="s">
        <v>262</v>
      </c>
      <c r="J24" s="41">
        <v>137</v>
      </c>
      <c r="K24" s="41">
        <v>802</v>
      </c>
      <c r="L24" s="41"/>
      <c r="M24" s="42">
        <v>127</v>
      </c>
      <c r="N24" s="42">
        <v>127</v>
      </c>
      <c r="O24" s="43">
        <v>109874</v>
      </c>
      <c r="P24" s="44">
        <v>17399</v>
      </c>
      <c r="Q24" s="44">
        <v>17399</v>
      </c>
      <c r="R24" s="45">
        <v>28.375</v>
      </c>
      <c r="S24" s="46">
        <v>0</v>
      </c>
      <c r="T24" s="39">
        <f t="shared" ref="T24:T86" si="19">G24+H24</f>
        <v>12</v>
      </c>
      <c r="U24" s="47">
        <f t="shared" ref="U24:U86" si="20">(O24/$A$10)*T24</f>
        <v>9.495669711222382E-2</v>
      </c>
      <c r="V24" s="48">
        <f t="shared" ref="V24:V86" si="21">N24-M24</f>
        <v>0</v>
      </c>
      <c r="W24" s="49">
        <f t="shared" ref="W24:W86" si="22">(O24/A$10)</f>
        <v>7.9130580926853183E-3</v>
      </c>
      <c r="X24" s="44">
        <f t="shared" ref="X24:X86" si="23">W24*A$8</f>
        <v>10493.64552740185</v>
      </c>
      <c r="Y24" s="44">
        <f t="shared" ref="Y24:Y86" si="24">Q24-P24</f>
        <v>0</v>
      </c>
      <c r="Z24" s="44">
        <f t="shared" ref="Z24:Z86" si="25">X24+(A$6*W24)</f>
        <v>62454.068329168047</v>
      </c>
      <c r="AA24" s="50">
        <f t="shared" ref="AA24:AA86" si="26">Q24+X24</f>
        <v>27892.645527401852</v>
      </c>
      <c r="AB24" s="51">
        <f t="shared" ref="AB24:AB86" si="27">Z24/(1+ElecDiscountRate)^1</f>
        <v>58477.592068509402</v>
      </c>
      <c r="AC24" s="44">
        <f t="shared" ref="AC24:AC86" si="28">AA24/(1+ElecDiscountRate)^1</f>
        <v>26116.709295320084</v>
      </c>
      <c r="AD24" s="44">
        <f t="shared" ref="AD24:AD86" si="29">-PV(ElecDiscountRate,T24,R24)*J24</f>
        <v>31208.008406052268</v>
      </c>
      <c r="AE24" s="44">
        <f t="shared" ref="AE24:AE86" si="30">-PV(ElecDiscountRate,T24,S24)*J24</f>
        <v>0</v>
      </c>
      <c r="AF24" s="52">
        <f>HLOOKUP(I24,ElecAvoidedCostsWOCC!$A$5:$Q$50,G24+1,FALSE)</f>
        <v>0.91128284670075355</v>
      </c>
      <c r="AG24" s="44">
        <f t="shared" ref="AG24:AG86" si="31">AF24*J24*K24</f>
        <v>100126.2914983986</v>
      </c>
      <c r="AH24" s="52">
        <f>HLOOKUP(I24,ElecAvoidedCostsWOCC!$A$5:$Q$50,T24+1,FALSE)</f>
        <v>0.91128284670075355</v>
      </c>
      <c r="AI24" s="44">
        <f t="shared" ref="AI24:AI86" si="32">AH24*J24*L24</f>
        <v>0</v>
      </c>
      <c r="AJ24" s="44">
        <f t="shared" ref="AJ24:AJ86" si="33">AG24+AI24</f>
        <v>100126.2914983986</v>
      </c>
      <c r="AK24" s="44">
        <f>HLOOKUP(I24,ElecAvoidedCostsWOCC!$A$5:$Q$50,G24+1,FALSE)*J24*L24</f>
        <v>0</v>
      </c>
      <c r="AL24" s="44">
        <f t="shared" ref="AL24:AL86" si="34">AG24+AI24-AK24</f>
        <v>100126.2914983986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100126.29149839858</v>
      </c>
      <c r="AN24" s="48">
        <f t="shared" ref="AN24:AN86" si="35">AM24*1.1+AD24+AE24</f>
        <v>141346.92905429073</v>
      </c>
      <c r="AO24" s="47">
        <f t="shared" ref="AO24:AO86" si="36">IFERROR(AM24/AB24,0)</f>
        <v>1.7122163884774131</v>
      </c>
      <c r="AP24" s="47">
        <f t="shared" ref="AP24:AP86" si="37">AN24/AC24</f>
        <v>5.4121262926343867</v>
      </c>
    </row>
    <row r="25" spans="1:42" ht="13.5" customHeight="1" x14ac:dyDescent="0.35">
      <c r="B25" s="97" t="s">
        <v>67</v>
      </c>
      <c r="C25" s="98">
        <v>18231134</v>
      </c>
      <c r="D25" s="61" t="s">
        <v>167</v>
      </c>
      <c r="E25" s="38" t="s">
        <v>1599</v>
      </c>
      <c r="F25" s="39" t="s">
        <v>1600</v>
      </c>
      <c r="G25" s="39">
        <v>9</v>
      </c>
      <c r="H25" s="39"/>
      <c r="I25" s="40" t="s">
        <v>261</v>
      </c>
      <c r="J25" s="41">
        <v>56</v>
      </c>
      <c r="K25" s="41">
        <v>153.4</v>
      </c>
      <c r="L25" s="41"/>
      <c r="M25" s="42">
        <v>60</v>
      </c>
      <c r="N25" s="42">
        <v>60</v>
      </c>
      <c r="O25" s="43">
        <v>8590.4</v>
      </c>
      <c r="P25" s="44">
        <v>3360</v>
      </c>
      <c r="Q25" s="44">
        <v>3360</v>
      </c>
      <c r="R25" s="45"/>
      <c r="S25" s="46"/>
      <c r="T25" s="39">
        <f t="shared" si="19"/>
        <v>9</v>
      </c>
      <c r="U25" s="47">
        <f t="shared" si="20"/>
        <v>5.568078054449966E-3</v>
      </c>
      <c r="V25" s="48">
        <f t="shared" si="21"/>
        <v>0</v>
      </c>
      <c r="W25" s="49">
        <f t="shared" si="22"/>
        <v>6.1867533938332955E-4</v>
      </c>
      <c r="X25" s="44">
        <f t="shared" si="23"/>
        <v>820.436250055453</v>
      </c>
      <c r="Y25" s="44">
        <f t="shared" si="24"/>
        <v>0</v>
      </c>
      <c r="Z25" s="44">
        <f t="shared" si="25"/>
        <v>4882.9152354049656</v>
      </c>
      <c r="AA25" s="50">
        <f t="shared" si="26"/>
        <v>4180.4362500554525</v>
      </c>
      <c r="AB25" s="51">
        <f t="shared" si="27"/>
        <v>4572.0180106788066</v>
      </c>
      <c r="AC25" s="44">
        <f t="shared" si="28"/>
        <v>3914.2661517373149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0.68930203375983767</v>
      </c>
      <c r="AG25" s="44">
        <f t="shared" si="31"/>
        <v>5921.3801908105106</v>
      </c>
      <c r="AH25" s="52">
        <f>HLOOKUP(I25,ElecAvoidedCostsWOCC!$A$5:$Q$50,T25+1,FALSE)</f>
        <v>0.68930203375983767</v>
      </c>
      <c r="AI25" s="44">
        <f t="shared" si="32"/>
        <v>0</v>
      </c>
      <c r="AJ25" s="44">
        <f t="shared" si="33"/>
        <v>5921.3801908105106</v>
      </c>
      <c r="AK25" s="44">
        <f>HLOOKUP(I25,ElecAvoidedCostsWOCC!$A$5:$Q$50,G25+1,FALSE)*J25*L25</f>
        <v>0</v>
      </c>
      <c r="AL25" s="44">
        <f t="shared" si="34"/>
        <v>5921.3801908105106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5921.3801908105097</v>
      </c>
      <c r="AN25" s="48">
        <f t="shared" si="35"/>
        <v>6513.5182098915611</v>
      </c>
      <c r="AO25" s="47">
        <f t="shared" si="36"/>
        <v>1.2951349222553399</v>
      </c>
      <c r="AP25" s="47">
        <f t="shared" si="37"/>
        <v>1.6640458153313336</v>
      </c>
    </row>
    <row r="26" spans="1:42" ht="13.5" customHeight="1" x14ac:dyDescent="0.35">
      <c r="B26" s="97" t="s">
        <v>67</v>
      </c>
      <c r="C26" s="98">
        <v>18231134</v>
      </c>
      <c r="D26" s="61" t="s">
        <v>167</v>
      </c>
      <c r="E26" s="38" t="s">
        <v>1601</v>
      </c>
      <c r="F26" s="39" t="s">
        <v>1602</v>
      </c>
      <c r="G26" s="39">
        <v>10</v>
      </c>
      <c r="H26" s="39"/>
      <c r="I26" s="40" t="s">
        <v>262</v>
      </c>
      <c r="J26" s="41">
        <v>10</v>
      </c>
      <c r="K26" s="41">
        <v>87.75</v>
      </c>
      <c r="L26" s="41"/>
      <c r="M26" s="42">
        <v>68</v>
      </c>
      <c r="N26" s="42">
        <v>68</v>
      </c>
      <c r="O26" s="43">
        <v>877.5</v>
      </c>
      <c r="P26" s="44">
        <v>680</v>
      </c>
      <c r="Q26" s="44">
        <v>680</v>
      </c>
      <c r="R26" s="45">
        <v>0</v>
      </c>
      <c r="S26" s="46">
        <v>0</v>
      </c>
      <c r="T26" s="39">
        <f t="shared" si="19"/>
        <v>10</v>
      </c>
      <c r="U26" s="47">
        <f t="shared" si="20"/>
        <v>6.3197011816547733E-4</v>
      </c>
      <c r="V26" s="48">
        <f t="shared" si="21"/>
        <v>0</v>
      </c>
      <c r="W26" s="49">
        <f t="shared" si="22"/>
        <v>6.3197011816547738E-5</v>
      </c>
      <c r="X26" s="44">
        <f t="shared" si="23"/>
        <v>83.806669005361798</v>
      </c>
      <c r="Y26" s="44">
        <f t="shared" si="24"/>
        <v>0</v>
      </c>
      <c r="Z26" s="44">
        <f t="shared" si="25"/>
        <v>498.78447092892731</v>
      </c>
      <c r="AA26" s="50">
        <f t="shared" si="26"/>
        <v>763.80666900536175</v>
      </c>
      <c r="AB26" s="51">
        <f t="shared" si="27"/>
        <v>467.0266581731529</v>
      </c>
      <c r="AC26" s="44">
        <f t="shared" si="28"/>
        <v>715.17478371288553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0.77460416073684046</v>
      </c>
      <c r="AG26" s="44">
        <f t="shared" si="31"/>
        <v>679.71515104657749</v>
      </c>
      <c r="AH26" s="52">
        <f>HLOOKUP(I26,ElecAvoidedCostsWOCC!$A$5:$Q$50,T26+1,FALSE)</f>
        <v>0.77460416073684046</v>
      </c>
      <c r="AI26" s="44">
        <f t="shared" si="32"/>
        <v>0</v>
      </c>
      <c r="AJ26" s="44">
        <f t="shared" si="33"/>
        <v>679.71515104657749</v>
      </c>
      <c r="AK26" s="44">
        <f>HLOOKUP(I26,ElecAvoidedCostsWOCC!$A$5:$Q$50,G26+1,FALSE)*J26*L26</f>
        <v>0</v>
      </c>
      <c r="AL26" s="44">
        <f t="shared" si="34"/>
        <v>679.71515104657749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679.7151510465776</v>
      </c>
      <c r="AN26" s="48">
        <f t="shared" si="35"/>
        <v>747.68666615123539</v>
      </c>
      <c r="AO26" s="47">
        <f t="shared" si="36"/>
        <v>1.4554097483543844</v>
      </c>
      <c r="AP26" s="47">
        <f t="shared" si="37"/>
        <v>1.0454600514150707</v>
      </c>
    </row>
    <row r="27" spans="1:42" ht="13.5" customHeight="1" x14ac:dyDescent="0.35">
      <c r="B27" s="97" t="s">
        <v>67</v>
      </c>
      <c r="C27" s="98">
        <v>18231134</v>
      </c>
      <c r="D27" s="61" t="s">
        <v>167</v>
      </c>
      <c r="E27" s="38" t="s">
        <v>1603</v>
      </c>
      <c r="F27" s="39" t="s">
        <v>1602</v>
      </c>
      <c r="G27" s="39">
        <v>10</v>
      </c>
      <c r="H27" s="39"/>
      <c r="I27" s="40" t="s">
        <v>262</v>
      </c>
      <c r="J27" s="41">
        <v>204</v>
      </c>
      <c r="K27" s="41">
        <v>88.8</v>
      </c>
      <c r="L27" s="41"/>
      <c r="M27" s="42">
        <v>68</v>
      </c>
      <c r="N27" s="42">
        <v>68</v>
      </c>
      <c r="O27" s="43">
        <v>18115.2</v>
      </c>
      <c r="P27" s="44">
        <v>13872</v>
      </c>
      <c r="Q27" s="44">
        <v>13872</v>
      </c>
      <c r="R27" s="45">
        <v>2.9249999999999998</v>
      </c>
      <c r="S27" s="46">
        <v>0</v>
      </c>
      <c r="T27" s="39">
        <f t="shared" si="19"/>
        <v>10</v>
      </c>
      <c r="U27" s="47">
        <f t="shared" si="20"/>
        <v>1.3046455936856133E-2</v>
      </c>
      <c r="V27" s="48">
        <f t="shared" si="21"/>
        <v>0</v>
      </c>
      <c r="W27" s="49">
        <f t="shared" si="22"/>
        <v>1.3046455936856134E-3</v>
      </c>
      <c r="X27" s="44">
        <f t="shared" si="23"/>
        <v>1730.1134705024847</v>
      </c>
      <c r="Y27" s="44">
        <f t="shared" si="24"/>
        <v>0</v>
      </c>
      <c r="Z27" s="44">
        <f t="shared" si="25"/>
        <v>10296.95777523841</v>
      </c>
      <c r="AA27" s="50">
        <f t="shared" si="26"/>
        <v>15602.113470502485</v>
      </c>
      <c r="AB27" s="51">
        <f t="shared" si="27"/>
        <v>9641.3462314966382</v>
      </c>
      <c r="AC27" s="44">
        <f t="shared" si="28"/>
        <v>14608.72047799858</v>
      </c>
      <c r="AD27" s="44">
        <f t="shared" si="29"/>
        <v>4229.9925628174524</v>
      </c>
      <c r="AE27" s="44">
        <f t="shared" si="30"/>
        <v>0</v>
      </c>
      <c r="AF27" s="52">
        <f>HLOOKUP(I27,ElecAvoidedCostsWOCC!$A$5:$Q$50,G27+1,FALSE)</f>
        <v>0.77460416073684046</v>
      </c>
      <c r="AG27" s="44">
        <f t="shared" si="31"/>
        <v>14032.109292580013</v>
      </c>
      <c r="AH27" s="52">
        <f>HLOOKUP(I27,ElecAvoidedCostsWOCC!$A$5:$Q$50,T27+1,FALSE)</f>
        <v>0.77460416073684046</v>
      </c>
      <c r="AI27" s="44">
        <f t="shared" si="32"/>
        <v>0</v>
      </c>
      <c r="AJ27" s="44">
        <f t="shared" si="33"/>
        <v>14032.109292580013</v>
      </c>
      <c r="AK27" s="44">
        <f>HLOOKUP(I27,ElecAvoidedCostsWOCC!$A$5:$Q$50,G27+1,FALSE)*J27*L27</f>
        <v>0</v>
      </c>
      <c r="AL27" s="44">
        <f t="shared" si="34"/>
        <v>14032.109292580013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14032.109292580013</v>
      </c>
      <c r="AN27" s="48">
        <f t="shared" si="35"/>
        <v>19665.312784655467</v>
      </c>
      <c r="AO27" s="47">
        <f t="shared" si="36"/>
        <v>1.4554097483543842</v>
      </c>
      <c r="AP27" s="47">
        <f t="shared" si="37"/>
        <v>1.3461351946785725</v>
      </c>
    </row>
    <row r="28" spans="1:42" ht="13.5" customHeight="1" x14ac:dyDescent="0.35">
      <c r="B28" s="97" t="s">
        <v>67</v>
      </c>
      <c r="C28" s="98">
        <v>18231134</v>
      </c>
      <c r="D28" s="61" t="s">
        <v>167</v>
      </c>
      <c r="E28" s="38" t="s">
        <v>1604</v>
      </c>
      <c r="F28" s="39" t="s">
        <v>1605</v>
      </c>
      <c r="G28" s="39">
        <v>4</v>
      </c>
      <c r="H28" s="39"/>
      <c r="I28" s="40" t="s">
        <v>260</v>
      </c>
      <c r="J28" s="41">
        <v>2</v>
      </c>
      <c r="K28" s="41">
        <v>2432</v>
      </c>
      <c r="L28" s="41"/>
      <c r="M28" s="42">
        <v>76.3</v>
      </c>
      <c r="N28" s="42">
        <v>76.3</v>
      </c>
      <c r="O28" s="43">
        <v>4864</v>
      </c>
      <c r="P28" s="44">
        <v>152.6</v>
      </c>
      <c r="Q28" s="44">
        <v>152.6</v>
      </c>
      <c r="R28" s="45">
        <v>390.12</v>
      </c>
      <c r="S28" s="46">
        <v>0</v>
      </c>
      <c r="T28" s="39">
        <f t="shared" si="19"/>
        <v>4</v>
      </c>
      <c r="U28" s="47">
        <f t="shared" si="20"/>
        <v>1.4012091873535646E-3</v>
      </c>
      <c r="V28" s="48">
        <f t="shared" si="21"/>
        <v>0</v>
      </c>
      <c r="W28" s="49">
        <f t="shared" si="22"/>
        <v>3.5030229683839114E-4</v>
      </c>
      <c r="X28" s="44">
        <f t="shared" si="23"/>
        <v>464.54203765479184</v>
      </c>
      <c r="Y28" s="44">
        <f t="shared" si="24"/>
        <v>0</v>
      </c>
      <c r="Z28" s="44">
        <f t="shared" si="25"/>
        <v>2764.7722696276951</v>
      </c>
      <c r="AA28" s="50">
        <f t="shared" si="26"/>
        <v>617.14203765479181</v>
      </c>
      <c r="AB28" s="51">
        <f t="shared" si="27"/>
        <v>2588.7380801757445</v>
      </c>
      <c r="AC28" s="44">
        <f t="shared" si="28"/>
        <v>577.84834986403723</v>
      </c>
      <c r="AD28" s="44">
        <f t="shared" si="29"/>
        <v>2654.8141586203542</v>
      </c>
      <c r="AE28" s="44">
        <f t="shared" si="30"/>
        <v>0</v>
      </c>
      <c r="AF28" s="52">
        <f>HLOOKUP(I28,ElecAvoidedCostsWOCC!$A$5:$Q$50,G28+1,FALSE)</f>
        <v>0.32263481220121881</v>
      </c>
      <c r="AG28" s="44">
        <f t="shared" si="31"/>
        <v>1569.2957265467282</v>
      </c>
      <c r="AH28" s="52">
        <f>HLOOKUP(I28,ElecAvoidedCostsWOCC!$A$5:$Q$50,T28+1,FALSE)</f>
        <v>0.32263481220121881</v>
      </c>
      <c r="AI28" s="44">
        <f t="shared" si="32"/>
        <v>0</v>
      </c>
      <c r="AJ28" s="44">
        <f t="shared" si="33"/>
        <v>1569.2957265467282</v>
      </c>
      <c r="AK28" s="44">
        <f>HLOOKUP(I28,ElecAvoidedCostsWOCC!$A$5:$Q$50,G28+1,FALSE)*J28*L28</f>
        <v>0</v>
      </c>
      <c r="AL28" s="44">
        <f t="shared" si="34"/>
        <v>1569.2957265467282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1569.2957265467282</v>
      </c>
      <c r="AN28" s="48">
        <f t="shared" si="35"/>
        <v>4381.0394578217556</v>
      </c>
      <c r="AO28" s="47">
        <f t="shared" si="36"/>
        <v>0.60620104388474549</v>
      </c>
      <c r="AP28" s="47">
        <f t="shared" si="37"/>
        <v>7.5816422403085113</v>
      </c>
    </row>
    <row r="29" spans="1:42" x14ac:dyDescent="0.35">
      <c r="B29" s="97" t="s">
        <v>67</v>
      </c>
      <c r="C29" s="98">
        <v>18231134</v>
      </c>
      <c r="D29" s="61" t="s">
        <v>167</v>
      </c>
      <c r="E29" s="38" t="s">
        <v>1606</v>
      </c>
      <c r="F29" s="39" t="s">
        <v>1607</v>
      </c>
      <c r="G29" s="39">
        <v>4</v>
      </c>
      <c r="H29" s="39"/>
      <c r="I29" s="40" t="s">
        <v>260</v>
      </c>
      <c r="J29" s="41">
        <v>2</v>
      </c>
      <c r="K29" s="41">
        <v>1342</v>
      </c>
      <c r="L29" s="41"/>
      <c r="M29" s="42">
        <v>76.3</v>
      </c>
      <c r="N29" s="42">
        <v>76.3</v>
      </c>
      <c r="O29" s="43">
        <v>2684</v>
      </c>
      <c r="P29" s="44">
        <v>0</v>
      </c>
      <c r="Q29" s="44">
        <v>152.6</v>
      </c>
      <c r="R29" s="45">
        <v>215.35</v>
      </c>
      <c r="S29" s="46">
        <v>0</v>
      </c>
      <c r="T29" s="39">
        <f t="shared" si="19"/>
        <v>4</v>
      </c>
      <c r="U29" s="47">
        <f t="shared" si="20"/>
        <v>7.7320013545579094E-4</v>
      </c>
      <c r="V29" s="48">
        <f t="shared" si="21"/>
        <v>0</v>
      </c>
      <c r="W29" s="49">
        <f t="shared" si="22"/>
        <v>1.9330003386394773E-4</v>
      </c>
      <c r="X29" s="44">
        <f t="shared" si="23"/>
        <v>256.33857505457672</v>
      </c>
      <c r="Y29" s="44">
        <f t="shared" si="24"/>
        <v>152.6</v>
      </c>
      <c r="Z29" s="44">
        <f t="shared" si="25"/>
        <v>1525.6268033883086</v>
      </c>
      <c r="AA29" s="50">
        <f t="shared" si="26"/>
        <v>408.93857505457675</v>
      </c>
      <c r="AB29" s="51">
        <f t="shared" si="27"/>
        <v>1428.4895162811879</v>
      </c>
      <c r="AC29" s="44">
        <f t="shared" si="28"/>
        <v>382.90128750428534</v>
      </c>
      <c r="AD29" s="44">
        <f t="shared" si="29"/>
        <v>1465.4830028168085</v>
      </c>
      <c r="AE29" s="44">
        <f t="shared" si="30"/>
        <v>0</v>
      </c>
      <c r="AF29" s="52">
        <f>HLOOKUP(I29,ElecAvoidedCostsWOCC!$A$5:$Q$50,G29+1,FALSE)</f>
        <v>0.32263481220121881</v>
      </c>
      <c r="AG29" s="44">
        <f t="shared" si="31"/>
        <v>865.95183594807133</v>
      </c>
      <c r="AH29" s="52">
        <f>HLOOKUP(I29,ElecAvoidedCostsWOCC!$A$5:$Q$50,T29+1,FALSE)</f>
        <v>0.32263481220121881</v>
      </c>
      <c r="AI29" s="44">
        <f t="shared" si="32"/>
        <v>0</v>
      </c>
      <c r="AJ29" s="44">
        <f t="shared" si="33"/>
        <v>865.95183594807133</v>
      </c>
      <c r="AK29" s="44">
        <f>HLOOKUP(I29,ElecAvoidedCostsWOCC!$A$5:$Q$50,G29+1,FALSE)*J29*L29</f>
        <v>0</v>
      </c>
      <c r="AL29" s="44">
        <f t="shared" si="34"/>
        <v>865.95183594807133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865.95183594807133</v>
      </c>
      <c r="AN29" s="48">
        <f t="shared" si="35"/>
        <v>2418.0300223596869</v>
      </c>
      <c r="AO29" s="47">
        <f t="shared" si="36"/>
        <v>0.60620104388474561</v>
      </c>
      <c r="AP29" s="47">
        <f t="shared" si="37"/>
        <v>6.3150219162755485</v>
      </c>
    </row>
    <row r="30" spans="1:42" x14ac:dyDescent="0.35">
      <c r="B30" s="97" t="s">
        <v>67</v>
      </c>
      <c r="C30" s="98">
        <v>18231134</v>
      </c>
      <c r="D30" s="61" t="s">
        <v>167</v>
      </c>
      <c r="E30" s="38" t="s">
        <v>1608</v>
      </c>
      <c r="F30" s="39" t="s">
        <v>1609</v>
      </c>
      <c r="G30" s="39">
        <v>4</v>
      </c>
      <c r="H30" s="39"/>
      <c r="I30" s="40" t="s">
        <v>260</v>
      </c>
      <c r="J30" s="41">
        <v>1</v>
      </c>
      <c r="K30" s="41"/>
      <c r="L30" s="41"/>
      <c r="M30" s="42"/>
      <c r="N30" s="42"/>
      <c r="O30" s="43">
        <v>0</v>
      </c>
      <c r="P30" s="44">
        <v>0</v>
      </c>
      <c r="Q30" s="44">
        <v>0</v>
      </c>
      <c r="R30" s="45">
        <v>236.79</v>
      </c>
      <c r="S30" s="46">
        <v>0</v>
      </c>
      <c r="T30" s="39">
        <f t="shared" si="19"/>
        <v>4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805.69240825863028</v>
      </c>
      <c r="AE30" s="44">
        <f t="shared" si="30"/>
        <v>0</v>
      </c>
      <c r="AF30" s="52">
        <f>HLOOKUP(I30,ElecAvoidedCostsWOCC!$A$5:$Q$50,G30+1,FALSE)</f>
        <v>0.32263481220121881</v>
      </c>
      <c r="AG30" s="44">
        <f t="shared" si="31"/>
        <v>0</v>
      </c>
      <c r="AH30" s="52">
        <f>HLOOKUP(I30,ElecAvoidedCostsWOCC!$A$5:$Q$50,T30+1,FALSE)</f>
        <v>0.32263481220121881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805.69240825863028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97" t="s">
        <v>67</v>
      </c>
      <c r="C31" s="98">
        <v>18231134</v>
      </c>
      <c r="D31" s="61" t="s">
        <v>167</v>
      </c>
      <c r="E31" s="38" t="s">
        <v>1610</v>
      </c>
      <c r="F31" s="39" t="s">
        <v>1611</v>
      </c>
      <c r="G31" s="39">
        <v>4</v>
      </c>
      <c r="H31" s="39"/>
      <c r="I31" s="40" t="s">
        <v>260</v>
      </c>
      <c r="J31" s="41">
        <v>1</v>
      </c>
      <c r="K31" s="41">
        <v>54</v>
      </c>
      <c r="L31" s="41"/>
      <c r="M31" s="42">
        <v>0</v>
      </c>
      <c r="N31" s="42">
        <v>0</v>
      </c>
      <c r="O31" s="43">
        <v>54</v>
      </c>
      <c r="P31" s="44">
        <v>0</v>
      </c>
      <c r="Q31" s="44">
        <v>0</v>
      </c>
      <c r="R31" s="45">
        <v>0</v>
      </c>
      <c r="S31" s="46">
        <v>0</v>
      </c>
      <c r="T31" s="39">
        <f t="shared" si="19"/>
        <v>4</v>
      </c>
      <c r="U31" s="47">
        <f t="shared" si="20"/>
        <v>1.5556187524073291E-5</v>
      </c>
      <c r="V31" s="48">
        <f t="shared" si="21"/>
        <v>0</v>
      </c>
      <c r="W31" s="49">
        <f t="shared" si="22"/>
        <v>3.8890468810183227E-6</v>
      </c>
      <c r="X31" s="44">
        <f t="shared" si="23"/>
        <v>5.1573334772530339</v>
      </c>
      <c r="Y31" s="44">
        <f t="shared" si="24"/>
        <v>0</v>
      </c>
      <c r="Z31" s="44">
        <f t="shared" si="25"/>
        <v>30.694428980241678</v>
      </c>
      <c r="AA31" s="50">
        <f t="shared" si="26"/>
        <v>5.1573334772530339</v>
      </c>
      <c r="AB31" s="51">
        <f t="shared" si="27"/>
        <v>28.740102041424791</v>
      </c>
      <c r="AC31" s="44">
        <f t="shared" si="28"/>
        <v>4.828963930012204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0.32263481220121881</v>
      </c>
      <c r="AG31" s="44">
        <f t="shared" si="31"/>
        <v>17.422279858865817</v>
      </c>
      <c r="AH31" s="52">
        <f>HLOOKUP(I31,ElecAvoidedCostsWOCC!$A$5:$Q$50,T31+1,FALSE)</f>
        <v>0.32263481220121881</v>
      </c>
      <c r="AI31" s="44">
        <f t="shared" si="32"/>
        <v>0</v>
      </c>
      <c r="AJ31" s="44">
        <f t="shared" si="33"/>
        <v>17.422279858865817</v>
      </c>
      <c r="AK31" s="44">
        <f>HLOOKUP(I31,ElecAvoidedCostsWOCC!$A$5:$Q$50,G31+1,FALSE)*J31*L31</f>
        <v>0</v>
      </c>
      <c r="AL31" s="44">
        <f t="shared" si="34"/>
        <v>17.422279858865817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17.422279858865817</v>
      </c>
      <c r="AN31" s="48">
        <f t="shared" si="35"/>
        <v>19.1645078447524</v>
      </c>
      <c r="AO31" s="47">
        <f t="shared" si="36"/>
        <v>0.60620104388474561</v>
      </c>
      <c r="AP31" s="47">
        <f t="shared" si="37"/>
        <v>3.9686583131516509</v>
      </c>
    </row>
    <row r="32" spans="1:42" x14ac:dyDescent="0.35">
      <c r="B32" s="97" t="s">
        <v>67</v>
      </c>
      <c r="C32" s="98">
        <v>18231134</v>
      </c>
      <c r="D32" s="61" t="s">
        <v>167</v>
      </c>
      <c r="E32" s="38" t="s">
        <v>1612</v>
      </c>
      <c r="F32" s="39" t="s">
        <v>1613</v>
      </c>
      <c r="G32" s="39">
        <v>4</v>
      </c>
      <c r="H32" s="39"/>
      <c r="I32" s="40" t="s">
        <v>260</v>
      </c>
      <c r="J32" s="41">
        <v>2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>
        <v>390.12</v>
      </c>
      <c r="S32" s="46">
        <v>0</v>
      </c>
      <c r="T32" s="39">
        <f t="shared" si="19"/>
        <v>4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2654.8141586203542</v>
      </c>
      <c r="AE32" s="44">
        <f t="shared" si="30"/>
        <v>0</v>
      </c>
      <c r="AF32" s="52">
        <f>HLOOKUP(I32,ElecAvoidedCostsWOCC!$A$5:$Q$50,G32+1,FALSE)</f>
        <v>0.32263481220121881</v>
      </c>
      <c r="AG32" s="44">
        <f t="shared" si="31"/>
        <v>0</v>
      </c>
      <c r="AH32" s="52">
        <f>HLOOKUP(I32,ElecAvoidedCostsWOCC!$A$5:$Q$50,T32+1,FALSE)</f>
        <v>0.32263481220121881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2654.8141586203542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67</v>
      </c>
      <c r="C33" s="98">
        <v>18231134</v>
      </c>
      <c r="D33" s="61" t="s">
        <v>167</v>
      </c>
      <c r="E33" s="38" t="s">
        <v>1614</v>
      </c>
      <c r="F33" s="39" t="s">
        <v>1615</v>
      </c>
      <c r="G33" s="39">
        <v>4</v>
      </c>
      <c r="H33" s="39"/>
      <c r="I33" s="40" t="s">
        <v>260</v>
      </c>
      <c r="J33" s="41">
        <v>2</v>
      </c>
      <c r="K33" s="41">
        <v>88</v>
      </c>
      <c r="L33" s="41"/>
      <c r="M33" s="42">
        <v>0</v>
      </c>
      <c r="N33" s="42">
        <v>0</v>
      </c>
      <c r="O33" s="43">
        <v>176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</v>
      </c>
      <c r="U33" s="47">
        <f t="shared" si="20"/>
        <v>5.0701648226609246E-5</v>
      </c>
      <c r="V33" s="48">
        <f t="shared" si="21"/>
        <v>0</v>
      </c>
      <c r="W33" s="49">
        <f t="shared" si="22"/>
        <v>1.2675412056652311E-5</v>
      </c>
      <c r="X33" s="44">
        <f t="shared" si="23"/>
        <v>16.809086888824705</v>
      </c>
      <c r="Y33" s="44">
        <f t="shared" si="24"/>
        <v>0</v>
      </c>
      <c r="Z33" s="44">
        <f t="shared" si="25"/>
        <v>100.04110186152845</v>
      </c>
      <c r="AA33" s="50">
        <f t="shared" si="26"/>
        <v>16.809086888824705</v>
      </c>
      <c r="AB33" s="51">
        <f t="shared" si="27"/>
        <v>93.671443690569703</v>
      </c>
      <c r="AC33" s="44">
        <f t="shared" si="28"/>
        <v>15.738845401521258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0.32263481220121881</v>
      </c>
      <c r="AG33" s="44">
        <f t="shared" si="31"/>
        <v>56.783726947414507</v>
      </c>
      <c r="AH33" s="52">
        <f>HLOOKUP(I33,ElecAvoidedCostsWOCC!$A$5:$Q$50,T33+1,FALSE)</f>
        <v>0.32263481220121881</v>
      </c>
      <c r="AI33" s="44">
        <f t="shared" si="32"/>
        <v>0</v>
      </c>
      <c r="AJ33" s="44">
        <f t="shared" si="33"/>
        <v>56.783726947414507</v>
      </c>
      <c r="AK33" s="44">
        <f>HLOOKUP(I33,ElecAvoidedCostsWOCC!$A$5:$Q$50,G33+1,FALSE)*J33*L33</f>
        <v>0</v>
      </c>
      <c r="AL33" s="44">
        <f t="shared" si="34"/>
        <v>56.783726947414507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56.783726947414507</v>
      </c>
      <c r="AN33" s="48">
        <f t="shared" si="35"/>
        <v>62.462099642155962</v>
      </c>
      <c r="AO33" s="47">
        <f t="shared" si="36"/>
        <v>0.60620104388474549</v>
      </c>
      <c r="AP33" s="47">
        <f t="shared" si="37"/>
        <v>3.96865831315165</v>
      </c>
    </row>
    <row r="34" spans="2:42" x14ac:dyDescent="0.35">
      <c r="B34" s="97" t="s">
        <v>67</v>
      </c>
      <c r="C34" s="98">
        <v>18231134</v>
      </c>
      <c r="D34" s="61" t="s">
        <v>167</v>
      </c>
      <c r="E34" s="38" t="s">
        <v>1616</v>
      </c>
      <c r="F34" s="39" t="s">
        <v>1617</v>
      </c>
      <c r="G34" s="39">
        <v>15</v>
      </c>
      <c r="H34" s="39"/>
      <c r="I34" s="40" t="s">
        <v>262</v>
      </c>
      <c r="J34" s="41">
        <v>22</v>
      </c>
      <c r="K34" s="41">
        <v>1213</v>
      </c>
      <c r="L34" s="41"/>
      <c r="M34" s="42">
        <v>239.32</v>
      </c>
      <c r="N34" s="42">
        <v>239.32</v>
      </c>
      <c r="O34" s="43">
        <v>26686</v>
      </c>
      <c r="P34" s="44">
        <v>5265.04</v>
      </c>
      <c r="Q34" s="44">
        <v>5265.04</v>
      </c>
      <c r="R34" s="45">
        <v>0</v>
      </c>
      <c r="S34" s="46">
        <v>0</v>
      </c>
      <c r="T34" s="39">
        <f t="shared" si="19"/>
        <v>15</v>
      </c>
      <c r="U34" s="47">
        <f t="shared" si="20"/>
        <v>2.8828640296348598E-2</v>
      </c>
      <c r="V34" s="48">
        <f t="shared" si="21"/>
        <v>0</v>
      </c>
      <c r="W34" s="49">
        <f t="shared" si="22"/>
        <v>1.9219093530899066E-3</v>
      </c>
      <c r="X34" s="44">
        <f t="shared" si="23"/>
        <v>2548.6777995180455</v>
      </c>
      <c r="Y34" s="44">
        <f t="shared" si="24"/>
        <v>0</v>
      </c>
      <c r="Z34" s="44">
        <f t="shared" si="25"/>
        <v>15168.732069754249</v>
      </c>
      <c r="AA34" s="50">
        <f t="shared" si="26"/>
        <v>7813.7177995180455</v>
      </c>
      <c r="AB34" s="51">
        <f t="shared" si="27"/>
        <v>14202.93264958263</v>
      </c>
      <c r="AC34" s="44">
        <f t="shared" si="28"/>
        <v>7316.215168088057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1.0914944041149737</v>
      </c>
      <c r="AG34" s="44">
        <f t="shared" si="31"/>
        <v>29127.619668212184</v>
      </c>
      <c r="AH34" s="52">
        <f>HLOOKUP(I34,ElecAvoidedCostsWOCC!$A$5:$Q$50,T34+1,FALSE)</f>
        <v>1.0914944041149737</v>
      </c>
      <c r="AI34" s="44">
        <f t="shared" si="32"/>
        <v>0</v>
      </c>
      <c r="AJ34" s="44">
        <f t="shared" si="33"/>
        <v>29127.619668212184</v>
      </c>
      <c r="AK34" s="44">
        <f>HLOOKUP(I34,ElecAvoidedCostsWOCC!$A$5:$Q$50,G34+1,FALSE)*J34*L34</f>
        <v>0</v>
      </c>
      <c r="AL34" s="44">
        <f t="shared" si="34"/>
        <v>29127.619668212184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29127.619668212184</v>
      </c>
      <c r="AN34" s="48">
        <f t="shared" si="35"/>
        <v>32040.381635033405</v>
      </c>
      <c r="AO34" s="47">
        <f t="shared" si="36"/>
        <v>2.050817277449255</v>
      </c>
      <c r="AP34" s="47">
        <f t="shared" si="37"/>
        <v>4.3793656827901231</v>
      </c>
    </row>
    <row r="35" spans="2:42" x14ac:dyDescent="0.35">
      <c r="B35" s="97" t="s">
        <v>67</v>
      </c>
      <c r="C35" s="98">
        <v>18231134</v>
      </c>
      <c r="D35" s="61" t="s">
        <v>167</v>
      </c>
      <c r="E35" s="38" t="s">
        <v>1618</v>
      </c>
      <c r="F35" s="39" t="s">
        <v>1617</v>
      </c>
      <c r="G35" s="39">
        <v>15</v>
      </c>
      <c r="H35" s="39"/>
      <c r="I35" s="40" t="s">
        <v>262</v>
      </c>
      <c r="J35" s="41">
        <v>488</v>
      </c>
      <c r="K35" s="41">
        <v>1158</v>
      </c>
      <c r="L35" s="41"/>
      <c r="M35" s="42">
        <v>239.32</v>
      </c>
      <c r="N35" s="42">
        <v>239.32</v>
      </c>
      <c r="O35" s="43">
        <v>565104</v>
      </c>
      <c r="P35" s="44">
        <v>116788.16</v>
      </c>
      <c r="Q35" s="44">
        <v>116788.16</v>
      </c>
      <c r="R35" s="45">
        <v>40.975000000000001</v>
      </c>
      <c r="S35" s="46">
        <v>0</v>
      </c>
      <c r="T35" s="39">
        <f t="shared" si="19"/>
        <v>15</v>
      </c>
      <c r="U35" s="47">
        <f t="shared" si="20"/>
        <v>0.61047665240304949</v>
      </c>
      <c r="V35" s="48">
        <f t="shared" si="21"/>
        <v>0</v>
      </c>
      <c r="W35" s="49">
        <f t="shared" si="22"/>
        <v>4.0698443493536636E-2</v>
      </c>
      <c r="X35" s="44">
        <f t="shared" si="23"/>
        <v>53970.921802399978</v>
      </c>
      <c r="Y35" s="44">
        <f t="shared" si="24"/>
        <v>0</v>
      </c>
      <c r="Z35" s="44">
        <f t="shared" si="25"/>
        <v>321213.78878612031</v>
      </c>
      <c r="AA35" s="50">
        <f t="shared" si="26"/>
        <v>170759.08180239997</v>
      </c>
      <c r="AB35" s="51">
        <f t="shared" si="27"/>
        <v>300761.97451883921</v>
      </c>
      <c r="AC35" s="44">
        <f t="shared" si="28"/>
        <v>159886.78071385765</v>
      </c>
      <c r="AD35" s="44">
        <f t="shared" si="29"/>
        <v>184443.13044872225</v>
      </c>
      <c r="AE35" s="44">
        <f t="shared" si="30"/>
        <v>0</v>
      </c>
      <c r="AF35" s="52">
        <f>HLOOKUP(I35,ElecAvoidedCostsWOCC!$A$5:$Q$50,G35+1,FALSE)</f>
        <v>1.0914944041149737</v>
      </c>
      <c r="AG35" s="44">
        <f t="shared" si="31"/>
        <v>616807.85374298808</v>
      </c>
      <c r="AH35" s="52">
        <f>HLOOKUP(I35,ElecAvoidedCostsWOCC!$A$5:$Q$50,T35+1,FALSE)</f>
        <v>1.0914944041149737</v>
      </c>
      <c r="AI35" s="44">
        <f t="shared" si="32"/>
        <v>0</v>
      </c>
      <c r="AJ35" s="44">
        <f t="shared" si="33"/>
        <v>616807.85374298808</v>
      </c>
      <c r="AK35" s="44">
        <f>HLOOKUP(I35,ElecAvoidedCostsWOCC!$A$5:$Q$50,G35+1,FALSE)*J35*L35</f>
        <v>0</v>
      </c>
      <c r="AL35" s="44">
        <f t="shared" si="34"/>
        <v>616807.85374298808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616807.85374298808</v>
      </c>
      <c r="AN35" s="48">
        <f t="shared" si="35"/>
        <v>862931.76956600917</v>
      </c>
      <c r="AO35" s="47">
        <f t="shared" si="36"/>
        <v>2.050817277449255</v>
      </c>
      <c r="AP35" s="47">
        <f t="shared" si="37"/>
        <v>5.3971426888027736</v>
      </c>
    </row>
    <row r="36" spans="2:42" x14ac:dyDescent="0.35">
      <c r="B36" s="97" t="s">
        <v>67</v>
      </c>
      <c r="C36" s="98">
        <v>18231134</v>
      </c>
      <c r="D36" s="61" t="s">
        <v>167</v>
      </c>
      <c r="E36" s="38" t="s">
        <v>1619</v>
      </c>
      <c r="F36" s="39" t="s">
        <v>1620</v>
      </c>
      <c r="G36" s="39">
        <v>15</v>
      </c>
      <c r="H36" s="39"/>
      <c r="I36" s="40" t="s">
        <v>262</v>
      </c>
      <c r="J36" s="41">
        <v>28</v>
      </c>
      <c r="K36" s="41">
        <v>457.8</v>
      </c>
      <c r="L36" s="41"/>
      <c r="M36" s="42">
        <v>123.77</v>
      </c>
      <c r="N36" s="42">
        <v>176.82</v>
      </c>
      <c r="O36" s="43">
        <v>12818.4</v>
      </c>
      <c r="P36" s="44">
        <v>4950.96</v>
      </c>
      <c r="Q36" s="44">
        <v>4950.96</v>
      </c>
      <c r="R36" s="45">
        <v>0</v>
      </c>
      <c r="S36" s="46">
        <v>0</v>
      </c>
      <c r="T36" s="39">
        <f t="shared" si="19"/>
        <v>15</v>
      </c>
      <c r="U36" s="47">
        <f t="shared" si="20"/>
        <v>1.3847599594345906E-2</v>
      </c>
      <c r="V36" s="48">
        <f t="shared" si="21"/>
        <v>53.05</v>
      </c>
      <c r="W36" s="49">
        <f t="shared" si="22"/>
        <v>9.2317330628972709E-4</v>
      </c>
      <c r="X36" s="44">
        <f t="shared" si="23"/>
        <v>1224.2363600892645</v>
      </c>
      <c r="Y36" s="44">
        <f t="shared" si="24"/>
        <v>0</v>
      </c>
      <c r="Z36" s="44">
        <f t="shared" si="25"/>
        <v>7286.1753414875911</v>
      </c>
      <c r="AA36" s="50">
        <f t="shared" si="26"/>
        <v>6175.196360089265</v>
      </c>
      <c r="AB36" s="51">
        <f t="shared" si="27"/>
        <v>6822.2615556999917</v>
      </c>
      <c r="AC36" s="44">
        <f t="shared" si="28"/>
        <v>5782.0190637539927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1.0914944041149737</v>
      </c>
      <c r="AG36" s="44">
        <f t="shared" si="31"/>
        <v>13991.211869707378</v>
      </c>
      <c r="AH36" s="52">
        <f>HLOOKUP(I36,ElecAvoidedCostsWOCC!$A$5:$Q$50,T36+1,FALSE)</f>
        <v>1.0914944041149737</v>
      </c>
      <c r="AI36" s="44">
        <f t="shared" si="32"/>
        <v>0</v>
      </c>
      <c r="AJ36" s="44">
        <f t="shared" si="33"/>
        <v>13991.211869707378</v>
      </c>
      <c r="AK36" s="44">
        <f>HLOOKUP(I36,ElecAvoidedCostsWOCC!$A$5:$Q$50,G36+1,FALSE)*J36*L36</f>
        <v>0</v>
      </c>
      <c r="AL36" s="44">
        <f t="shared" si="34"/>
        <v>13991.211869707378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13991.211869707378</v>
      </c>
      <c r="AN36" s="48">
        <f t="shared" si="35"/>
        <v>15390.333056678117</v>
      </c>
      <c r="AO36" s="47">
        <f t="shared" si="36"/>
        <v>2.0508172774492555</v>
      </c>
      <c r="AP36" s="47">
        <f t="shared" si="37"/>
        <v>2.6617575775832703</v>
      </c>
    </row>
    <row r="37" spans="2:42" x14ac:dyDescent="0.35">
      <c r="B37" s="97" t="s">
        <v>67</v>
      </c>
      <c r="C37" s="98">
        <v>18231134</v>
      </c>
      <c r="D37" s="61" t="s">
        <v>167</v>
      </c>
      <c r="E37" s="38" t="s">
        <v>1621</v>
      </c>
      <c r="F37" s="39" t="s">
        <v>1620</v>
      </c>
      <c r="G37" s="39">
        <v>15</v>
      </c>
      <c r="H37" s="39"/>
      <c r="I37" s="40" t="s">
        <v>262</v>
      </c>
      <c r="J37" s="41">
        <v>146</v>
      </c>
      <c r="K37" s="41">
        <v>457.8</v>
      </c>
      <c r="L37" s="41"/>
      <c r="M37" s="42">
        <v>123.77</v>
      </c>
      <c r="N37" s="42">
        <v>176.82</v>
      </c>
      <c r="O37" s="43">
        <v>66838.8</v>
      </c>
      <c r="P37" s="44">
        <v>18653.97</v>
      </c>
      <c r="Q37" s="44">
        <v>25815.72</v>
      </c>
      <c r="R37" s="45">
        <v>15.464</v>
      </c>
      <c r="S37" s="46">
        <v>0</v>
      </c>
      <c r="T37" s="39">
        <f t="shared" si="19"/>
        <v>15</v>
      </c>
      <c r="U37" s="47">
        <f t="shared" si="20"/>
        <v>7.2205340741946525E-2</v>
      </c>
      <c r="V37" s="48">
        <f t="shared" si="21"/>
        <v>53.05</v>
      </c>
      <c r="W37" s="49">
        <f t="shared" si="22"/>
        <v>4.8136893827964346E-3</v>
      </c>
      <c r="X37" s="44">
        <f t="shared" si="23"/>
        <v>6383.5181633225948</v>
      </c>
      <c r="Y37" s="44">
        <f t="shared" si="24"/>
        <v>7161.75</v>
      </c>
      <c r="Z37" s="44">
        <f t="shared" si="25"/>
        <v>37992.199994899587</v>
      </c>
      <c r="AA37" s="50">
        <f t="shared" si="26"/>
        <v>32199.238163322596</v>
      </c>
      <c r="AB37" s="51">
        <f t="shared" si="27"/>
        <v>35573.220969007103</v>
      </c>
      <c r="AC37" s="44">
        <f t="shared" si="28"/>
        <v>30149.099403860106</v>
      </c>
      <c r="AD37" s="44">
        <f t="shared" si="29"/>
        <v>20825.641940398484</v>
      </c>
      <c r="AE37" s="44">
        <f t="shared" si="30"/>
        <v>0</v>
      </c>
      <c r="AF37" s="52">
        <f>HLOOKUP(I37,ElecAvoidedCostsWOCC!$A$5:$Q$50,G37+1,FALSE)</f>
        <v>1.0914944041149737</v>
      </c>
      <c r="AG37" s="44">
        <f t="shared" si="31"/>
        <v>72954.176177759917</v>
      </c>
      <c r="AH37" s="52">
        <f>HLOOKUP(I37,ElecAvoidedCostsWOCC!$A$5:$Q$50,T37+1,FALSE)</f>
        <v>1.0914944041149737</v>
      </c>
      <c r="AI37" s="44">
        <f t="shared" si="32"/>
        <v>0</v>
      </c>
      <c r="AJ37" s="44">
        <f t="shared" si="33"/>
        <v>72954.176177759917</v>
      </c>
      <c r="AK37" s="44">
        <f>HLOOKUP(I37,ElecAvoidedCostsWOCC!$A$5:$Q$50,G37+1,FALSE)*J37*L37</f>
        <v>0</v>
      </c>
      <c r="AL37" s="44">
        <f t="shared" si="34"/>
        <v>72954.176177759917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72954.176177759902</v>
      </c>
      <c r="AN37" s="48">
        <f t="shared" si="35"/>
        <v>101075.23573593437</v>
      </c>
      <c r="AO37" s="47">
        <f t="shared" si="36"/>
        <v>2.050817277449255</v>
      </c>
      <c r="AP37" s="47">
        <f t="shared" si="37"/>
        <v>3.3525126035105819</v>
      </c>
    </row>
    <row r="38" spans="2:42" x14ac:dyDescent="0.35">
      <c r="B38" s="97" t="s">
        <v>67</v>
      </c>
      <c r="C38" s="98">
        <v>18231134</v>
      </c>
      <c r="D38" s="61" t="s">
        <v>167</v>
      </c>
      <c r="E38" s="38" t="s">
        <v>1622</v>
      </c>
      <c r="F38" s="39" t="s">
        <v>1623</v>
      </c>
      <c r="G38" s="39">
        <v>12</v>
      </c>
      <c r="H38" s="39"/>
      <c r="I38" s="40" t="s">
        <v>262</v>
      </c>
      <c r="J38" s="41">
        <v>5</v>
      </c>
      <c r="K38" s="41">
        <v>40</v>
      </c>
      <c r="L38" s="41"/>
      <c r="M38" s="42">
        <v>37</v>
      </c>
      <c r="N38" s="42">
        <v>37</v>
      </c>
      <c r="O38" s="43">
        <v>200</v>
      </c>
      <c r="P38" s="44">
        <v>185</v>
      </c>
      <c r="Q38" s="44">
        <v>185</v>
      </c>
      <c r="R38" s="45">
        <v>1.419</v>
      </c>
      <c r="S38" s="46">
        <v>0</v>
      </c>
      <c r="T38" s="39">
        <f t="shared" si="19"/>
        <v>12</v>
      </c>
      <c r="U38" s="47">
        <f t="shared" si="20"/>
        <v>1.7284652804525877E-4</v>
      </c>
      <c r="V38" s="48">
        <f t="shared" si="21"/>
        <v>0</v>
      </c>
      <c r="W38" s="49">
        <f t="shared" si="22"/>
        <v>1.4403877337104898E-5</v>
      </c>
      <c r="X38" s="44">
        <f t="shared" si="23"/>
        <v>19.101235100937163</v>
      </c>
      <c r="Y38" s="44">
        <f t="shared" si="24"/>
        <v>0</v>
      </c>
      <c r="Z38" s="44">
        <f t="shared" si="25"/>
        <v>113.68307029719141</v>
      </c>
      <c r="AA38" s="50">
        <f t="shared" si="26"/>
        <v>204.10123510093717</v>
      </c>
      <c r="AB38" s="51">
        <f t="shared" si="27"/>
        <v>106.44482237564738</v>
      </c>
      <c r="AC38" s="44">
        <f t="shared" si="28"/>
        <v>191.10602537540933</v>
      </c>
      <c r="AD38" s="44">
        <f t="shared" si="29"/>
        <v>56.958955501061993</v>
      </c>
      <c r="AE38" s="44">
        <f t="shared" si="30"/>
        <v>0</v>
      </c>
      <c r="AF38" s="52">
        <f>HLOOKUP(I38,ElecAvoidedCostsWOCC!$A$5:$Q$50,G38+1,FALSE)</f>
        <v>0.91128284670075355</v>
      </c>
      <c r="AG38" s="44">
        <f t="shared" si="31"/>
        <v>182.25656934015069</v>
      </c>
      <c r="AH38" s="52">
        <f>HLOOKUP(I38,ElecAvoidedCostsWOCC!$A$5:$Q$50,T38+1,FALSE)</f>
        <v>0.91128284670075355</v>
      </c>
      <c r="AI38" s="44">
        <f t="shared" si="32"/>
        <v>0</v>
      </c>
      <c r="AJ38" s="44">
        <f t="shared" si="33"/>
        <v>182.25656934015069</v>
      </c>
      <c r="AK38" s="44">
        <f>HLOOKUP(I38,ElecAvoidedCostsWOCC!$A$5:$Q$50,G38+1,FALSE)*J38*L38</f>
        <v>0</v>
      </c>
      <c r="AL38" s="44">
        <f t="shared" si="34"/>
        <v>182.25656934015069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182.25656934015069</v>
      </c>
      <c r="AN38" s="48">
        <f t="shared" si="35"/>
        <v>257.44118177522779</v>
      </c>
      <c r="AO38" s="47">
        <f t="shared" si="36"/>
        <v>1.7122163884774131</v>
      </c>
      <c r="AP38" s="47">
        <f t="shared" si="37"/>
        <v>1.3471117996908233</v>
      </c>
    </row>
    <row r="39" spans="2:42" x14ac:dyDescent="0.35">
      <c r="B39" s="97" t="s">
        <v>67</v>
      </c>
      <c r="C39" s="98">
        <v>18231134</v>
      </c>
      <c r="D39" s="61" t="s">
        <v>167</v>
      </c>
      <c r="E39" s="38" t="s">
        <v>1624</v>
      </c>
      <c r="F39" s="39" t="s">
        <v>1625</v>
      </c>
      <c r="G39" s="39">
        <v>12</v>
      </c>
      <c r="H39" s="39"/>
      <c r="I39" s="40" t="s">
        <v>262</v>
      </c>
      <c r="J39" s="41">
        <v>90</v>
      </c>
      <c r="K39" s="41">
        <v>64</v>
      </c>
      <c r="L39" s="41"/>
      <c r="M39" s="42">
        <v>37</v>
      </c>
      <c r="N39" s="42">
        <v>37</v>
      </c>
      <c r="O39" s="43">
        <v>5760</v>
      </c>
      <c r="P39" s="44">
        <v>3330</v>
      </c>
      <c r="Q39" s="44">
        <v>3330</v>
      </c>
      <c r="R39" s="45">
        <v>0</v>
      </c>
      <c r="S39" s="46">
        <v>0</v>
      </c>
      <c r="T39" s="39">
        <f t="shared" si="19"/>
        <v>12</v>
      </c>
      <c r="U39" s="47">
        <f t="shared" si="20"/>
        <v>4.9779800077034524E-3</v>
      </c>
      <c r="V39" s="48">
        <f t="shared" si="21"/>
        <v>0</v>
      </c>
      <c r="W39" s="49">
        <f t="shared" si="22"/>
        <v>4.1483166730862107E-4</v>
      </c>
      <c r="X39" s="44">
        <f t="shared" si="23"/>
        <v>550.11557090699034</v>
      </c>
      <c r="Y39" s="44">
        <f t="shared" si="24"/>
        <v>0</v>
      </c>
      <c r="Z39" s="44">
        <f t="shared" si="25"/>
        <v>3274.0724245591127</v>
      </c>
      <c r="AA39" s="50">
        <f t="shared" si="26"/>
        <v>3880.1155709069903</v>
      </c>
      <c r="AB39" s="51">
        <f t="shared" si="27"/>
        <v>3065.6108844186447</v>
      </c>
      <c r="AC39" s="44">
        <f t="shared" si="28"/>
        <v>3633.067013957856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0.91128284670075355</v>
      </c>
      <c r="AG39" s="44">
        <f t="shared" si="31"/>
        <v>5248.9891969963401</v>
      </c>
      <c r="AH39" s="52">
        <f>HLOOKUP(I39,ElecAvoidedCostsWOCC!$A$5:$Q$50,T39+1,FALSE)</f>
        <v>0.91128284670075355</v>
      </c>
      <c r="AI39" s="44">
        <f t="shared" si="32"/>
        <v>0</v>
      </c>
      <c r="AJ39" s="44">
        <f t="shared" si="33"/>
        <v>5248.9891969963401</v>
      </c>
      <c r="AK39" s="44">
        <f>HLOOKUP(I39,ElecAvoidedCostsWOCC!$A$5:$Q$50,G39+1,FALSE)*J39*L39</f>
        <v>0</v>
      </c>
      <c r="AL39" s="44">
        <f t="shared" si="34"/>
        <v>5248.9891969963401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5248.9891969963401</v>
      </c>
      <c r="AN39" s="48">
        <f t="shared" si="35"/>
        <v>5773.8881166959745</v>
      </c>
      <c r="AO39" s="47">
        <f t="shared" si="36"/>
        <v>1.7122163884774131</v>
      </c>
      <c r="AP39" s="47">
        <f t="shared" si="37"/>
        <v>1.5892600093841682</v>
      </c>
    </row>
    <row r="40" spans="2:42" x14ac:dyDescent="0.35">
      <c r="B40" s="97" t="s">
        <v>67</v>
      </c>
      <c r="C40" s="98">
        <v>18231134</v>
      </c>
      <c r="D40" s="61" t="s">
        <v>167</v>
      </c>
      <c r="E40" s="38" t="s">
        <v>1626</v>
      </c>
      <c r="F40" s="39" t="s">
        <v>1625</v>
      </c>
      <c r="G40" s="39">
        <v>12</v>
      </c>
      <c r="H40" s="39"/>
      <c r="I40" s="40" t="s">
        <v>262</v>
      </c>
      <c r="J40" s="41">
        <v>1273</v>
      </c>
      <c r="K40" s="41">
        <v>61</v>
      </c>
      <c r="L40" s="41"/>
      <c r="M40" s="42">
        <v>37</v>
      </c>
      <c r="N40" s="42">
        <v>37</v>
      </c>
      <c r="O40" s="43">
        <v>77653</v>
      </c>
      <c r="P40" s="44">
        <v>47101</v>
      </c>
      <c r="Q40" s="44">
        <v>47101</v>
      </c>
      <c r="R40" s="45">
        <v>2.1619999999999999</v>
      </c>
      <c r="S40" s="46">
        <v>0</v>
      </c>
      <c r="T40" s="39">
        <f t="shared" si="19"/>
        <v>12</v>
      </c>
      <c r="U40" s="47">
        <f t="shared" si="20"/>
        <v>6.71102572114924E-2</v>
      </c>
      <c r="V40" s="48">
        <f t="shared" si="21"/>
        <v>0</v>
      </c>
      <c r="W40" s="49">
        <f t="shared" si="22"/>
        <v>5.5925214342910333E-3</v>
      </c>
      <c r="X40" s="44">
        <f t="shared" si="23"/>
        <v>7416.341046465368</v>
      </c>
      <c r="Y40" s="44">
        <f t="shared" si="24"/>
        <v>0</v>
      </c>
      <c r="Z40" s="44">
        <f t="shared" si="25"/>
        <v>44139.157288939023</v>
      </c>
      <c r="AA40" s="50">
        <f t="shared" si="26"/>
        <v>54517.341046465372</v>
      </c>
      <c r="AB40" s="51">
        <f t="shared" si="27"/>
        <v>41328.798959680731</v>
      </c>
      <c r="AC40" s="44">
        <f t="shared" si="28"/>
        <v>51046.199481709147</v>
      </c>
      <c r="AD40" s="44">
        <f t="shared" si="29"/>
        <v>22094.984956006458</v>
      </c>
      <c r="AE40" s="44">
        <f t="shared" si="30"/>
        <v>0</v>
      </c>
      <c r="AF40" s="52">
        <f>HLOOKUP(I40,ElecAvoidedCostsWOCC!$A$5:$Q$50,G40+1,FALSE)</f>
        <v>0.91128284670075355</v>
      </c>
      <c r="AG40" s="44">
        <f t="shared" si="31"/>
        <v>70763.846894853617</v>
      </c>
      <c r="AH40" s="52">
        <f>HLOOKUP(I40,ElecAvoidedCostsWOCC!$A$5:$Q$50,T40+1,FALSE)</f>
        <v>0.91128284670075355</v>
      </c>
      <c r="AI40" s="44">
        <f t="shared" si="32"/>
        <v>0</v>
      </c>
      <c r="AJ40" s="44">
        <f t="shared" si="33"/>
        <v>70763.846894853617</v>
      </c>
      <c r="AK40" s="44">
        <f>HLOOKUP(I40,ElecAvoidedCostsWOCC!$A$5:$Q$50,G40+1,FALSE)*J40*L40</f>
        <v>0</v>
      </c>
      <c r="AL40" s="44">
        <f t="shared" si="34"/>
        <v>70763.846894853617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70763.846894853617</v>
      </c>
      <c r="AN40" s="48">
        <f t="shared" si="35"/>
        <v>99935.216540345442</v>
      </c>
      <c r="AO40" s="47">
        <f t="shared" si="36"/>
        <v>1.7122163884774133</v>
      </c>
      <c r="AP40" s="47">
        <f t="shared" si="37"/>
        <v>1.9577405870569109</v>
      </c>
    </row>
    <row r="41" spans="2:42" x14ac:dyDescent="0.35">
      <c r="B41" s="97" t="s">
        <v>67</v>
      </c>
      <c r="C41" s="98">
        <v>18231134</v>
      </c>
      <c r="D41" s="61" t="s">
        <v>167</v>
      </c>
      <c r="E41" s="38" t="s">
        <v>1627</v>
      </c>
      <c r="F41" s="39" t="s">
        <v>1628</v>
      </c>
      <c r="G41" s="39">
        <v>12</v>
      </c>
      <c r="H41" s="39"/>
      <c r="I41" s="40" t="s">
        <v>262</v>
      </c>
      <c r="J41" s="41">
        <v>2</v>
      </c>
      <c r="K41" s="41">
        <v>85</v>
      </c>
      <c r="L41" s="41"/>
      <c r="M41" s="42">
        <v>65</v>
      </c>
      <c r="N41" s="42">
        <v>65</v>
      </c>
      <c r="O41" s="43">
        <v>170</v>
      </c>
      <c r="P41" s="44">
        <v>130</v>
      </c>
      <c r="Q41" s="44">
        <v>130</v>
      </c>
      <c r="R41" s="45">
        <v>0</v>
      </c>
      <c r="S41" s="46">
        <v>0</v>
      </c>
      <c r="T41" s="39">
        <f t="shared" si="19"/>
        <v>12</v>
      </c>
      <c r="U41" s="47">
        <f t="shared" si="20"/>
        <v>1.4691954883846997E-4</v>
      </c>
      <c r="V41" s="48">
        <f t="shared" si="21"/>
        <v>0</v>
      </c>
      <c r="W41" s="49">
        <f t="shared" si="22"/>
        <v>1.2243295736539164E-5</v>
      </c>
      <c r="X41" s="44">
        <f t="shared" si="23"/>
        <v>16.236049835796589</v>
      </c>
      <c r="Y41" s="44">
        <f t="shared" si="24"/>
        <v>0</v>
      </c>
      <c r="Z41" s="44">
        <f t="shared" si="25"/>
        <v>96.630609752612699</v>
      </c>
      <c r="AA41" s="50">
        <f t="shared" si="26"/>
        <v>146.23604983579659</v>
      </c>
      <c r="AB41" s="51">
        <f t="shared" si="27"/>
        <v>90.478099019300274</v>
      </c>
      <c r="AC41" s="44">
        <f t="shared" si="28"/>
        <v>136.92514029568969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0.91128284670075355</v>
      </c>
      <c r="AG41" s="44">
        <f t="shared" si="31"/>
        <v>154.91808393912811</v>
      </c>
      <c r="AH41" s="52">
        <f>HLOOKUP(I41,ElecAvoidedCostsWOCC!$A$5:$Q$50,T41+1,FALSE)</f>
        <v>0.91128284670075355</v>
      </c>
      <c r="AI41" s="44">
        <f t="shared" si="32"/>
        <v>0</v>
      </c>
      <c r="AJ41" s="44">
        <f t="shared" si="33"/>
        <v>154.91808393912811</v>
      </c>
      <c r="AK41" s="44">
        <f>HLOOKUP(I41,ElecAvoidedCostsWOCC!$A$5:$Q$50,G41+1,FALSE)*J41*L41</f>
        <v>0</v>
      </c>
      <c r="AL41" s="44">
        <f t="shared" si="34"/>
        <v>154.91808393912811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154.91808393912811</v>
      </c>
      <c r="AN41" s="48">
        <f t="shared" si="35"/>
        <v>170.40989233304094</v>
      </c>
      <c r="AO41" s="47">
        <f t="shared" si="36"/>
        <v>1.7122163884774133</v>
      </c>
      <c r="AP41" s="47">
        <f t="shared" si="37"/>
        <v>1.2445478745907506</v>
      </c>
    </row>
    <row r="42" spans="2:42" x14ac:dyDescent="0.35">
      <c r="B42" s="97" t="s">
        <v>67</v>
      </c>
      <c r="C42" s="98">
        <v>18231134</v>
      </c>
      <c r="D42" s="61" t="s">
        <v>167</v>
      </c>
      <c r="E42" s="38" t="s">
        <v>1629</v>
      </c>
      <c r="F42" s="39" t="s">
        <v>1628</v>
      </c>
      <c r="G42" s="39">
        <v>12</v>
      </c>
      <c r="H42" s="39"/>
      <c r="I42" s="40" t="s">
        <v>262</v>
      </c>
      <c r="J42" s="41">
        <v>4</v>
      </c>
      <c r="K42" s="41">
        <v>81</v>
      </c>
      <c r="L42" s="41"/>
      <c r="M42" s="42">
        <v>65</v>
      </c>
      <c r="N42" s="42">
        <v>65</v>
      </c>
      <c r="O42" s="43">
        <v>324</v>
      </c>
      <c r="P42" s="44">
        <v>260</v>
      </c>
      <c r="Q42" s="44">
        <v>260</v>
      </c>
      <c r="R42" s="45">
        <v>2.871</v>
      </c>
      <c r="S42" s="46">
        <v>0</v>
      </c>
      <c r="T42" s="39">
        <f t="shared" si="19"/>
        <v>12</v>
      </c>
      <c r="U42" s="47">
        <f t="shared" si="20"/>
        <v>2.8001137543331924E-4</v>
      </c>
      <c r="V42" s="48">
        <f t="shared" si="21"/>
        <v>0</v>
      </c>
      <c r="W42" s="49">
        <f t="shared" si="22"/>
        <v>2.3334281286109934E-5</v>
      </c>
      <c r="X42" s="44">
        <f t="shared" si="23"/>
        <v>30.944000863518202</v>
      </c>
      <c r="Y42" s="44">
        <f t="shared" si="24"/>
        <v>0</v>
      </c>
      <c r="Z42" s="44">
        <f t="shared" si="25"/>
        <v>184.16657388145006</v>
      </c>
      <c r="AA42" s="50">
        <f t="shared" si="26"/>
        <v>290.94400086351823</v>
      </c>
      <c r="AB42" s="51">
        <f t="shared" si="27"/>
        <v>172.44061224854875</v>
      </c>
      <c r="AC42" s="44">
        <f t="shared" si="28"/>
        <v>272.41947646396835</v>
      </c>
      <c r="AD42" s="44">
        <f t="shared" si="29"/>
        <v>92.194030299393347</v>
      </c>
      <c r="AE42" s="44">
        <f t="shared" si="30"/>
        <v>0</v>
      </c>
      <c r="AF42" s="52">
        <f>HLOOKUP(I42,ElecAvoidedCostsWOCC!$A$5:$Q$50,G42+1,FALSE)</f>
        <v>0.91128284670075355</v>
      </c>
      <c r="AG42" s="44">
        <f t="shared" si="31"/>
        <v>295.25564233104416</v>
      </c>
      <c r="AH42" s="52">
        <f>HLOOKUP(I42,ElecAvoidedCostsWOCC!$A$5:$Q$50,T42+1,FALSE)</f>
        <v>0.91128284670075355</v>
      </c>
      <c r="AI42" s="44">
        <f t="shared" si="32"/>
        <v>0</v>
      </c>
      <c r="AJ42" s="44">
        <f t="shared" si="33"/>
        <v>295.25564233104416</v>
      </c>
      <c r="AK42" s="44">
        <f>HLOOKUP(I42,ElecAvoidedCostsWOCC!$A$5:$Q$50,G42+1,FALSE)*J42*L42</f>
        <v>0</v>
      </c>
      <c r="AL42" s="44">
        <f t="shared" si="34"/>
        <v>295.25564233104416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295.25564233104416</v>
      </c>
      <c r="AN42" s="48">
        <f t="shared" si="35"/>
        <v>416.97523686354191</v>
      </c>
      <c r="AO42" s="47">
        <f t="shared" si="36"/>
        <v>1.7122163884774135</v>
      </c>
      <c r="AP42" s="47">
        <f t="shared" si="37"/>
        <v>1.5306366573929353</v>
      </c>
    </row>
    <row r="43" spans="2:42" x14ac:dyDescent="0.35">
      <c r="B43" s="97" t="s">
        <v>67</v>
      </c>
      <c r="C43" s="98">
        <v>18231134</v>
      </c>
      <c r="D43" s="61" t="s">
        <v>167</v>
      </c>
      <c r="E43" s="38" t="s">
        <v>1630</v>
      </c>
      <c r="F43" s="39" t="s">
        <v>1628</v>
      </c>
      <c r="G43" s="39">
        <v>12</v>
      </c>
      <c r="H43" s="39"/>
      <c r="I43" s="40" t="s">
        <v>262</v>
      </c>
      <c r="J43" s="41">
        <v>114</v>
      </c>
      <c r="K43" s="41">
        <v>81</v>
      </c>
      <c r="L43" s="41"/>
      <c r="M43" s="42">
        <v>75</v>
      </c>
      <c r="N43" s="42">
        <v>75</v>
      </c>
      <c r="O43" s="43">
        <v>9234</v>
      </c>
      <c r="P43" s="44">
        <v>8550</v>
      </c>
      <c r="Q43" s="44">
        <v>8550</v>
      </c>
      <c r="R43" s="45">
        <v>2.871</v>
      </c>
      <c r="S43" s="46">
        <v>0</v>
      </c>
      <c r="T43" s="39">
        <f t="shared" si="19"/>
        <v>12</v>
      </c>
      <c r="U43" s="47">
        <f t="shared" si="20"/>
        <v>7.9803241998495974E-3</v>
      </c>
      <c r="V43" s="48">
        <f t="shared" si="21"/>
        <v>0</v>
      </c>
      <c r="W43" s="49">
        <f t="shared" si="22"/>
        <v>6.6502701665413315E-4</v>
      </c>
      <c r="X43" s="44">
        <f t="shared" si="23"/>
        <v>881.90402461026883</v>
      </c>
      <c r="Y43" s="44">
        <f t="shared" si="24"/>
        <v>0</v>
      </c>
      <c r="Z43" s="44">
        <f t="shared" si="25"/>
        <v>5248.7473556213272</v>
      </c>
      <c r="AA43" s="50">
        <f t="shared" si="26"/>
        <v>9431.9040246102686</v>
      </c>
      <c r="AB43" s="51">
        <f t="shared" si="27"/>
        <v>4914.5574490836398</v>
      </c>
      <c r="AC43" s="44">
        <f t="shared" si="28"/>
        <v>8831.370809560176</v>
      </c>
      <c r="AD43" s="44">
        <f t="shared" si="29"/>
        <v>2627.5298635327104</v>
      </c>
      <c r="AE43" s="44">
        <f t="shared" si="30"/>
        <v>0</v>
      </c>
      <c r="AF43" s="52">
        <f>HLOOKUP(I43,ElecAvoidedCostsWOCC!$A$5:$Q$50,G43+1,FALSE)</f>
        <v>0.91128284670075355</v>
      </c>
      <c r="AG43" s="44">
        <f t="shared" si="31"/>
        <v>8414.7858064347583</v>
      </c>
      <c r="AH43" s="52">
        <f>HLOOKUP(I43,ElecAvoidedCostsWOCC!$A$5:$Q$50,T43+1,FALSE)</f>
        <v>0.91128284670075355</v>
      </c>
      <c r="AI43" s="44">
        <f t="shared" si="32"/>
        <v>0</v>
      </c>
      <c r="AJ43" s="44">
        <f t="shared" si="33"/>
        <v>8414.7858064347583</v>
      </c>
      <c r="AK43" s="44">
        <f>HLOOKUP(I43,ElecAvoidedCostsWOCC!$A$5:$Q$50,G43+1,FALSE)*J43*L43</f>
        <v>0</v>
      </c>
      <c r="AL43" s="44">
        <f t="shared" si="34"/>
        <v>8414.7858064347583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8414.7858064347583</v>
      </c>
      <c r="AN43" s="48">
        <f t="shared" si="35"/>
        <v>11883.794250610947</v>
      </c>
      <c r="AO43" s="47">
        <f t="shared" si="36"/>
        <v>1.7122163884774133</v>
      </c>
      <c r="AP43" s="47">
        <f t="shared" si="37"/>
        <v>1.3456341610915541</v>
      </c>
    </row>
    <row r="44" spans="2:42" x14ac:dyDescent="0.35">
      <c r="B44" s="97" t="s">
        <v>67</v>
      </c>
      <c r="C44" s="98">
        <v>18231134</v>
      </c>
      <c r="D44" s="61" t="s">
        <v>167</v>
      </c>
      <c r="E44" s="38" t="s">
        <v>1631</v>
      </c>
      <c r="F44" s="39" t="s">
        <v>1632</v>
      </c>
      <c r="G44" s="39">
        <v>12</v>
      </c>
      <c r="H44" s="39"/>
      <c r="I44" s="40" t="s">
        <v>262</v>
      </c>
      <c r="J44" s="41">
        <v>2016</v>
      </c>
      <c r="K44" s="41">
        <v>129</v>
      </c>
      <c r="L44" s="41"/>
      <c r="M44" s="42">
        <v>65</v>
      </c>
      <c r="N44" s="42">
        <v>65</v>
      </c>
      <c r="O44" s="43">
        <v>260064</v>
      </c>
      <c r="P44" s="44">
        <v>131040</v>
      </c>
      <c r="Q44" s="44">
        <v>131040</v>
      </c>
      <c r="R44" s="45">
        <v>0</v>
      </c>
      <c r="S44" s="46">
        <v>0</v>
      </c>
      <c r="T44" s="39">
        <f t="shared" si="19"/>
        <v>12</v>
      </c>
      <c r="U44" s="47">
        <f t="shared" si="20"/>
        <v>0.22475579734781093</v>
      </c>
      <c r="V44" s="48">
        <f t="shared" si="21"/>
        <v>0</v>
      </c>
      <c r="W44" s="49">
        <f t="shared" si="22"/>
        <v>1.8729649778984243E-2</v>
      </c>
      <c r="X44" s="44">
        <f t="shared" si="23"/>
        <v>24837.718026450613</v>
      </c>
      <c r="Y44" s="44">
        <f t="shared" si="24"/>
        <v>0</v>
      </c>
      <c r="Z44" s="44">
        <f t="shared" si="25"/>
        <v>147824.36996884394</v>
      </c>
      <c r="AA44" s="50">
        <f t="shared" si="26"/>
        <v>155877.7180264506</v>
      </c>
      <c r="AB44" s="51">
        <f t="shared" si="27"/>
        <v>138412.33143150181</v>
      </c>
      <c r="AC44" s="44">
        <f t="shared" si="28"/>
        <v>145952.91950042191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0.91128284670075355</v>
      </c>
      <c r="AG44" s="44">
        <f t="shared" si="31"/>
        <v>236991.86224438477</v>
      </c>
      <c r="AH44" s="52">
        <f>HLOOKUP(I44,ElecAvoidedCostsWOCC!$A$5:$Q$50,T44+1,FALSE)</f>
        <v>0.91128284670075355</v>
      </c>
      <c r="AI44" s="44">
        <f t="shared" si="32"/>
        <v>0</v>
      </c>
      <c r="AJ44" s="44">
        <f t="shared" si="33"/>
        <v>236991.86224438477</v>
      </c>
      <c r="AK44" s="44">
        <f>HLOOKUP(I44,ElecAvoidedCostsWOCC!$A$5:$Q$50,G44+1,FALSE)*J44*L44</f>
        <v>0</v>
      </c>
      <c r="AL44" s="44">
        <f t="shared" si="34"/>
        <v>236991.86224438477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236991.86224438477</v>
      </c>
      <c r="AN44" s="48">
        <f t="shared" si="35"/>
        <v>260691.04846882328</v>
      </c>
      <c r="AO44" s="47">
        <f t="shared" si="36"/>
        <v>1.7122163884774133</v>
      </c>
      <c r="AP44" s="47">
        <f t="shared" si="37"/>
        <v>1.7861310987209797</v>
      </c>
    </row>
    <row r="45" spans="2:42" x14ac:dyDescent="0.35">
      <c r="B45" s="97" t="s">
        <v>67</v>
      </c>
      <c r="C45" s="98">
        <v>18231134</v>
      </c>
      <c r="D45" s="61" t="s">
        <v>167</v>
      </c>
      <c r="E45" s="38" t="s">
        <v>1633</v>
      </c>
      <c r="F45" s="39" t="s">
        <v>1632</v>
      </c>
      <c r="G45" s="39">
        <v>12</v>
      </c>
      <c r="H45" s="39"/>
      <c r="I45" s="40" t="s">
        <v>262</v>
      </c>
      <c r="J45" s="41">
        <v>2760</v>
      </c>
      <c r="K45" s="41">
        <v>123</v>
      </c>
      <c r="L45" s="41"/>
      <c r="M45" s="42">
        <v>65</v>
      </c>
      <c r="N45" s="42">
        <v>65</v>
      </c>
      <c r="O45" s="43">
        <v>339480</v>
      </c>
      <c r="P45" s="44">
        <v>179400</v>
      </c>
      <c r="Q45" s="44">
        <v>179400</v>
      </c>
      <c r="R45" s="45">
        <v>4.3579999999999997</v>
      </c>
      <c r="S45" s="46">
        <v>0</v>
      </c>
      <c r="T45" s="39">
        <f t="shared" si="19"/>
        <v>12</v>
      </c>
      <c r="U45" s="47">
        <f t="shared" si="20"/>
        <v>0.29338969670402226</v>
      </c>
      <c r="V45" s="48">
        <f t="shared" si="21"/>
        <v>0</v>
      </c>
      <c r="W45" s="49">
        <f t="shared" si="22"/>
        <v>2.4449141392001855E-2</v>
      </c>
      <c r="X45" s="44">
        <f t="shared" si="23"/>
        <v>32422.43646033074</v>
      </c>
      <c r="Y45" s="44">
        <f t="shared" si="24"/>
        <v>0</v>
      </c>
      <c r="Z45" s="44">
        <f t="shared" si="25"/>
        <v>192965.64352245268</v>
      </c>
      <c r="AA45" s="50">
        <f t="shared" si="26"/>
        <v>211822.43646033073</v>
      </c>
      <c r="AB45" s="51">
        <f t="shared" si="27"/>
        <v>180679.44150042385</v>
      </c>
      <c r="AC45" s="44">
        <f t="shared" si="28"/>
        <v>198335.61466323101</v>
      </c>
      <c r="AD45" s="44">
        <f t="shared" si="29"/>
        <v>96561.927199889178</v>
      </c>
      <c r="AE45" s="44">
        <f t="shared" si="30"/>
        <v>0</v>
      </c>
      <c r="AF45" s="52">
        <f>HLOOKUP(I45,ElecAvoidedCostsWOCC!$A$5:$Q$50,G45+1,FALSE)</f>
        <v>0.91128284670075355</v>
      </c>
      <c r="AG45" s="44">
        <f t="shared" si="31"/>
        <v>309362.30079797178</v>
      </c>
      <c r="AH45" s="52">
        <f>HLOOKUP(I45,ElecAvoidedCostsWOCC!$A$5:$Q$50,T45+1,FALSE)</f>
        <v>0.91128284670075355</v>
      </c>
      <c r="AI45" s="44">
        <f t="shared" si="32"/>
        <v>0</v>
      </c>
      <c r="AJ45" s="44">
        <f t="shared" si="33"/>
        <v>309362.30079797178</v>
      </c>
      <c r="AK45" s="44">
        <f>HLOOKUP(I45,ElecAvoidedCostsWOCC!$A$5:$Q$50,G45+1,FALSE)*J45*L45</f>
        <v>0</v>
      </c>
      <c r="AL45" s="44">
        <f t="shared" si="34"/>
        <v>309362.30079797178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309362.30079797178</v>
      </c>
      <c r="AN45" s="48">
        <f t="shared" si="35"/>
        <v>436860.4580776582</v>
      </c>
      <c r="AO45" s="47">
        <f t="shared" si="36"/>
        <v>1.7122163884774131</v>
      </c>
      <c r="AP45" s="47">
        <f t="shared" si="37"/>
        <v>2.2026324360324114</v>
      </c>
    </row>
    <row r="46" spans="2:42" x14ac:dyDescent="0.35">
      <c r="B46" s="97" t="s">
        <v>67</v>
      </c>
      <c r="C46" s="98">
        <v>18231134</v>
      </c>
      <c r="D46" s="61" t="s">
        <v>167</v>
      </c>
      <c r="E46" s="38" t="s">
        <v>1634</v>
      </c>
      <c r="F46" s="39" t="s">
        <v>1632</v>
      </c>
      <c r="G46" s="39">
        <v>12</v>
      </c>
      <c r="H46" s="39"/>
      <c r="I46" s="40" t="s">
        <v>262</v>
      </c>
      <c r="J46" s="41">
        <v>12009</v>
      </c>
      <c r="K46" s="41">
        <v>123</v>
      </c>
      <c r="L46" s="41"/>
      <c r="M46" s="42">
        <v>75</v>
      </c>
      <c r="N46" s="42">
        <v>75</v>
      </c>
      <c r="O46" s="43">
        <v>1477107</v>
      </c>
      <c r="P46" s="44">
        <v>900245</v>
      </c>
      <c r="Q46" s="44">
        <v>900675</v>
      </c>
      <c r="R46" s="45">
        <v>4.3579999999999997</v>
      </c>
      <c r="S46" s="46">
        <v>0</v>
      </c>
      <c r="T46" s="39">
        <f t="shared" si="19"/>
        <v>12</v>
      </c>
      <c r="U46" s="47">
        <f t="shared" si="20"/>
        <v>1.2765640825067404</v>
      </c>
      <c r="V46" s="48">
        <f t="shared" si="21"/>
        <v>0</v>
      </c>
      <c r="W46" s="49">
        <f t="shared" si="22"/>
        <v>0.10638034020889503</v>
      </c>
      <c r="X46" s="44">
        <f t="shared" si="23"/>
        <v>141072.84038119996</v>
      </c>
      <c r="Y46" s="44">
        <f t="shared" si="24"/>
        <v>430</v>
      </c>
      <c r="Z46" s="44">
        <f t="shared" si="25"/>
        <v>839610.29458736756</v>
      </c>
      <c r="AA46" s="50">
        <f t="shared" si="26"/>
        <v>1041747.8403812</v>
      </c>
      <c r="AB46" s="51">
        <f t="shared" si="27"/>
        <v>786151.96122412686</v>
      </c>
      <c r="AC46" s="44">
        <f t="shared" si="28"/>
        <v>975419.32619962539</v>
      </c>
      <c r="AD46" s="44">
        <f t="shared" si="29"/>
        <v>420149.34193603951</v>
      </c>
      <c r="AE46" s="44">
        <f t="shared" si="30"/>
        <v>0</v>
      </c>
      <c r="AF46" s="52">
        <f>HLOOKUP(I46,ElecAvoidedCostsWOCC!$A$5:$Q$50,G46+1,FALSE)</f>
        <v>0.91128284670075355</v>
      </c>
      <c r="AG46" s="44">
        <f t="shared" si="31"/>
        <v>1346062.2718416101</v>
      </c>
      <c r="AH46" s="52">
        <f>HLOOKUP(I46,ElecAvoidedCostsWOCC!$A$5:$Q$50,T46+1,FALSE)</f>
        <v>0.91128284670075355</v>
      </c>
      <c r="AI46" s="44">
        <f t="shared" si="32"/>
        <v>0</v>
      </c>
      <c r="AJ46" s="44">
        <f t="shared" si="33"/>
        <v>1346062.2718416101</v>
      </c>
      <c r="AK46" s="44">
        <f>HLOOKUP(I46,ElecAvoidedCostsWOCC!$A$5:$Q$50,G46+1,FALSE)*J46*L46</f>
        <v>0</v>
      </c>
      <c r="AL46" s="44">
        <f t="shared" si="34"/>
        <v>1346062.2718416101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1346062.2718416099</v>
      </c>
      <c r="AN46" s="48">
        <f t="shared" si="35"/>
        <v>1900817.8409618104</v>
      </c>
      <c r="AO46" s="47">
        <f t="shared" si="36"/>
        <v>1.7122163884774131</v>
      </c>
      <c r="AP46" s="47">
        <f t="shared" si="37"/>
        <v>1.9487186586385072</v>
      </c>
    </row>
    <row r="47" spans="2:42" x14ac:dyDescent="0.35">
      <c r="B47" s="97" t="s">
        <v>67</v>
      </c>
      <c r="C47" s="98">
        <v>18231134</v>
      </c>
      <c r="D47" s="61" t="s">
        <v>167</v>
      </c>
      <c r="E47" s="38" t="s">
        <v>1635</v>
      </c>
      <c r="F47" s="39" t="s">
        <v>1636</v>
      </c>
      <c r="G47" s="39">
        <v>12</v>
      </c>
      <c r="H47" s="39"/>
      <c r="I47" s="40" t="s">
        <v>262</v>
      </c>
      <c r="J47" s="41">
        <v>25</v>
      </c>
      <c r="K47" s="41">
        <v>121</v>
      </c>
      <c r="L47" s="41"/>
      <c r="M47" s="42">
        <v>78</v>
      </c>
      <c r="N47" s="42">
        <v>78</v>
      </c>
      <c r="O47" s="43">
        <v>3025</v>
      </c>
      <c r="P47" s="44">
        <v>1950</v>
      </c>
      <c r="Q47" s="44">
        <v>1950</v>
      </c>
      <c r="R47" s="45">
        <v>4.29</v>
      </c>
      <c r="S47" s="46">
        <v>0</v>
      </c>
      <c r="T47" s="39">
        <f t="shared" si="19"/>
        <v>12</v>
      </c>
      <c r="U47" s="47">
        <f t="shared" si="20"/>
        <v>2.614303736684539E-3</v>
      </c>
      <c r="V47" s="48">
        <f t="shared" si="21"/>
        <v>0</v>
      </c>
      <c r="W47" s="49">
        <f t="shared" si="22"/>
        <v>2.1785864472371159E-4</v>
      </c>
      <c r="X47" s="44">
        <f t="shared" si="23"/>
        <v>288.90618090167459</v>
      </c>
      <c r="Y47" s="44">
        <f t="shared" si="24"/>
        <v>0</v>
      </c>
      <c r="Z47" s="44">
        <f t="shared" si="25"/>
        <v>1719.4564382450201</v>
      </c>
      <c r="AA47" s="50">
        <f t="shared" si="26"/>
        <v>2238.9061809016748</v>
      </c>
      <c r="AB47" s="51">
        <f t="shared" si="27"/>
        <v>1609.9779384316666</v>
      </c>
      <c r="AC47" s="44">
        <f t="shared" si="28"/>
        <v>2096.3541019678601</v>
      </c>
      <c r="AD47" s="44">
        <f t="shared" si="29"/>
        <v>861.00746687651849</v>
      </c>
      <c r="AE47" s="44">
        <f t="shared" si="30"/>
        <v>0</v>
      </c>
      <c r="AF47" s="52">
        <f>HLOOKUP(I47,ElecAvoidedCostsWOCC!$A$5:$Q$50,G47+1,FALSE)</f>
        <v>0.91128284670075355</v>
      </c>
      <c r="AG47" s="44">
        <f t="shared" si="31"/>
        <v>2756.6306112697798</v>
      </c>
      <c r="AH47" s="52">
        <f>HLOOKUP(I47,ElecAvoidedCostsWOCC!$A$5:$Q$50,T47+1,FALSE)</f>
        <v>0.91128284670075355</v>
      </c>
      <c r="AI47" s="44">
        <f t="shared" si="32"/>
        <v>0</v>
      </c>
      <c r="AJ47" s="44">
        <f t="shared" si="33"/>
        <v>2756.6306112697798</v>
      </c>
      <c r="AK47" s="44">
        <f>HLOOKUP(I47,ElecAvoidedCostsWOCC!$A$5:$Q$50,G47+1,FALSE)*J47*L47</f>
        <v>0</v>
      </c>
      <c r="AL47" s="44">
        <f t="shared" si="34"/>
        <v>2756.6306112697798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2756.6306112697794</v>
      </c>
      <c r="AN47" s="48">
        <f t="shared" si="35"/>
        <v>3893.301139273276</v>
      </c>
      <c r="AO47" s="47">
        <f t="shared" si="36"/>
        <v>1.7122163884774133</v>
      </c>
      <c r="AP47" s="47">
        <f t="shared" si="37"/>
        <v>1.8571772467345145</v>
      </c>
    </row>
    <row r="48" spans="2:42" x14ac:dyDescent="0.35">
      <c r="B48" s="97" t="s">
        <v>67</v>
      </c>
      <c r="C48" s="98">
        <v>18231134</v>
      </c>
      <c r="D48" s="61" t="s">
        <v>167</v>
      </c>
      <c r="E48" s="38" t="s">
        <v>1637</v>
      </c>
      <c r="F48" s="39" t="s">
        <v>1638</v>
      </c>
      <c r="G48" s="39">
        <v>12</v>
      </c>
      <c r="H48" s="39"/>
      <c r="I48" s="40" t="s">
        <v>262</v>
      </c>
      <c r="J48" s="41">
        <v>1116</v>
      </c>
      <c r="K48" s="41">
        <v>193</v>
      </c>
      <c r="L48" s="41"/>
      <c r="M48" s="42">
        <v>78</v>
      </c>
      <c r="N48" s="42">
        <v>78</v>
      </c>
      <c r="O48" s="43">
        <v>215388</v>
      </c>
      <c r="P48" s="44">
        <v>87048</v>
      </c>
      <c r="Q48" s="44">
        <v>87048</v>
      </c>
      <c r="R48" s="45">
        <v>0</v>
      </c>
      <c r="S48" s="46">
        <v>0</v>
      </c>
      <c r="T48" s="39">
        <f t="shared" si="19"/>
        <v>12</v>
      </c>
      <c r="U48" s="47">
        <f t="shared" si="20"/>
        <v>0.18614533991306101</v>
      </c>
      <c r="V48" s="48">
        <f t="shared" si="21"/>
        <v>0</v>
      </c>
      <c r="W48" s="49">
        <f t="shared" si="22"/>
        <v>1.551211165942175E-2</v>
      </c>
      <c r="X48" s="44">
        <f t="shared" si="23"/>
        <v>20570.88412960327</v>
      </c>
      <c r="Y48" s="44">
        <f t="shared" si="24"/>
        <v>0</v>
      </c>
      <c r="Z48" s="44">
        <f t="shared" si="25"/>
        <v>122429.84572585733</v>
      </c>
      <c r="AA48" s="50">
        <f t="shared" si="26"/>
        <v>107618.88412960328</v>
      </c>
      <c r="AB48" s="51">
        <f t="shared" si="27"/>
        <v>114634.6870092297</v>
      </c>
      <c r="AC48" s="44">
        <f t="shared" si="28"/>
        <v>100766.74543970343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0.91128284670075355</v>
      </c>
      <c r="AG48" s="44">
        <f t="shared" si="31"/>
        <v>196279.38978518191</v>
      </c>
      <c r="AH48" s="52">
        <f>HLOOKUP(I48,ElecAvoidedCostsWOCC!$A$5:$Q$50,T48+1,FALSE)</f>
        <v>0.91128284670075355</v>
      </c>
      <c r="AI48" s="44">
        <f t="shared" si="32"/>
        <v>0</v>
      </c>
      <c r="AJ48" s="44">
        <f t="shared" si="33"/>
        <v>196279.38978518191</v>
      </c>
      <c r="AK48" s="44">
        <f>HLOOKUP(I48,ElecAvoidedCostsWOCC!$A$5:$Q$50,G48+1,FALSE)*J48*L48</f>
        <v>0</v>
      </c>
      <c r="AL48" s="44">
        <f t="shared" si="34"/>
        <v>196279.38978518191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196279.38978518191</v>
      </c>
      <c r="AN48" s="48">
        <f t="shared" si="35"/>
        <v>215907.32876370012</v>
      </c>
      <c r="AO48" s="47">
        <f t="shared" si="36"/>
        <v>1.7122163884774131</v>
      </c>
      <c r="AP48" s="47">
        <f t="shared" si="37"/>
        <v>2.1426446574370535</v>
      </c>
    </row>
    <row r="49" spans="2:42" x14ac:dyDescent="0.35">
      <c r="B49" s="97" t="s">
        <v>67</v>
      </c>
      <c r="C49" s="98">
        <v>18231134</v>
      </c>
      <c r="D49" s="61" t="s">
        <v>167</v>
      </c>
      <c r="E49" s="38" t="s">
        <v>1639</v>
      </c>
      <c r="F49" s="39" t="s">
        <v>1638</v>
      </c>
      <c r="G49" s="39">
        <v>12</v>
      </c>
      <c r="H49" s="39"/>
      <c r="I49" s="40" t="s">
        <v>262</v>
      </c>
      <c r="J49" s="41">
        <v>9551</v>
      </c>
      <c r="K49" s="41">
        <v>184</v>
      </c>
      <c r="L49" s="41"/>
      <c r="M49" s="42">
        <v>78</v>
      </c>
      <c r="N49" s="42">
        <v>78</v>
      </c>
      <c r="O49" s="43">
        <v>1757384</v>
      </c>
      <c r="P49" s="44">
        <v>744978</v>
      </c>
      <c r="Q49" s="44">
        <v>744978</v>
      </c>
      <c r="R49" s="45">
        <v>6.52</v>
      </c>
      <c r="S49" s="46">
        <v>0</v>
      </c>
      <c r="T49" s="39">
        <f t="shared" si="19"/>
        <v>12</v>
      </c>
      <c r="U49" s="47">
        <f t="shared" si="20"/>
        <v>1.5187886142114453</v>
      </c>
      <c r="V49" s="48">
        <f t="shared" si="21"/>
        <v>0</v>
      </c>
      <c r="W49" s="49">
        <f t="shared" si="22"/>
        <v>0.12656571785095377</v>
      </c>
      <c r="X49" s="44">
        <f t="shared" si="23"/>
        <v>167841.02473312677</v>
      </c>
      <c r="Y49" s="44">
        <f t="shared" si="24"/>
        <v>0</v>
      </c>
      <c r="Z49" s="44">
        <f t="shared" si="25"/>
        <v>998924.04405579704</v>
      </c>
      <c r="AA49" s="50">
        <f t="shared" si="26"/>
        <v>912819.02473312675</v>
      </c>
      <c r="AB49" s="51">
        <f t="shared" si="27"/>
        <v>935322.13862902345</v>
      </c>
      <c r="AC49" s="44">
        <f t="shared" si="28"/>
        <v>854699.46136060555</v>
      </c>
      <c r="AD49" s="44">
        <f t="shared" si="29"/>
        <v>499926.38416053454</v>
      </c>
      <c r="AE49" s="44">
        <f t="shared" si="30"/>
        <v>0</v>
      </c>
      <c r="AF49" s="52">
        <f>HLOOKUP(I49,ElecAvoidedCostsWOCC!$A$5:$Q$50,G49+1,FALSE)</f>
        <v>0.91128284670075355</v>
      </c>
      <c r="AG49" s="44">
        <f t="shared" si="31"/>
        <v>1601473.8942663569</v>
      </c>
      <c r="AH49" s="52">
        <f>HLOOKUP(I49,ElecAvoidedCostsWOCC!$A$5:$Q$50,T49+1,FALSE)</f>
        <v>0.91128284670075355</v>
      </c>
      <c r="AI49" s="44">
        <f t="shared" si="32"/>
        <v>0</v>
      </c>
      <c r="AJ49" s="44">
        <f t="shared" si="33"/>
        <v>1601473.8942663569</v>
      </c>
      <c r="AK49" s="44">
        <f>HLOOKUP(I49,ElecAvoidedCostsWOCC!$A$5:$Q$50,G49+1,FALSE)*J49*L49</f>
        <v>0</v>
      </c>
      <c r="AL49" s="44">
        <f t="shared" si="34"/>
        <v>1601473.8942663569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1601473.8942663572</v>
      </c>
      <c r="AN49" s="48">
        <f t="shared" si="35"/>
        <v>2261547.6678535277</v>
      </c>
      <c r="AO49" s="47">
        <f t="shared" si="36"/>
        <v>1.7122163884774135</v>
      </c>
      <c r="AP49" s="47">
        <f t="shared" si="37"/>
        <v>2.6460150849438291</v>
      </c>
    </row>
    <row r="50" spans="2:42" x14ac:dyDescent="0.35">
      <c r="B50" s="97" t="s">
        <v>67</v>
      </c>
      <c r="C50" s="98">
        <v>18231134</v>
      </c>
      <c r="D50" s="61" t="s">
        <v>167</v>
      </c>
      <c r="E50" s="38" t="s">
        <v>1640</v>
      </c>
      <c r="F50" s="39" t="s">
        <v>1641</v>
      </c>
      <c r="G50" s="39">
        <v>12</v>
      </c>
      <c r="H50" s="39"/>
      <c r="I50" s="40" t="s">
        <v>262</v>
      </c>
      <c r="J50" s="41">
        <v>26</v>
      </c>
      <c r="K50" s="41">
        <v>162</v>
      </c>
      <c r="L50" s="41"/>
      <c r="M50" s="42">
        <v>100</v>
      </c>
      <c r="N50" s="42">
        <v>100</v>
      </c>
      <c r="O50" s="43">
        <v>4212</v>
      </c>
      <c r="P50" s="44">
        <v>2600</v>
      </c>
      <c r="Q50" s="44">
        <v>2600</v>
      </c>
      <c r="R50" s="45">
        <v>5.7089999999999996</v>
      </c>
      <c r="S50" s="46">
        <v>0</v>
      </c>
      <c r="T50" s="39">
        <f t="shared" si="19"/>
        <v>12</v>
      </c>
      <c r="U50" s="47">
        <f t="shared" si="20"/>
        <v>3.64014788063315E-3</v>
      </c>
      <c r="V50" s="48">
        <f t="shared" si="21"/>
        <v>0</v>
      </c>
      <c r="W50" s="49">
        <f t="shared" si="22"/>
        <v>3.0334565671942917E-4</v>
      </c>
      <c r="X50" s="44">
        <f t="shared" si="23"/>
        <v>402.27201122573666</v>
      </c>
      <c r="Y50" s="44">
        <f t="shared" si="24"/>
        <v>0</v>
      </c>
      <c r="Z50" s="44">
        <f t="shared" si="25"/>
        <v>2394.1654604588512</v>
      </c>
      <c r="AA50" s="50">
        <f t="shared" si="26"/>
        <v>3002.2720112257366</v>
      </c>
      <c r="AB50" s="51">
        <f t="shared" si="27"/>
        <v>2241.7279592311338</v>
      </c>
      <c r="AC50" s="44">
        <f t="shared" si="28"/>
        <v>2811.116115379903</v>
      </c>
      <c r="AD50" s="44">
        <f t="shared" si="29"/>
        <v>1191.6343341571014</v>
      </c>
      <c r="AE50" s="44">
        <f t="shared" si="30"/>
        <v>0</v>
      </c>
      <c r="AF50" s="52">
        <f>HLOOKUP(I50,ElecAvoidedCostsWOCC!$A$5:$Q$50,G50+1,FALSE)</f>
        <v>0.91128284670075355</v>
      </c>
      <c r="AG50" s="44">
        <f t="shared" si="31"/>
        <v>3838.323350303574</v>
      </c>
      <c r="AH50" s="52">
        <f>HLOOKUP(I50,ElecAvoidedCostsWOCC!$A$5:$Q$50,T50+1,FALSE)</f>
        <v>0.91128284670075355</v>
      </c>
      <c r="AI50" s="44">
        <f t="shared" si="32"/>
        <v>0</v>
      </c>
      <c r="AJ50" s="44">
        <f t="shared" si="33"/>
        <v>3838.323350303574</v>
      </c>
      <c r="AK50" s="44">
        <f>HLOOKUP(I50,ElecAvoidedCostsWOCC!$A$5:$Q$50,G50+1,FALSE)*J50*L50</f>
        <v>0</v>
      </c>
      <c r="AL50" s="44">
        <f t="shared" si="34"/>
        <v>3838.323350303574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3838.323350303574</v>
      </c>
      <c r="AN50" s="48">
        <f t="shared" si="35"/>
        <v>5413.7900194910326</v>
      </c>
      <c r="AO50" s="47">
        <f t="shared" si="36"/>
        <v>1.7122163884774133</v>
      </c>
      <c r="AP50" s="47">
        <f t="shared" si="37"/>
        <v>1.9258507287805136</v>
      </c>
    </row>
    <row r="51" spans="2:42" x14ac:dyDescent="0.35">
      <c r="B51" s="97" t="s">
        <v>67</v>
      </c>
      <c r="C51" s="98">
        <v>18231134</v>
      </c>
      <c r="D51" s="61" t="s">
        <v>167</v>
      </c>
      <c r="E51" s="38" t="s">
        <v>1642</v>
      </c>
      <c r="F51" s="39" t="s">
        <v>1643</v>
      </c>
      <c r="G51" s="39">
        <v>12</v>
      </c>
      <c r="H51" s="39"/>
      <c r="I51" s="40" t="s">
        <v>262</v>
      </c>
      <c r="J51" s="41">
        <v>1875</v>
      </c>
      <c r="K51" s="41">
        <v>258</v>
      </c>
      <c r="L51" s="41"/>
      <c r="M51" s="42">
        <v>100</v>
      </c>
      <c r="N51" s="42">
        <v>100</v>
      </c>
      <c r="O51" s="43">
        <v>483750</v>
      </c>
      <c r="P51" s="44">
        <v>187500</v>
      </c>
      <c r="Q51" s="44">
        <v>187500</v>
      </c>
      <c r="R51" s="45">
        <v>0</v>
      </c>
      <c r="S51" s="46">
        <v>0</v>
      </c>
      <c r="T51" s="39">
        <f t="shared" si="19"/>
        <v>12</v>
      </c>
      <c r="U51" s="47">
        <f t="shared" si="20"/>
        <v>0.41807253970946967</v>
      </c>
      <c r="V51" s="48">
        <f t="shared" si="21"/>
        <v>0</v>
      </c>
      <c r="W51" s="49">
        <f t="shared" si="22"/>
        <v>3.4839378309122475E-2</v>
      </c>
      <c r="X51" s="44">
        <f t="shared" si="23"/>
        <v>46201.112400391765</v>
      </c>
      <c r="Y51" s="44">
        <f t="shared" si="24"/>
        <v>0</v>
      </c>
      <c r="Z51" s="44">
        <f t="shared" si="25"/>
        <v>274970.92628133175</v>
      </c>
      <c r="AA51" s="50">
        <f t="shared" si="26"/>
        <v>233701.11240039178</v>
      </c>
      <c r="AB51" s="51">
        <f t="shared" si="27"/>
        <v>257463.41412109713</v>
      </c>
      <c r="AC51" s="44">
        <f t="shared" si="28"/>
        <v>218821.26629250165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0.91128284670075355</v>
      </c>
      <c r="AG51" s="44">
        <f t="shared" si="31"/>
        <v>440833.07709148957</v>
      </c>
      <c r="AH51" s="52">
        <f>HLOOKUP(I51,ElecAvoidedCostsWOCC!$A$5:$Q$50,T51+1,FALSE)</f>
        <v>0.91128284670075355</v>
      </c>
      <c r="AI51" s="44">
        <f t="shared" si="32"/>
        <v>0</v>
      </c>
      <c r="AJ51" s="44">
        <f t="shared" si="33"/>
        <v>440833.07709148957</v>
      </c>
      <c r="AK51" s="44">
        <f>HLOOKUP(I51,ElecAvoidedCostsWOCC!$A$5:$Q$50,G51+1,FALSE)*J51*L51</f>
        <v>0</v>
      </c>
      <c r="AL51" s="44">
        <f t="shared" si="34"/>
        <v>440833.07709148957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440833.07709148957</v>
      </c>
      <c r="AN51" s="48">
        <f t="shared" si="35"/>
        <v>484916.38480063854</v>
      </c>
      <c r="AO51" s="47">
        <f t="shared" si="36"/>
        <v>1.7122163884774133</v>
      </c>
      <c r="AP51" s="47">
        <f t="shared" si="37"/>
        <v>2.2160386557330471</v>
      </c>
    </row>
    <row r="52" spans="2:42" x14ac:dyDescent="0.35">
      <c r="B52" s="97" t="s">
        <v>67</v>
      </c>
      <c r="C52" s="98">
        <v>18231134</v>
      </c>
      <c r="D52" s="61" t="s">
        <v>167</v>
      </c>
      <c r="E52" s="38" t="s">
        <v>1644</v>
      </c>
      <c r="F52" s="39" t="s">
        <v>1643</v>
      </c>
      <c r="G52" s="39">
        <v>12</v>
      </c>
      <c r="H52" s="39"/>
      <c r="I52" s="40" t="s">
        <v>262</v>
      </c>
      <c r="J52" s="41">
        <v>15164</v>
      </c>
      <c r="K52" s="41">
        <v>246</v>
      </c>
      <c r="L52" s="41"/>
      <c r="M52" s="42">
        <v>100</v>
      </c>
      <c r="N52" s="42">
        <v>100</v>
      </c>
      <c r="O52" s="43">
        <v>3730344</v>
      </c>
      <c r="P52" s="44">
        <v>1516400</v>
      </c>
      <c r="Q52" s="44">
        <v>1516400</v>
      </c>
      <c r="R52" s="45">
        <v>8.7149999999999999</v>
      </c>
      <c r="S52" s="46">
        <v>0</v>
      </c>
      <c r="T52" s="39">
        <f t="shared" si="19"/>
        <v>12</v>
      </c>
      <c r="U52" s="47">
        <f t="shared" si="20"/>
        <v>3.2238850440723144</v>
      </c>
      <c r="V52" s="48">
        <f t="shared" si="21"/>
        <v>0</v>
      </c>
      <c r="W52" s="49">
        <f t="shared" si="22"/>
        <v>0.2686570870060262</v>
      </c>
      <c r="X52" s="44">
        <f t="shared" si="23"/>
        <v>356270.88875685172</v>
      </c>
      <c r="Y52" s="44">
        <f t="shared" si="24"/>
        <v>0</v>
      </c>
      <c r="Z52" s="44">
        <f t="shared" si="25"/>
        <v>2120384.7959235311</v>
      </c>
      <c r="AA52" s="50">
        <f t="shared" si="26"/>
        <v>1872670.8887568517</v>
      </c>
      <c r="AB52" s="51">
        <f t="shared" si="27"/>
        <v>1985379.0224003098</v>
      </c>
      <c r="AC52" s="44">
        <f t="shared" si="28"/>
        <v>1753437.1617573516</v>
      </c>
      <c r="AD52" s="44">
        <f t="shared" si="29"/>
        <v>1060939.9033989818</v>
      </c>
      <c r="AE52" s="44">
        <f t="shared" si="30"/>
        <v>0</v>
      </c>
      <c r="AF52" s="52">
        <f>HLOOKUP(I52,ElecAvoidedCostsWOCC!$A$5:$Q$50,G52+1,FALSE)</f>
        <v>0.91128284670075355</v>
      </c>
      <c r="AG52" s="44">
        <f t="shared" si="31"/>
        <v>3399398.499493076</v>
      </c>
      <c r="AH52" s="52">
        <f>HLOOKUP(I52,ElecAvoidedCostsWOCC!$A$5:$Q$50,T52+1,FALSE)</f>
        <v>0.91128284670075355</v>
      </c>
      <c r="AI52" s="44">
        <f t="shared" si="32"/>
        <v>0</v>
      </c>
      <c r="AJ52" s="44">
        <f t="shared" si="33"/>
        <v>3399398.499493076</v>
      </c>
      <c r="AK52" s="44">
        <f>HLOOKUP(I52,ElecAvoidedCostsWOCC!$A$5:$Q$50,G52+1,FALSE)*J52*L52</f>
        <v>0</v>
      </c>
      <c r="AL52" s="44">
        <f t="shared" si="34"/>
        <v>3399398.499493076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3399398.4994930755</v>
      </c>
      <c r="AN52" s="48">
        <f t="shared" si="35"/>
        <v>4800278.2528413646</v>
      </c>
      <c r="AO52" s="47">
        <f t="shared" si="36"/>
        <v>1.7122163884774131</v>
      </c>
      <c r="AP52" s="47">
        <f t="shared" si="37"/>
        <v>2.7376391681070396</v>
      </c>
    </row>
    <row r="53" spans="2:42" x14ac:dyDescent="0.35">
      <c r="B53" s="97" t="s">
        <v>67</v>
      </c>
      <c r="C53" s="98">
        <v>18231134</v>
      </c>
      <c r="D53" s="61" t="s">
        <v>167</v>
      </c>
      <c r="E53" s="38" t="s">
        <v>1645</v>
      </c>
      <c r="F53" s="39" t="s">
        <v>1646</v>
      </c>
      <c r="G53" s="39">
        <v>15</v>
      </c>
      <c r="H53" s="39"/>
      <c r="I53" s="40" t="s">
        <v>262</v>
      </c>
      <c r="J53" s="41">
        <v>380</v>
      </c>
      <c r="K53" s="41">
        <v>420</v>
      </c>
      <c r="L53" s="41"/>
      <c r="M53" s="42">
        <v>112</v>
      </c>
      <c r="N53" s="42">
        <v>140</v>
      </c>
      <c r="O53" s="43">
        <v>159600</v>
      </c>
      <c r="P53" s="44">
        <v>70300</v>
      </c>
      <c r="Q53" s="44">
        <v>53200</v>
      </c>
      <c r="R53" s="45">
        <v>0</v>
      </c>
      <c r="S53" s="46">
        <v>0</v>
      </c>
      <c r="T53" s="39">
        <f t="shared" si="19"/>
        <v>15</v>
      </c>
      <c r="U53" s="47">
        <f t="shared" si="20"/>
        <v>0.17241441172514563</v>
      </c>
      <c r="V53" s="48">
        <f t="shared" si="21"/>
        <v>28</v>
      </c>
      <c r="W53" s="49">
        <f t="shared" si="22"/>
        <v>1.1494294115009709E-2</v>
      </c>
      <c r="X53" s="44">
        <f t="shared" si="23"/>
        <v>15242.785610547857</v>
      </c>
      <c r="Y53" s="44">
        <f t="shared" si="24"/>
        <v>-17100</v>
      </c>
      <c r="Z53" s="44">
        <f t="shared" si="25"/>
        <v>90719.09009715874</v>
      </c>
      <c r="AA53" s="50">
        <f t="shared" si="26"/>
        <v>68442.785610547857</v>
      </c>
      <c r="AB53" s="51">
        <f t="shared" si="27"/>
        <v>84942.968255766609</v>
      </c>
      <c r="AC53" s="44">
        <f t="shared" si="28"/>
        <v>64085.005253321957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1.0914944041149737</v>
      </c>
      <c r="AG53" s="44">
        <f t="shared" si="31"/>
        <v>174202.50689674981</v>
      </c>
      <c r="AH53" s="52">
        <f>HLOOKUP(I53,ElecAvoidedCostsWOCC!$A$5:$Q$50,T53+1,FALSE)</f>
        <v>1.0914944041149737</v>
      </c>
      <c r="AI53" s="44">
        <f t="shared" si="32"/>
        <v>0</v>
      </c>
      <c r="AJ53" s="44">
        <f t="shared" si="33"/>
        <v>174202.50689674981</v>
      </c>
      <c r="AK53" s="44">
        <f>HLOOKUP(I53,ElecAvoidedCostsWOCC!$A$5:$Q$50,G53+1,FALSE)*J53*L53</f>
        <v>0</v>
      </c>
      <c r="AL53" s="44">
        <f t="shared" si="34"/>
        <v>174202.50689674981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174202.50689674981</v>
      </c>
      <c r="AN53" s="48">
        <f t="shared" si="35"/>
        <v>191622.75758642479</v>
      </c>
      <c r="AO53" s="47">
        <f t="shared" si="36"/>
        <v>2.0508172774492555</v>
      </c>
      <c r="AP53" s="47">
        <f t="shared" si="37"/>
        <v>2.99013407003648</v>
      </c>
    </row>
    <row r="54" spans="2:42" x14ac:dyDescent="0.35">
      <c r="B54" s="97" t="s">
        <v>67</v>
      </c>
      <c r="C54" s="98">
        <v>18231134</v>
      </c>
      <c r="D54" s="61" t="s">
        <v>167</v>
      </c>
      <c r="E54" s="38" t="s">
        <v>1647</v>
      </c>
      <c r="F54" s="39" t="s">
        <v>1646</v>
      </c>
      <c r="G54" s="39">
        <v>15</v>
      </c>
      <c r="H54" s="39"/>
      <c r="I54" s="40" t="s">
        <v>262</v>
      </c>
      <c r="J54" s="41">
        <v>2594</v>
      </c>
      <c r="K54" s="41">
        <v>420</v>
      </c>
      <c r="L54" s="41"/>
      <c r="M54" s="42">
        <v>112</v>
      </c>
      <c r="N54" s="42">
        <v>140</v>
      </c>
      <c r="O54" s="43">
        <v>1089480</v>
      </c>
      <c r="P54" s="44">
        <v>313231</v>
      </c>
      <c r="Q54" s="44">
        <v>363160</v>
      </c>
      <c r="R54" s="45">
        <v>14.188000000000001</v>
      </c>
      <c r="S54" s="46">
        <v>0</v>
      </c>
      <c r="T54" s="39">
        <f t="shared" si="19"/>
        <v>15</v>
      </c>
      <c r="U54" s="47">
        <f t="shared" si="20"/>
        <v>1.1769552210921783</v>
      </c>
      <c r="V54" s="48">
        <f t="shared" si="21"/>
        <v>28</v>
      </c>
      <c r="W54" s="49">
        <f t="shared" si="22"/>
        <v>7.8463681406145222E-2</v>
      </c>
      <c r="X54" s="44">
        <f t="shared" si="23"/>
        <v>104052.0680888451</v>
      </c>
      <c r="Y54" s="44">
        <f t="shared" si="24"/>
        <v>49929</v>
      </c>
      <c r="Z54" s="44">
        <f t="shared" si="25"/>
        <v>619277.15713692049</v>
      </c>
      <c r="AA54" s="50">
        <f t="shared" si="26"/>
        <v>467212.06808884512</v>
      </c>
      <c r="AB54" s="51">
        <f t="shared" si="27"/>
        <v>579847.52540910151</v>
      </c>
      <c r="AC54" s="44">
        <f t="shared" si="28"/>
        <v>437464.48322925571</v>
      </c>
      <c r="AD54" s="44">
        <f t="shared" si="29"/>
        <v>339480.51469248475</v>
      </c>
      <c r="AE54" s="44">
        <f t="shared" si="30"/>
        <v>0</v>
      </c>
      <c r="AF54" s="52">
        <f>HLOOKUP(I54,ElecAvoidedCostsWOCC!$A$5:$Q$50,G54+1,FALSE)</f>
        <v>1.0914944041149737</v>
      </c>
      <c r="AG54" s="44">
        <f t="shared" si="31"/>
        <v>1189161.3233951814</v>
      </c>
      <c r="AH54" s="52">
        <f>HLOOKUP(I54,ElecAvoidedCostsWOCC!$A$5:$Q$50,T54+1,FALSE)</f>
        <v>1.0914944041149737</v>
      </c>
      <c r="AI54" s="44">
        <f t="shared" si="32"/>
        <v>0</v>
      </c>
      <c r="AJ54" s="44">
        <f t="shared" si="33"/>
        <v>1189161.3233951814</v>
      </c>
      <c r="AK54" s="44">
        <f>HLOOKUP(I54,ElecAvoidedCostsWOCC!$A$5:$Q$50,G54+1,FALSE)*J54*L54</f>
        <v>0</v>
      </c>
      <c r="AL54" s="44">
        <f t="shared" si="34"/>
        <v>1189161.3233951814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1189161.3233951814</v>
      </c>
      <c r="AN54" s="48">
        <f t="shared" si="35"/>
        <v>1647557.9704271844</v>
      </c>
      <c r="AO54" s="47">
        <f t="shared" si="36"/>
        <v>2.0508172774492555</v>
      </c>
      <c r="AP54" s="47">
        <f t="shared" si="37"/>
        <v>3.7661525302930077</v>
      </c>
    </row>
    <row r="55" spans="2:42" x14ac:dyDescent="0.35">
      <c r="B55" s="97" t="s">
        <v>67</v>
      </c>
      <c r="C55" s="98">
        <v>18231134</v>
      </c>
      <c r="D55" s="61" t="s">
        <v>167</v>
      </c>
      <c r="E55" s="38" t="s">
        <v>1648</v>
      </c>
      <c r="F55" s="39" t="s">
        <v>1649</v>
      </c>
      <c r="G55" s="39">
        <v>15</v>
      </c>
      <c r="H55" s="39"/>
      <c r="I55" s="40" t="s">
        <v>262</v>
      </c>
      <c r="J55" s="41">
        <v>7</v>
      </c>
      <c r="K55" s="41">
        <v>735</v>
      </c>
      <c r="L55" s="41"/>
      <c r="M55" s="42">
        <v>153.16999999999999</v>
      </c>
      <c r="N55" s="42">
        <v>218.82</v>
      </c>
      <c r="O55" s="43">
        <v>5145</v>
      </c>
      <c r="P55" s="44">
        <v>1531.74</v>
      </c>
      <c r="Q55" s="44">
        <v>1531.74</v>
      </c>
      <c r="R55" s="45">
        <v>0</v>
      </c>
      <c r="S55" s="46">
        <v>0</v>
      </c>
      <c r="T55" s="39">
        <f t="shared" si="19"/>
        <v>15</v>
      </c>
      <c r="U55" s="47">
        <f t="shared" si="20"/>
        <v>5.5580961674553528E-3</v>
      </c>
      <c r="V55" s="48">
        <f t="shared" si="21"/>
        <v>65.650000000000006</v>
      </c>
      <c r="W55" s="49">
        <f t="shared" si="22"/>
        <v>3.7053974449702352E-4</v>
      </c>
      <c r="X55" s="44">
        <f t="shared" si="23"/>
        <v>491.37927297160854</v>
      </c>
      <c r="Y55" s="44">
        <f t="shared" si="24"/>
        <v>0</v>
      </c>
      <c r="Z55" s="44">
        <f t="shared" si="25"/>
        <v>2924.4969833952491</v>
      </c>
      <c r="AA55" s="50">
        <f t="shared" si="26"/>
        <v>2023.1192729716086</v>
      </c>
      <c r="AB55" s="51">
        <f t="shared" si="27"/>
        <v>2738.2930556135288</v>
      </c>
      <c r="AC55" s="44">
        <f t="shared" si="28"/>
        <v>1894.3064353666746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1.0914944041149737</v>
      </c>
      <c r="AG55" s="44">
        <f t="shared" si="31"/>
        <v>5615.73870917154</v>
      </c>
      <c r="AH55" s="52">
        <f>HLOOKUP(I55,ElecAvoidedCostsWOCC!$A$5:$Q$50,T55+1,FALSE)</f>
        <v>1.0914944041149737</v>
      </c>
      <c r="AI55" s="44">
        <f t="shared" si="32"/>
        <v>0</v>
      </c>
      <c r="AJ55" s="44">
        <f t="shared" si="33"/>
        <v>5615.73870917154</v>
      </c>
      <c r="AK55" s="44">
        <f>HLOOKUP(I55,ElecAvoidedCostsWOCC!$A$5:$Q$50,G55+1,FALSE)*J55*L55</f>
        <v>0</v>
      </c>
      <c r="AL55" s="44">
        <f t="shared" si="34"/>
        <v>5615.73870917154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5615.7387091715391</v>
      </c>
      <c r="AN55" s="48">
        <f t="shared" si="35"/>
        <v>6177.3125800886937</v>
      </c>
      <c r="AO55" s="47">
        <f t="shared" si="36"/>
        <v>2.050817277449255</v>
      </c>
      <c r="AP55" s="47">
        <f t="shared" si="37"/>
        <v>3.2609890695393071</v>
      </c>
    </row>
    <row r="56" spans="2:42" x14ac:dyDescent="0.35">
      <c r="B56" s="97" t="s">
        <v>67</v>
      </c>
      <c r="C56" s="98">
        <v>18231134</v>
      </c>
      <c r="D56" s="61" t="s">
        <v>167</v>
      </c>
      <c r="E56" s="38" t="s">
        <v>1650</v>
      </c>
      <c r="F56" s="39" t="s">
        <v>1649</v>
      </c>
      <c r="G56" s="39">
        <v>15</v>
      </c>
      <c r="H56" s="39"/>
      <c r="I56" s="40" t="s">
        <v>262</v>
      </c>
      <c r="J56" s="41">
        <v>269</v>
      </c>
      <c r="K56" s="41">
        <v>735</v>
      </c>
      <c r="L56" s="41"/>
      <c r="M56" s="42">
        <v>153.16999999999999</v>
      </c>
      <c r="N56" s="42">
        <v>218.82</v>
      </c>
      <c r="O56" s="43">
        <v>197715</v>
      </c>
      <c r="P56" s="44">
        <v>42515.73</v>
      </c>
      <c r="Q56" s="44">
        <v>58862.58</v>
      </c>
      <c r="R56" s="45">
        <v>24.827999999999999</v>
      </c>
      <c r="S56" s="46">
        <v>0</v>
      </c>
      <c r="T56" s="39">
        <f t="shared" si="19"/>
        <v>15</v>
      </c>
      <c r="U56" s="47">
        <f t="shared" si="20"/>
        <v>0.21358969557792712</v>
      </c>
      <c r="V56" s="48">
        <f t="shared" si="21"/>
        <v>65.650000000000006</v>
      </c>
      <c r="W56" s="49">
        <f t="shared" si="22"/>
        <v>1.4239313038528476E-2</v>
      </c>
      <c r="X56" s="44">
        <f t="shared" si="23"/>
        <v>18883.003489908959</v>
      </c>
      <c r="Y56" s="44">
        <f t="shared" si="24"/>
        <v>16346.849999999999</v>
      </c>
      <c r="Z56" s="44">
        <f t="shared" si="25"/>
        <v>112384.241219046</v>
      </c>
      <c r="AA56" s="50">
        <f t="shared" si="26"/>
        <v>77745.583489908953</v>
      </c>
      <c r="AB56" s="51">
        <f t="shared" si="27"/>
        <v>105228.69028000561</v>
      </c>
      <c r="AC56" s="44">
        <f t="shared" si="28"/>
        <v>72795.490159090783</v>
      </c>
      <c r="AD56" s="44">
        <f t="shared" si="29"/>
        <v>61605.24897768809</v>
      </c>
      <c r="AE56" s="44">
        <f t="shared" si="30"/>
        <v>0</v>
      </c>
      <c r="AF56" s="52">
        <f>HLOOKUP(I56,ElecAvoidedCostsWOCC!$A$5:$Q$50,G56+1,FALSE)</f>
        <v>1.0914944041149737</v>
      </c>
      <c r="AG56" s="44">
        <f t="shared" si="31"/>
        <v>215804.81610959204</v>
      </c>
      <c r="AH56" s="52">
        <f>HLOOKUP(I56,ElecAvoidedCostsWOCC!$A$5:$Q$50,T56+1,FALSE)</f>
        <v>1.0914944041149737</v>
      </c>
      <c r="AI56" s="44">
        <f t="shared" si="32"/>
        <v>0</v>
      </c>
      <c r="AJ56" s="44">
        <f t="shared" si="33"/>
        <v>215804.81610959204</v>
      </c>
      <c r="AK56" s="44">
        <f>HLOOKUP(I56,ElecAvoidedCostsWOCC!$A$5:$Q$50,G56+1,FALSE)*J56*L56</f>
        <v>0</v>
      </c>
      <c r="AL56" s="44">
        <f t="shared" si="34"/>
        <v>215804.81610959204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215804.81610959201</v>
      </c>
      <c r="AN56" s="48">
        <f t="shared" si="35"/>
        <v>298990.54669823934</v>
      </c>
      <c r="AO56" s="47">
        <f t="shared" si="36"/>
        <v>2.050817277449255</v>
      </c>
      <c r="AP56" s="47">
        <f t="shared" si="37"/>
        <v>4.1072674425958384</v>
      </c>
    </row>
    <row r="57" spans="2:42" x14ac:dyDescent="0.35">
      <c r="B57" s="97" t="s">
        <v>67</v>
      </c>
      <c r="C57" s="98">
        <v>18231134</v>
      </c>
      <c r="D57" s="61" t="s">
        <v>167</v>
      </c>
      <c r="E57" s="38" t="s">
        <v>1651</v>
      </c>
      <c r="F57" s="39" t="s">
        <v>1652</v>
      </c>
      <c r="G57" s="39">
        <v>12</v>
      </c>
      <c r="H57" s="39"/>
      <c r="I57" s="40" t="s">
        <v>262</v>
      </c>
      <c r="J57" s="41">
        <v>26</v>
      </c>
      <c r="K57" s="41">
        <v>230</v>
      </c>
      <c r="L57" s="41"/>
      <c r="M57" s="42">
        <v>37</v>
      </c>
      <c r="N57" s="42">
        <v>37</v>
      </c>
      <c r="O57" s="43">
        <v>5980</v>
      </c>
      <c r="P57" s="44">
        <v>962</v>
      </c>
      <c r="Q57" s="44">
        <v>962</v>
      </c>
      <c r="R57" s="45">
        <v>7.7690000000000001</v>
      </c>
      <c r="S57" s="46">
        <v>0</v>
      </c>
      <c r="T57" s="39">
        <f t="shared" si="19"/>
        <v>12</v>
      </c>
      <c r="U57" s="47">
        <f t="shared" si="20"/>
        <v>5.1681111885532377E-3</v>
      </c>
      <c r="V57" s="48">
        <f t="shared" si="21"/>
        <v>0</v>
      </c>
      <c r="W57" s="49">
        <f t="shared" si="22"/>
        <v>4.3067593237943645E-4</v>
      </c>
      <c r="X57" s="44">
        <f t="shared" si="23"/>
        <v>571.12692951802114</v>
      </c>
      <c r="Y57" s="44">
        <f t="shared" si="24"/>
        <v>0</v>
      </c>
      <c r="Z57" s="44">
        <f t="shared" si="25"/>
        <v>3399.1238018860231</v>
      </c>
      <c r="AA57" s="50">
        <f t="shared" si="26"/>
        <v>1533.1269295180211</v>
      </c>
      <c r="AB57" s="51">
        <f t="shared" si="27"/>
        <v>3182.7001890318566</v>
      </c>
      <c r="AC57" s="44">
        <f t="shared" si="28"/>
        <v>1435.512106290282</v>
      </c>
      <c r="AD57" s="44">
        <f t="shared" si="29"/>
        <v>1621.616244888163</v>
      </c>
      <c r="AE57" s="44">
        <f t="shared" si="30"/>
        <v>0</v>
      </c>
      <c r="AF57" s="52">
        <f>HLOOKUP(I57,ElecAvoidedCostsWOCC!$A$5:$Q$50,G57+1,FALSE)</f>
        <v>0.91128284670075355</v>
      </c>
      <c r="AG57" s="44">
        <f t="shared" si="31"/>
        <v>5449.4714232705064</v>
      </c>
      <c r="AH57" s="52">
        <f>HLOOKUP(I57,ElecAvoidedCostsWOCC!$A$5:$Q$50,T57+1,FALSE)</f>
        <v>0.91128284670075355</v>
      </c>
      <c r="AI57" s="44">
        <f t="shared" si="32"/>
        <v>0</v>
      </c>
      <c r="AJ57" s="44">
        <f t="shared" si="33"/>
        <v>5449.4714232705064</v>
      </c>
      <c r="AK57" s="44">
        <f>HLOOKUP(I57,ElecAvoidedCostsWOCC!$A$5:$Q$50,G57+1,FALSE)*J57*L57</f>
        <v>0</v>
      </c>
      <c r="AL57" s="44">
        <f t="shared" si="34"/>
        <v>5449.4714232705064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5449.4714232705064</v>
      </c>
      <c r="AN57" s="48">
        <f t="shared" si="35"/>
        <v>7616.0348104857212</v>
      </c>
      <c r="AO57" s="47">
        <f t="shared" si="36"/>
        <v>1.7122163884774133</v>
      </c>
      <c r="AP57" s="47">
        <f t="shared" si="37"/>
        <v>5.3054479841117033</v>
      </c>
    </row>
    <row r="58" spans="2:42" x14ac:dyDescent="0.35">
      <c r="B58" s="97" t="s">
        <v>67</v>
      </c>
      <c r="C58" s="98">
        <v>18231134</v>
      </c>
      <c r="D58" s="61" t="s">
        <v>167</v>
      </c>
      <c r="E58" s="38" t="s">
        <v>1653</v>
      </c>
      <c r="F58" s="39" t="s">
        <v>1654</v>
      </c>
      <c r="G58" s="39">
        <v>12</v>
      </c>
      <c r="H58" s="39"/>
      <c r="I58" s="40" t="s">
        <v>262</v>
      </c>
      <c r="J58" s="41">
        <v>17</v>
      </c>
      <c r="K58" s="41">
        <v>460</v>
      </c>
      <c r="L58" s="41"/>
      <c r="M58" s="42">
        <v>75</v>
      </c>
      <c r="N58" s="42">
        <v>75</v>
      </c>
      <c r="O58" s="43">
        <v>7820</v>
      </c>
      <c r="P58" s="44">
        <v>1275</v>
      </c>
      <c r="Q58" s="44">
        <v>1275</v>
      </c>
      <c r="R58" s="45">
        <v>15.539</v>
      </c>
      <c r="S58" s="46">
        <v>0</v>
      </c>
      <c r="T58" s="39">
        <f t="shared" si="19"/>
        <v>12</v>
      </c>
      <c r="U58" s="47">
        <f t="shared" si="20"/>
        <v>6.7582992465696195E-3</v>
      </c>
      <c r="V58" s="48">
        <f t="shared" si="21"/>
        <v>0</v>
      </c>
      <c r="W58" s="49">
        <f t="shared" si="22"/>
        <v>5.6319160388080159E-4</v>
      </c>
      <c r="X58" s="44">
        <f t="shared" si="23"/>
        <v>746.85829244664319</v>
      </c>
      <c r="Y58" s="44">
        <f t="shared" si="24"/>
        <v>0</v>
      </c>
      <c r="Z58" s="44">
        <f t="shared" si="25"/>
        <v>4445.0080486201841</v>
      </c>
      <c r="AA58" s="50">
        <f t="shared" si="26"/>
        <v>2021.8582924466432</v>
      </c>
      <c r="AB58" s="51">
        <f t="shared" si="27"/>
        <v>4161.9925548878127</v>
      </c>
      <c r="AC58" s="44">
        <f t="shared" si="28"/>
        <v>1893.1257419912388</v>
      </c>
      <c r="AD58" s="44">
        <f t="shared" si="29"/>
        <v>2120.7115661771722</v>
      </c>
      <c r="AE58" s="44">
        <f t="shared" si="30"/>
        <v>0</v>
      </c>
      <c r="AF58" s="52">
        <f>HLOOKUP(I58,ElecAvoidedCostsWOCC!$A$5:$Q$50,G58+1,FALSE)</f>
        <v>0.91128284670075355</v>
      </c>
      <c r="AG58" s="44">
        <f t="shared" si="31"/>
        <v>7126.2318611998926</v>
      </c>
      <c r="AH58" s="52">
        <f>HLOOKUP(I58,ElecAvoidedCostsWOCC!$A$5:$Q$50,T58+1,FALSE)</f>
        <v>0.91128284670075355</v>
      </c>
      <c r="AI58" s="44">
        <f t="shared" si="32"/>
        <v>0</v>
      </c>
      <c r="AJ58" s="44">
        <f t="shared" si="33"/>
        <v>7126.2318611998926</v>
      </c>
      <c r="AK58" s="44">
        <f>HLOOKUP(I58,ElecAvoidedCostsWOCC!$A$5:$Q$50,G58+1,FALSE)*J58*L58</f>
        <v>0</v>
      </c>
      <c r="AL58" s="44">
        <f t="shared" si="34"/>
        <v>7126.2318611998926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7126.2318611998935</v>
      </c>
      <c r="AN58" s="48">
        <f t="shared" si="35"/>
        <v>9959.5666134970561</v>
      </c>
      <c r="AO58" s="47">
        <f t="shared" si="36"/>
        <v>1.7122163884774133</v>
      </c>
      <c r="AP58" s="47">
        <f t="shared" si="37"/>
        <v>5.2609113027121621</v>
      </c>
    </row>
    <row r="59" spans="2:42" x14ac:dyDescent="0.35">
      <c r="B59" s="97" t="s">
        <v>67</v>
      </c>
      <c r="C59" s="98">
        <v>18231134</v>
      </c>
      <c r="D59" s="61" t="s">
        <v>167</v>
      </c>
      <c r="E59" s="38" t="s">
        <v>1655</v>
      </c>
      <c r="F59" s="39" t="s">
        <v>1656</v>
      </c>
      <c r="G59" s="39">
        <v>12</v>
      </c>
      <c r="H59" s="39"/>
      <c r="I59" s="40" t="s">
        <v>262</v>
      </c>
      <c r="J59" s="41">
        <v>52</v>
      </c>
      <c r="K59" s="41">
        <v>1056</v>
      </c>
      <c r="L59" s="41"/>
      <c r="M59" s="42">
        <v>75</v>
      </c>
      <c r="N59" s="42">
        <v>75</v>
      </c>
      <c r="O59" s="43">
        <v>54912</v>
      </c>
      <c r="P59" s="44">
        <v>3900</v>
      </c>
      <c r="Q59" s="44">
        <v>3900</v>
      </c>
      <c r="R59" s="45">
        <v>35.670999999999999</v>
      </c>
      <c r="S59" s="46">
        <v>0</v>
      </c>
      <c r="T59" s="39">
        <f t="shared" si="19"/>
        <v>12</v>
      </c>
      <c r="U59" s="47">
        <f t="shared" si="20"/>
        <v>4.745674274010625E-2</v>
      </c>
      <c r="V59" s="48">
        <f t="shared" si="21"/>
        <v>0</v>
      </c>
      <c r="W59" s="49">
        <f t="shared" si="22"/>
        <v>3.9547285616755206E-3</v>
      </c>
      <c r="X59" s="44">
        <f t="shared" si="23"/>
        <v>5244.4351093133073</v>
      </c>
      <c r="Y59" s="44">
        <f t="shared" si="24"/>
        <v>0</v>
      </c>
      <c r="Z59" s="44">
        <f t="shared" si="25"/>
        <v>31212.823780796873</v>
      </c>
      <c r="AA59" s="50">
        <f t="shared" si="26"/>
        <v>9144.4351093133082</v>
      </c>
      <c r="AB59" s="51">
        <f t="shared" si="27"/>
        <v>29225.490431457743</v>
      </c>
      <c r="AC59" s="44">
        <f t="shared" si="28"/>
        <v>8562.2051585330591</v>
      </c>
      <c r="AD59" s="44">
        <f t="shared" si="29"/>
        <v>14891.150230764748</v>
      </c>
      <c r="AE59" s="44">
        <f t="shared" si="30"/>
        <v>0</v>
      </c>
      <c r="AF59" s="52">
        <f>HLOOKUP(I59,ElecAvoidedCostsWOCC!$A$5:$Q$50,G59+1,FALSE)</f>
        <v>0.91128284670075355</v>
      </c>
      <c r="AG59" s="44">
        <f t="shared" si="31"/>
        <v>50040.363678031783</v>
      </c>
      <c r="AH59" s="52">
        <f>HLOOKUP(I59,ElecAvoidedCostsWOCC!$A$5:$Q$50,T59+1,FALSE)</f>
        <v>0.91128284670075355</v>
      </c>
      <c r="AI59" s="44">
        <f t="shared" si="32"/>
        <v>0</v>
      </c>
      <c r="AJ59" s="44">
        <f t="shared" si="33"/>
        <v>50040.363678031783</v>
      </c>
      <c r="AK59" s="44">
        <f>HLOOKUP(I59,ElecAvoidedCostsWOCC!$A$5:$Q$50,G59+1,FALSE)*J59*L59</f>
        <v>0</v>
      </c>
      <c r="AL59" s="44">
        <f t="shared" si="34"/>
        <v>50040.363678031783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50040.363678031776</v>
      </c>
      <c r="AN59" s="48">
        <f t="shared" si="35"/>
        <v>69935.550276599708</v>
      </c>
      <c r="AO59" s="47">
        <f t="shared" si="36"/>
        <v>1.7122163884774133</v>
      </c>
      <c r="AP59" s="47">
        <f t="shared" si="37"/>
        <v>8.1679367618168115</v>
      </c>
    </row>
    <row r="60" spans="2:42" x14ac:dyDescent="0.35">
      <c r="B60" s="97" t="s">
        <v>67</v>
      </c>
      <c r="C60" s="98">
        <v>18231134</v>
      </c>
      <c r="D60" s="61" t="s">
        <v>167</v>
      </c>
      <c r="E60" s="38" t="s">
        <v>1657</v>
      </c>
      <c r="F60" s="39" t="s">
        <v>1658</v>
      </c>
      <c r="G60" s="39">
        <v>12</v>
      </c>
      <c r="H60" s="39"/>
      <c r="I60" s="40" t="s">
        <v>262</v>
      </c>
      <c r="J60" s="41">
        <v>9</v>
      </c>
      <c r="K60" s="41">
        <v>920</v>
      </c>
      <c r="L60" s="41"/>
      <c r="M60" s="42">
        <v>127</v>
      </c>
      <c r="N60" s="42">
        <v>127</v>
      </c>
      <c r="O60" s="43">
        <v>8280</v>
      </c>
      <c r="P60" s="44">
        <v>1143</v>
      </c>
      <c r="Q60" s="44">
        <v>1143</v>
      </c>
      <c r="R60" s="45">
        <v>31.077000000000002</v>
      </c>
      <c r="S60" s="46">
        <v>0</v>
      </c>
      <c r="T60" s="39">
        <f t="shared" si="19"/>
        <v>12</v>
      </c>
      <c r="U60" s="47">
        <f t="shared" si="20"/>
        <v>7.1558462610737143E-3</v>
      </c>
      <c r="V60" s="48">
        <f t="shared" si="21"/>
        <v>0</v>
      </c>
      <c r="W60" s="49">
        <f t="shared" si="22"/>
        <v>5.9632052175614286E-4</v>
      </c>
      <c r="X60" s="44">
        <f t="shared" si="23"/>
        <v>790.79113317879865</v>
      </c>
      <c r="Y60" s="44">
        <f t="shared" si="24"/>
        <v>0</v>
      </c>
      <c r="Z60" s="44">
        <f t="shared" si="25"/>
        <v>4706.4791103037242</v>
      </c>
      <c r="AA60" s="50">
        <f t="shared" si="26"/>
        <v>1933.7911331787986</v>
      </c>
      <c r="AB60" s="51">
        <f t="shared" si="27"/>
        <v>4406.8156463518017</v>
      </c>
      <c r="AC60" s="44">
        <f t="shared" si="28"/>
        <v>1810.6658550363281</v>
      </c>
      <c r="AD60" s="44">
        <f t="shared" si="29"/>
        <v>2245.3870529892224</v>
      </c>
      <c r="AE60" s="44">
        <f t="shared" si="30"/>
        <v>0</v>
      </c>
      <c r="AF60" s="52">
        <f>HLOOKUP(I60,ElecAvoidedCostsWOCC!$A$5:$Q$50,G60+1,FALSE)</f>
        <v>0.91128284670075355</v>
      </c>
      <c r="AG60" s="44">
        <f t="shared" si="31"/>
        <v>7545.4219706822387</v>
      </c>
      <c r="AH60" s="52">
        <f>HLOOKUP(I60,ElecAvoidedCostsWOCC!$A$5:$Q$50,T60+1,FALSE)</f>
        <v>0.91128284670075355</v>
      </c>
      <c r="AI60" s="44">
        <f t="shared" si="32"/>
        <v>0</v>
      </c>
      <c r="AJ60" s="44">
        <f t="shared" si="33"/>
        <v>7545.4219706822387</v>
      </c>
      <c r="AK60" s="44">
        <f>HLOOKUP(I60,ElecAvoidedCostsWOCC!$A$5:$Q$50,G60+1,FALSE)*J60*L60</f>
        <v>0</v>
      </c>
      <c r="AL60" s="44">
        <f t="shared" si="34"/>
        <v>7545.4219706822387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7545.4219706822396</v>
      </c>
      <c r="AN60" s="48">
        <f t="shared" si="35"/>
        <v>10545.351220739687</v>
      </c>
      <c r="AO60" s="47">
        <f t="shared" si="36"/>
        <v>1.7122163884774133</v>
      </c>
      <c r="AP60" s="47">
        <f t="shared" si="37"/>
        <v>5.8240183805355468</v>
      </c>
    </row>
    <row r="61" spans="2:42" x14ac:dyDescent="0.35">
      <c r="B61" s="97" t="s">
        <v>67</v>
      </c>
      <c r="C61" s="98">
        <v>18231134</v>
      </c>
      <c r="D61" s="61" t="s">
        <v>167</v>
      </c>
      <c r="E61" s="38" t="s">
        <v>1659</v>
      </c>
      <c r="F61" s="39" t="s">
        <v>1660</v>
      </c>
      <c r="G61" s="39">
        <v>12</v>
      </c>
      <c r="H61" s="39"/>
      <c r="I61" s="40" t="s">
        <v>262</v>
      </c>
      <c r="J61" s="41">
        <v>291</v>
      </c>
      <c r="K61" s="41">
        <v>145</v>
      </c>
      <c r="L61" s="41"/>
      <c r="M61" s="42">
        <v>37</v>
      </c>
      <c r="N61" s="42">
        <v>37</v>
      </c>
      <c r="O61" s="43">
        <v>42195</v>
      </c>
      <c r="P61" s="44">
        <v>10767</v>
      </c>
      <c r="Q61" s="44">
        <v>10767</v>
      </c>
      <c r="R61" s="45">
        <v>4.8979999999999997</v>
      </c>
      <c r="S61" s="46">
        <v>0</v>
      </c>
      <c r="T61" s="39">
        <f t="shared" si="19"/>
        <v>12</v>
      </c>
      <c r="U61" s="47">
        <f t="shared" si="20"/>
        <v>3.6466296254348468E-2</v>
      </c>
      <c r="V61" s="48">
        <f t="shared" si="21"/>
        <v>0</v>
      </c>
      <c r="W61" s="49">
        <f t="shared" si="22"/>
        <v>3.038858021195706E-3</v>
      </c>
      <c r="X61" s="44">
        <f t="shared" si="23"/>
        <v>4029.8830754202181</v>
      </c>
      <c r="Y61" s="44">
        <f t="shared" si="24"/>
        <v>0</v>
      </c>
      <c r="Z61" s="44">
        <f t="shared" si="25"/>
        <v>23984.285755949957</v>
      </c>
      <c r="AA61" s="50">
        <f t="shared" si="26"/>
        <v>14796.883075420217</v>
      </c>
      <c r="AB61" s="51">
        <f t="shared" si="27"/>
        <v>22457.196400702207</v>
      </c>
      <c r="AC61" s="44">
        <f t="shared" si="28"/>
        <v>13854.75943391406</v>
      </c>
      <c r="AD61" s="44">
        <f t="shared" si="29"/>
        <v>11442.512267352031</v>
      </c>
      <c r="AE61" s="44">
        <f t="shared" si="30"/>
        <v>0</v>
      </c>
      <c r="AF61" s="52">
        <f>HLOOKUP(I61,ElecAvoidedCostsWOCC!$A$5:$Q$50,G61+1,FALSE)</f>
        <v>0.91128284670075355</v>
      </c>
      <c r="AG61" s="44">
        <f t="shared" si="31"/>
        <v>38451.57971653829</v>
      </c>
      <c r="AH61" s="52">
        <f>HLOOKUP(I61,ElecAvoidedCostsWOCC!$A$5:$Q$50,T61+1,FALSE)</f>
        <v>0.91128284670075355</v>
      </c>
      <c r="AI61" s="44">
        <f t="shared" si="32"/>
        <v>0</v>
      </c>
      <c r="AJ61" s="44">
        <f t="shared" si="33"/>
        <v>38451.57971653829</v>
      </c>
      <c r="AK61" s="44">
        <f>HLOOKUP(I61,ElecAvoidedCostsWOCC!$A$5:$Q$50,G61+1,FALSE)*J61*L61</f>
        <v>0</v>
      </c>
      <c r="AL61" s="44">
        <f t="shared" si="34"/>
        <v>38451.57971653829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38451.579716538297</v>
      </c>
      <c r="AN61" s="48">
        <f t="shared" si="35"/>
        <v>53739.249955544161</v>
      </c>
      <c r="AO61" s="47">
        <f t="shared" si="36"/>
        <v>1.7122163884774133</v>
      </c>
      <c r="AP61" s="47">
        <f t="shared" si="37"/>
        <v>3.8787573477457684</v>
      </c>
    </row>
    <row r="62" spans="2:42" x14ac:dyDescent="0.35">
      <c r="B62" s="97" t="s">
        <v>67</v>
      </c>
      <c r="C62" s="98">
        <v>18231134</v>
      </c>
      <c r="D62" s="61" t="s">
        <v>167</v>
      </c>
      <c r="E62" s="38" t="s">
        <v>1661</v>
      </c>
      <c r="F62" s="39" t="s">
        <v>1662</v>
      </c>
      <c r="G62" s="39">
        <v>12</v>
      </c>
      <c r="H62" s="39"/>
      <c r="I62" s="40" t="s">
        <v>262</v>
      </c>
      <c r="J62" s="41">
        <v>40</v>
      </c>
      <c r="K62" s="41">
        <v>290</v>
      </c>
      <c r="L62" s="41"/>
      <c r="M62" s="42">
        <v>65</v>
      </c>
      <c r="N62" s="42">
        <v>65</v>
      </c>
      <c r="O62" s="43">
        <v>11600</v>
      </c>
      <c r="P62" s="44">
        <v>2600</v>
      </c>
      <c r="Q62" s="44">
        <v>2600</v>
      </c>
      <c r="R62" s="45">
        <v>0</v>
      </c>
      <c r="S62" s="46">
        <v>0</v>
      </c>
      <c r="T62" s="39">
        <f t="shared" si="19"/>
        <v>12</v>
      </c>
      <c r="U62" s="47">
        <f t="shared" si="20"/>
        <v>1.0025098626625008E-2</v>
      </c>
      <c r="V62" s="48">
        <f t="shared" si="21"/>
        <v>0</v>
      </c>
      <c r="W62" s="49">
        <f t="shared" si="22"/>
        <v>8.3542488555208411E-4</v>
      </c>
      <c r="X62" s="44">
        <f t="shared" si="23"/>
        <v>1107.8716358543554</v>
      </c>
      <c r="Y62" s="44">
        <f t="shared" si="24"/>
        <v>0</v>
      </c>
      <c r="Z62" s="44">
        <f t="shared" si="25"/>
        <v>6593.6180772371017</v>
      </c>
      <c r="AA62" s="50">
        <f t="shared" si="26"/>
        <v>3707.8716358543552</v>
      </c>
      <c r="AB62" s="51">
        <f t="shared" si="27"/>
        <v>6173.7996977875482</v>
      </c>
      <c r="AC62" s="44">
        <f t="shared" si="28"/>
        <v>3471.7899212119428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0.91128284670075355</v>
      </c>
      <c r="AG62" s="44">
        <f t="shared" si="31"/>
        <v>10570.881021728741</v>
      </c>
      <c r="AH62" s="52">
        <f>HLOOKUP(I62,ElecAvoidedCostsWOCC!$A$5:$Q$50,T62+1,FALSE)</f>
        <v>0.91128284670075355</v>
      </c>
      <c r="AI62" s="44">
        <f t="shared" si="32"/>
        <v>0</v>
      </c>
      <c r="AJ62" s="44">
        <f t="shared" si="33"/>
        <v>10570.881021728741</v>
      </c>
      <c r="AK62" s="44">
        <f>HLOOKUP(I62,ElecAvoidedCostsWOCC!$A$5:$Q$50,G62+1,FALSE)*J62*L62</f>
        <v>0</v>
      </c>
      <c r="AL62" s="44">
        <f t="shared" si="34"/>
        <v>10570.881021728741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10570.881021728743</v>
      </c>
      <c r="AN62" s="48">
        <f t="shared" si="35"/>
        <v>11627.969123901617</v>
      </c>
      <c r="AO62" s="47">
        <f t="shared" si="36"/>
        <v>1.7122163884774135</v>
      </c>
      <c r="AP62" s="47">
        <f t="shared" si="37"/>
        <v>3.3492721010730082</v>
      </c>
    </row>
    <row r="63" spans="2:42" x14ac:dyDescent="0.35">
      <c r="B63" s="97" t="s">
        <v>67</v>
      </c>
      <c r="C63" s="98">
        <v>18231134</v>
      </c>
      <c r="D63" s="61" t="s">
        <v>167</v>
      </c>
      <c r="E63" s="38" t="s">
        <v>1663</v>
      </c>
      <c r="F63" s="39" t="s">
        <v>1662</v>
      </c>
      <c r="G63" s="39">
        <v>12</v>
      </c>
      <c r="H63" s="39"/>
      <c r="I63" s="40" t="s">
        <v>262</v>
      </c>
      <c r="J63" s="41">
        <v>133</v>
      </c>
      <c r="K63" s="41">
        <v>290</v>
      </c>
      <c r="L63" s="41"/>
      <c r="M63" s="42">
        <v>75</v>
      </c>
      <c r="N63" s="42">
        <v>75</v>
      </c>
      <c r="O63" s="43">
        <v>38570</v>
      </c>
      <c r="P63" s="44">
        <v>9975</v>
      </c>
      <c r="Q63" s="44">
        <v>9975</v>
      </c>
      <c r="R63" s="45">
        <v>9.7959999999999994</v>
      </c>
      <c r="S63" s="46">
        <v>0</v>
      </c>
      <c r="T63" s="39">
        <f t="shared" si="19"/>
        <v>12</v>
      </c>
      <c r="U63" s="47">
        <f t="shared" si="20"/>
        <v>3.3333452933528157E-2</v>
      </c>
      <c r="V63" s="48">
        <f t="shared" si="21"/>
        <v>0</v>
      </c>
      <c r="W63" s="49">
        <f t="shared" si="22"/>
        <v>2.7777877444606796E-3</v>
      </c>
      <c r="X63" s="44">
        <f t="shared" si="23"/>
        <v>3683.6731892157318</v>
      </c>
      <c r="Y63" s="44">
        <f t="shared" si="24"/>
        <v>0</v>
      </c>
      <c r="Z63" s="44">
        <f t="shared" si="25"/>
        <v>21923.780106813363</v>
      </c>
      <c r="AA63" s="50">
        <f t="shared" si="26"/>
        <v>13658.673189215731</v>
      </c>
      <c r="AB63" s="51">
        <f t="shared" si="27"/>
        <v>20527.883995143598</v>
      </c>
      <c r="AC63" s="44">
        <f t="shared" si="28"/>
        <v>12789.019840089635</v>
      </c>
      <c r="AD63" s="44">
        <f t="shared" si="29"/>
        <v>10459.478567407697</v>
      </c>
      <c r="AE63" s="44">
        <f t="shared" si="30"/>
        <v>0</v>
      </c>
      <c r="AF63" s="52">
        <f>HLOOKUP(I63,ElecAvoidedCostsWOCC!$A$5:$Q$50,G63+1,FALSE)</f>
        <v>0.91128284670075355</v>
      </c>
      <c r="AG63" s="44">
        <f t="shared" si="31"/>
        <v>35148.179397248066</v>
      </c>
      <c r="AH63" s="52">
        <f>HLOOKUP(I63,ElecAvoidedCostsWOCC!$A$5:$Q$50,T63+1,FALSE)</f>
        <v>0.91128284670075355</v>
      </c>
      <c r="AI63" s="44">
        <f t="shared" si="32"/>
        <v>0</v>
      </c>
      <c r="AJ63" s="44">
        <f t="shared" si="33"/>
        <v>35148.179397248066</v>
      </c>
      <c r="AK63" s="44">
        <f>HLOOKUP(I63,ElecAvoidedCostsWOCC!$A$5:$Q$50,G63+1,FALSE)*J63*L63</f>
        <v>0</v>
      </c>
      <c r="AL63" s="44">
        <f t="shared" si="34"/>
        <v>35148.179397248066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35148.179397248066</v>
      </c>
      <c r="AN63" s="48">
        <f t="shared" si="35"/>
        <v>49122.475904380575</v>
      </c>
      <c r="AO63" s="47">
        <f t="shared" si="36"/>
        <v>1.7122163884774133</v>
      </c>
      <c r="AP63" s="47">
        <f t="shared" si="37"/>
        <v>3.8409883258134259</v>
      </c>
    </row>
    <row r="64" spans="2:42" x14ac:dyDescent="0.35">
      <c r="B64" s="97" t="s">
        <v>67</v>
      </c>
      <c r="C64" s="98">
        <v>18231134</v>
      </c>
      <c r="D64" s="61" t="s">
        <v>167</v>
      </c>
      <c r="E64" s="38" t="s">
        <v>1664</v>
      </c>
      <c r="F64" s="39" t="s">
        <v>1665</v>
      </c>
      <c r="G64" s="39">
        <v>12</v>
      </c>
      <c r="H64" s="39"/>
      <c r="I64" s="40" t="s">
        <v>262</v>
      </c>
      <c r="J64" s="41">
        <v>2</v>
      </c>
      <c r="K64" s="41">
        <v>443</v>
      </c>
      <c r="L64" s="41"/>
      <c r="M64" s="42">
        <v>75</v>
      </c>
      <c r="N64" s="42">
        <v>75</v>
      </c>
      <c r="O64" s="43">
        <v>886</v>
      </c>
      <c r="P64" s="44">
        <v>150</v>
      </c>
      <c r="Q64" s="44">
        <v>150</v>
      </c>
      <c r="R64" s="45">
        <v>14.964</v>
      </c>
      <c r="S64" s="46">
        <v>0</v>
      </c>
      <c r="T64" s="39">
        <f t="shared" si="19"/>
        <v>12</v>
      </c>
      <c r="U64" s="47">
        <f t="shared" si="20"/>
        <v>7.6571011924049645E-4</v>
      </c>
      <c r="V64" s="48">
        <f t="shared" si="21"/>
        <v>0</v>
      </c>
      <c r="W64" s="49">
        <f t="shared" si="22"/>
        <v>6.3809176603374704E-5</v>
      </c>
      <c r="X64" s="44">
        <f t="shared" si="23"/>
        <v>84.618471497151646</v>
      </c>
      <c r="Y64" s="44">
        <f t="shared" si="24"/>
        <v>0</v>
      </c>
      <c r="Z64" s="44">
        <f t="shared" si="25"/>
        <v>503.61600141655794</v>
      </c>
      <c r="AA64" s="50">
        <f t="shared" si="26"/>
        <v>234.61847149715163</v>
      </c>
      <c r="AB64" s="51">
        <f t="shared" si="27"/>
        <v>471.5505631241179</v>
      </c>
      <c r="AC64" s="44">
        <f t="shared" si="28"/>
        <v>219.68021675763259</v>
      </c>
      <c r="AD64" s="44">
        <f t="shared" si="29"/>
        <v>240.26323047720695</v>
      </c>
      <c r="AE64" s="44">
        <f t="shared" si="30"/>
        <v>0</v>
      </c>
      <c r="AF64" s="52">
        <f>HLOOKUP(I64,ElecAvoidedCostsWOCC!$A$5:$Q$50,G64+1,FALSE)</f>
        <v>0.91128284670075355</v>
      </c>
      <c r="AG64" s="44">
        <f t="shared" si="31"/>
        <v>807.39660217686765</v>
      </c>
      <c r="AH64" s="52">
        <f>HLOOKUP(I64,ElecAvoidedCostsWOCC!$A$5:$Q$50,T64+1,FALSE)</f>
        <v>0.91128284670075355</v>
      </c>
      <c r="AI64" s="44">
        <f t="shared" si="32"/>
        <v>0</v>
      </c>
      <c r="AJ64" s="44">
        <f t="shared" si="33"/>
        <v>807.39660217686765</v>
      </c>
      <c r="AK64" s="44">
        <f>HLOOKUP(I64,ElecAvoidedCostsWOCC!$A$5:$Q$50,G64+1,FALSE)*J64*L64</f>
        <v>0</v>
      </c>
      <c r="AL64" s="44">
        <f t="shared" si="34"/>
        <v>807.39660217686765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807.39660217686765</v>
      </c>
      <c r="AN64" s="48">
        <f t="shared" si="35"/>
        <v>1128.3994928717614</v>
      </c>
      <c r="AO64" s="47">
        <f t="shared" si="36"/>
        <v>1.7122163884774133</v>
      </c>
      <c r="AP64" s="47">
        <f t="shared" si="37"/>
        <v>5.1365548956859177</v>
      </c>
    </row>
    <row r="65" spans="2:42" x14ac:dyDescent="0.35">
      <c r="B65" s="97" t="s">
        <v>67</v>
      </c>
      <c r="C65" s="98">
        <v>18231134</v>
      </c>
      <c r="D65" s="61" t="s">
        <v>167</v>
      </c>
      <c r="E65" s="38" t="s">
        <v>1666</v>
      </c>
      <c r="F65" s="39" t="s">
        <v>1667</v>
      </c>
      <c r="G65" s="39">
        <v>12</v>
      </c>
      <c r="H65" s="39"/>
      <c r="I65" s="40" t="s">
        <v>262</v>
      </c>
      <c r="J65" s="41">
        <v>39</v>
      </c>
      <c r="K65" s="41">
        <v>358</v>
      </c>
      <c r="L65" s="41"/>
      <c r="M65" s="42">
        <v>78</v>
      </c>
      <c r="N65" s="42">
        <v>78</v>
      </c>
      <c r="O65" s="43">
        <v>13962</v>
      </c>
      <c r="P65" s="44">
        <v>3042</v>
      </c>
      <c r="Q65" s="44">
        <v>3042</v>
      </c>
      <c r="R65" s="45">
        <v>12.093</v>
      </c>
      <c r="S65" s="46">
        <v>0</v>
      </c>
      <c r="T65" s="39">
        <f t="shared" si="19"/>
        <v>12</v>
      </c>
      <c r="U65" s="47">
        <f t="shared" si="20"/>
        <v>1.2066416122839516E-2</v>
      </c>
      <c r="V65" s="48">
        <f t="shared" si="21"/>
        <v>0</v>
      </c>
      <c r="W65" s="49">
        <f t="shared" si="22"/>
        <v>1.005534676903293E-3</v>
      </c>
      <c r="X65" s="44">
        <f t="shared" si="23"/>
        <v>1333.4572223964233</v>
      </c>
      <c r="Y65" s="44">
        <f t="shared" si="24"/>
        <v>0</v>
      </c>
      <c r="Z65" s="44">
        <f t="shared" si="25"/>
        <v>7936.2151374469322</v>
      </c>
      <c r="AA65" s="50">
        <f t="shared" si="26"/>
        <v>4375.4572223964233</v>
      </c>
      <c r="AB65" s="51">
        <f t="shared" si="27"/>
        <v>7430.9130500439433</v>
      </c>
      <c r="AC65" s="44">
        <f t="shared" si="28"/>
        <v>4096.8700584236167</v>
      </c>
      <c r="AD65" s="44">
        <f t="shared" si="29"/>
        <v>3786.2411988864501</v>
      </c>
      <c r="AE65" s="44">
        <f t="shared" si="30"/>
        <v>0</v>
      </c>
      <c r="AF65" s="52">
        <f>HLOOKUP(I65,ElecAvoidedCostsWOCC!$A$5:$Q$50,G65+1,FALSE)</f>
        <v>0.91128284670075355</v>
      </c>
      <c r="AG65" s="44">
        <f t="shared" si="31"/>
        <v>12723.331105635922</v>
      </c>
      <c r="AH65" s="52">
        <f>HLOOKUP(I65,ElecAvoidedCostsWOCC!$A$5:$Q$50,T65+1,FALSE)</f>
        <v>0.91128284670075355</v>
      </c>
      <c r="AI65" s="44">
        <f t="shared" si="32"/>
        <v>0</v>
      </c>
      <c r="AJ65" s="44">
        <f t="shared" si="33"/>
        <v>12723.331105635922</v>
      </c>
      <c r="AK65" s="44">
        <f>HLOOKUP(I65,ElecAvoidedCostsWOCC!$A$5:$Q$50,G65+1,FALSE)*J65*L65</f>
        <v>0</v>
      </c>
      <c r="AL65" s="44">
        <f t="shared" si="34"/>
        <v>12723.331105635922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12723.331105635922</v>
      </c>
      <c r="AN65" s="48">
        <f t="shared" si="35"/>
        <v>17781.905415085967</v>
      </c>
      <c r="AO65" s="47">
        <f t="shared" si="36"/>
        <v>1.7122163884774135</v>
      </c>
      <c r="AP65" s="47">
        <f t="shared" si="37"/>
        <v>4.3403635364329913</v>
      </c>
    </row>
    <row r="66" spans="2:42" x14ac:dyDescent="0.35">
      <c r="B66" s="97" t="s">
        <v>67</v>
      </c>
      <c r="C66" s="98">
        <v>18231134</v>
      </c>
      <c r="D66" s="61" t="s">
        <v>167</v>
      </c>
      <c r="E66" s="38" t="s">
        <v>1668</v>
      </c>
      <c r="F66" s="39" t="s">
        <v>1669</v>
      </c>
      <c r="G66" s="39">
        <v>12</v>
      </c>
      <c r="H66" s="39"/>
      <c r="I66" s="40" t="s">
        <v>262</v>
      </c>
      <c r="J66" s="41">
        <v>32</v>
      </c>
      <c r="K66" s="41">
        <v>886</v>
      </c>
      <c r="L66" s="41"/>
      <c r="M66" s="42">
        <v>100</v>
      </c>
      <c r="N66" s="42">
        <v>100</v>
      </c>
      <c r="O66" s="43">
        <v>28352</v>
      </c>
      <c r="P66" s="44">
        <v>3200</v>
      </c>
      <c r="Q66" s="44">
        <v>3200</v>
      </c>
      <c r="R66" s="45">
        <v>29.928999999999998</v>
      </c>
      <c r="S66" s="46">
        <v>0</v>
      </c>
      <c r="T66" s="39">
        <f t="shared" si="19"/>
        <v>12</v>
      </c>
      <c r="U66" s="47">
        <f t="shared" si="20"/>
        <v>2.4502723815695886E-2</v>
      </c>
      <c r="V66" s="48">
        <f t="shared" si="21"/>
        <v>0</v>
      </c>
      <c r="W66" s="49">
        <f t="shared" si="22"/>
        <v>2.0418936513079905E-3</v>
      </c>
      <c r="X66" s="44">
        <f t="shared" si="23"/>
        <v>2707.7910879088527</v>
      </c>
      <c r="Y66" s="44">
        <f t="shared" si="24"/>
        <v>0</v>
      </c>
      <c r="Z66" s="44">
        <f t="shared" si="25"/>
        <v>16115.712045329854</v>
      </c>
      <c r="AA66" s="50">
        <f t="shared" si="26"/>
        <v>5907.7910879088522</v>
      </c>
      <c r="AB66" s="51">
        <f t="shared" si="27"/>
        <v>15089.618019971773</v>
      </c>
      <c r="AC66" s="44">
        <f t="shared" si="28"/>
        <v>5531.6395954202735</v>
      </c>
      <c r="AD66" s="44">
        <f t="shared" si="29"/>
        <v>7688.6802726033948</v>
      </c>
      <c r="AE66" s="44">
        <f t="shared" si="30"/>
        <v>0</v>
      </c>
      <c r="AF66" s="52">
        <f>HLOOKUP(I66,ElecAvoidedCostsWOCC!$A$5:$Q$50,G66+1,FALSE)</f>
        <v>0.91128284670075355</v>
      </c>
      <c r="AG66" s="44">
        <f t="shared" si="31"/>
        <v>25836.691269659765</v>
      </c>
      <c r="AH66" s="52">
        <f>HLOOKUP(I66,ElecAvoidedCostsWOCC!$A$5:$Q$50,T66+1,FALSE)</f>
        <v>0.91128284670075355</v>
      </c>
      <c r="AI66" s="44">
        <f t="shared" si="32"/>
        <v>0</v>
      </c>
      <c r="AJ66" s="44">
        <f t="shared" si="33"/>
        <v>25836.691269659765</v>
      </c>
      <c r="AK66" s="44">
        <f>HLOOKUP(I66,ElecAvoidedCostsWOCC!$A$5:$Q$50,G66+1,FALSE)*J66*L66</f>
        <v>0</v>
      </c>
      <c r="AL66" s="44">
        <f t="shared" si="34"/>
        <v>25836.691269659765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25836.691269659765</v>
      </c>
      <c r="AN66" s="48">
        <f t="shared" si="35"/>
        <v>36109.040669229136</v>
      </c>
      <c r="AO66" s="47">
        <f t="shared" si="36"/>
        <v>1.7122163884774133</v>
      </c>
      <c r="AP66" s="47">
        <f t="shared" si="37"/>
        <v>6.52772836088677</v>
      </c>
    </row>
    <row r="67" spans="2:42" x14ac:dyDescent="0.35">
      <c r="B67" s="97" t="s">
        <v>67</v>
      </c>
      <c r="C67" s="98">
        <v>18231134</v>
      </c>
      <c r="D67" s="61" t="s">
        <v>167</v>
      </c>
      <c r="E67" s="38" t="s">
        <v>1670</v>
      </c>
      <c r="F67" s="39" t="s">
        <v>1671</v>
      </c>
      <c r="G67" s="39">
        <v>12</v>
      </c>
      <c r="H67" s="39"/>
      <c r="I67" s="40" t="s">
        <v>262</v>
      </c>
      <c r="J67" s="41">
        <v>4</v>
      </c>
      <c r="K67" s="41">
        <v>886</v>
      </c>
      <c r="L67" s="41"/>
      <c r="M67" s="42">
        <v>100</v>
      </c>
      <c r="N67" s="42">
        <v>100</v>
      </c>
      <c r="O67" s="43">
        <v>3544</v>
      </c>
      <c r="P67" s="44">
        <v>400</v>
      </c>
      <c r="Q67" s="44">
        <v>400</v>
      </c>
      <c r="R67" s="45">
        <v>29.928999999999998</v>
      </c>
      <c r="S67" s="46">
        <v>0</v>
      </c>
      <c r="T67" s="39">
        <f t="shared" si="19"/>
        <v>12</v>
      </c>
      <c r="U67" s="47">
        <f t="shared" si="20"/>
        <v>3.0628404769619858E-3</v>
      </c>
      <c r="V67" s="48">
        <f t="shared" si="21"/>
        <v>0</v>
      </c>
      <c r="W67" s="49">
        <f t="shared" si="22"/>
        <v>2.5523670641349882E-4</v>
      </c>
      <c r="X67" s="44">
        <f t="shared" si="23"/>
        <v>338.47388598860658</v>
      </c>
      <c r="Y67" s="44">
        <f t="shared" si="24"/>
        <v>0</v>
      </c>
      <c r="Z67" s="44">
        <f t="shared" si="25"/>
        <v>2014.4640056662317</v>
      </c>
      <c r="AA67" s="50">
        <f t="shared" si="26"/>
        <v>738.47388598860653</v>
      </c>
      <c r="AB67" s="51">
        <f t="shared" si="27"/>
        <v>1886.2022524964716</v>
      </c>
      <c r="AC67" s="44">
        <f t="shared" si="28"/>
        <v>691.45494942753419</v>
      </c>
      <c r="AD67" s="44">
        <f t="shared" si="29"/>
        <v>961.08503407542435</v>
      </c>
      <c r="AE67" s="44">
        <f t="shared" si="30"/>
        <v>0</v>
      </c>
      <c r="AF67" s="52">
        <f>HLOOKUP(I67,ElecAvoidedCostsWOCC!$A$5:$Q$50,G67+1,FALSE)</f>
        <v>0.91128284670075355</v>
      </c>
      <c r="AG67" s="44">
        <f t="shared" si="31"/>
        <v>3229.5864087074706</v>
      </c>
      <c r="AH67" s="52">
        <f>HLOOKUP(I67,ElecAvoidedCostsWOCC!$A$5:$Q$50,T67+1,FALSE)</f>
        <v>0.91128284670075355</v>
      </c>
      <c r="AI67" s="44">
        <f t="shared" si="32"/>
        <v>0</v>
      </c>
      <c r="AJ67" s="44">
        <f t="shared" si="33"/>
        <v>3229.5864087074706</v>
      </c>
      <c r="AK67" s="44">
        <f>HLOOKUP(I67,ElecAvoidedCostsWOCC!$A$5:$Q$50,G67+1,FALSE)*J67*L67</f>
        <v>0</v>
      </c>
      <c r="AL67" s="44">
        <f t="shared" si="34"/>
        <v>3229.5864087074706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3229.5864087074706</v>
      </c>
      <c r="AN67" s="48">
        <f t="shared" si="35"/>
        <v>4513.630083653642</v>
      </c>
      <c r="AO67" s="47">
        <f t="shared" si="36"/>
        <v>1.7122163884774133</v>
      </c>
      <c r="AP67" s="47">
        <f t="shared" si="37"/>
        <v>6.52772836088677</v>
      </c>
    </row>
    <row r="68" spans="2:42" x14ac:dyDescent="0.35">
      <c r="B68" s="97" t="s">
        <v>67</v>
      </c>
      <c r="C68" s="98">
        <v>18231134</v>
      </c>
      <c r="D68" s="61" t="s">
        <v>167</v>
      </c>
      <c r="E68" s="38" t="s">
        <v>1672</v>
      </c>
      <c r="F68" s="39" t="s">
        <v>1673</v>
      </c>
      <c r="G68" s="39">
        <v>15</v>
      </c>
      <c r="H68" s="39"/>
      <c r="I68" s="40" t="s">
        <v>262</v>
      </c>
      <c r="J68" s="41">
        <v>10</v>
      </c>
      <c r="K68" s="41">
        <v>1075</v>
      </c>
      <c r="L68" s="41"/>
      <c r="M68" s="42">
        <v>153.16999999999999</v>
      </c>
      <c r="N68" s="42">
        <v>218.82</v>
      </c>
      <c r="O68" s="43">
        <v>10750</v>
      </c>
      <c r="P68" s="44">
        <v>2188.1999999999998</v>
      </c>
      <c r="Q68" s="44">
        <v>2188.1999999999998</v>
      </c>
      <c r="R68" s="45">
        <v>0</v>
      </c>
      <c r="S68" s="46">
        <v>0</v>
      </c>
      <c r="T68" s="39">
        <f t="shared" si="19"/>
        <v>15</v>
      </c>
      <c r="U68" s="47">
        <f t="shared" si="20"/>
        <v>1.1613126103040824E-2</v>
      </c>
      <c r="V68" s="48">
        <f t="shared" si="21"/>
        <v>65.650000000000006</v>
      </c>
      <c r="W68" s="49">
        <f t="shared" si="22"/>
        <v>7.742084068693883E-4</v>
      </c>
      <c r="X68" s="44">
        <f t="shared" si="23"/>
        <v>1026.6913866753725</v>
      </c>
      <c r="Y68" s="44">
        <f t="shared" si="24"/>
        <v>0</v>
      </c>
      <c r="Z68" s="44">
        <f t="shared" si="25"/>
        <v>6110.4650284740383</v>
      </c>
      <c r="AA68" s="50">
        <f t="shared" si="26"/>
        <v>3214.8913866753724</v>
      </c>
      <c r="AB68" s="51">
        <f t="shared" si="27"/>
        <v>5721.4092026910466</v>
      </c>
      <c r="AC68" s="44">
        <f t="shared" si="28"/>
        <v>3010.1979275986632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1.0914944041149737</v>
      </c>
      <c r="AG68" s="44">
        <f t="shared" si="31"/>
        <v>11733.564844235967</v>
      </c>
      <c r="AH68" s="52">
        <f>HLOOKUP(I68,ElecAvoidedCostsWOCC!$A$5:$Q$50,T68+1,FALSE)</f>
        <v>1.0914944041149737</v>
      </c>
      <c r="AI68" s="44">
        <f t="shared" si="32"/>
        <v>0</v>
      </c>
      <c r="AJ68" s="44">
        <f t="shared" si="33"/>
        <v>11733.564844235967</v>
      </c>
      <c r="AK68" s="44">
        <f>HLOOKUP(I68,ElecAvoidedCostsWOCC!$A$5:$Q$50,G68+1,FALSE)*J68*L68</f>
        <v>0</v>
      </c>
      <c r="AL68" s="44">
        <f t="shared" si="34"/>
        <v>11733.564844235967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11733.564844235967</v>
      </c>
      <c r="AN68" s="48">
        <f t="shared" si="35"/>
        <v>12906.921328659564</v>
      </c>
      <c r="AO68" s="47">
        <f t="shared" si="36"/>
        <v>2.0508172774492555</v>
      </c>
      <c r="AP68" s="47">
        <f t="shared" si="37"/>
        <v>4.2877317834564623</v>
      </c>
    </row>
    <row r="69" spans="2:42" x14ac:dyDescent="0.35">
      <c r="B69" s="97" t="s">
        <v>67</v>
      </c>
      <c r="C69" s="98">
        <v>18231134</v>
      </c>
      <c r="D69" s="61" t="s">
        <v>167</v>
      </c>
      <c r="E69" s="38" t="s">
        <v>1674</v>
      </c>
      <c r="F69" s="39" t="s">
        <v>1673</v>
      </c>
      <c r="G69" s="39">
        <v>15</v>
      </c>
      <c r="H69" s="39"/>
      <c r="I69" s="40" t="s">
        <v>262</v>
      </c>
      <c r="J69" s="41">
        <v>126</v>
      </c>
      <c r="K69" s="41">
        <v>1075.2</v>
      </c>
      <c r="L69" s="41"/>
      <c r="M69" s="42">
        <v>153.16999999999999</v>
      </c>
      <c r="N69" s="42">
        <v>218.82</v>
      </c>
      <c r="O69" s="43">
        <v>135475.20000000001</v>
      </c>
      <c r="P69" s="44">
        <v>20152.87</v>
      </c>
      <c r="Q69" s="44">
        <v>27571.32</v>
      </c>
      <c r="R69" s="45">
        <v>36.313000000000002</v>
      </c>
      <c r="S69" s="46">
        <v>0</v>
      </c>
      <c r="T69" s="39">
        <f t="shared" si="19"/>
        <v>15</v>
      </c>
      <c r="U69" s="47">
        <f t="shared" si="20"/>
        <v>0.14635261222648155</v>
      </c>
      <c r="V69" s="48">
        <f t="shared" si="21"/>
        <v>65.650000000000006</v>
      </c>
      <c r="W69" s="49">
        <f t="shared" si="22"/>
        <v>9.756840815098769E-3</v>
      </c>
      <c r="X69" s="44">
        <f t="shared" si="23"/>
        <v>12938.718227732414</v>
      </c>
      <c r="Y69" s="44">
        <f t="shared" si="24"/>
        <v>7418.4500000000007</v>
      </c>
      <c r="Z69" s="44">
        <f t="shared" si="25"/>
        <v>77006.183425630341</v>
      </c>
      <c r="AA69" s="50">
        <f t="shared" si="26"/>
        <v>40510.03822773241</v>
      </c>
      <c r="AB69" s="51">
        <f t="shared" si="27"/>
        <v>72103.16800152653</v>
      </c>
      <c r="AC69" s="44">
        <f t="shared" si="28"/>
        <v>37930.747404243826</v>
      </c>
      <c r="AD69" s="44">
        <f t="shared" si="29"/>
        <v>42204.268291043161</v>
      </c>
      <c r="AE69" s="44">
        <f t="shared" si="30"/>
        <v>0</v>
      </c>
      <c r="AF69" s="52">
        <f>HLOOKUP(I69,ElecAvoidedCostsWOCC!$A$5:$Q$50,G69+1,FALSE)</f>
        <v>1.0914944041149737</v>
      </c>
      <c r="AG69" s="44">
        <f t="shared" si="31"/>
        <v>147870.42269635689</v>
      </c>
      <c r="AH69" s="52">
        <f>HLOOKUP(I69,ElecAvoidedCostsWOCC!$A$5:$Q$50,T69+1,FALSE)</f>
        <v>1.0914944041149737</v>
      </c>
      <c r="AI69" s="44">
        <f t="shared" si="32"/>
        <v>0</v>
      </c>
      <c r="AJ69" s="44">
        <f t="shared" si="33"/>
        <v>147870.42269635689</v>
      </c>
      <c r="AK69" s="44">
        <f>HLOOKUP(I69,ElecAvoidedCostsWOCC!$A$5:$Q$50,G69+1,FALSE)*J69*L69</f>
        <v>0</v>
      </c>
      <c r="AL69" s="44">
        <f t="shared" si="34"/>
        <v>147870.42269635689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147870.42269635689</v>
      </c>
      <c r="AN69" s="48">
        <f t="shared" si="35"/>
        <v>204861.73325703578</v>
      </c>
      <c r="AO69" s="47">
        <f t="shared" si="36"/>
        <v>2.050817277449255</v>
      </c>
      <c r="AP69" s="47">
        <f t="shared" si="37"/>
        <v>5.4009411170768313</v>
      </c>
    </row>
    <row r="70" spans="2:42" x14ac:dyDescent="0.35">
      <c r="B70" s="97" t="s">
        <v>67</v>
      </c>
      <c r="C70" s="98">
        <v>18231134</v>
      </c>
      <c r="D70" s="61" t="s">
        <v>167</v>
      </c>
      <c r="E70" s="38" t="s">
        <v>1675</v>
      </c>
      <c r="F70" s="39" t="s">
        <v>1676</v>
      </c>
      <c r="G70" s="39">
        <v>15</v>
      </c>
      <c r="H70" s="39"/>
      <c r="I70" s="40" t="s">
        <v>262</v>
      </c>
      <c r="J70" s="41">
        <v>36</v>
      </c>
      <c r="K70" s="41">
        <v>970.2</v>
      </c>
      <c r="L70" s="41"/>
      <c r="M70" s="42">
        <v>209.03</v>
      </c>
      <c r="N70" s="42">
        <v>298.62</v>
      </c>
      <c r="O70" s="43">
        <v>34927.199999999997</v>
      </c>
      <c r="P70" s="44">
        <v>10750.32</v>
      </c>
      <c r="Q70" s="44">
        <v>10750.32</v>
      </c>
      <c r="R70" s="45">
        <v>0</v>
      </c>
      <c r="S70" s="46">
        <v>0</v>
      </c>
      <c r="T70" s="39">
        <f t="shared" si="19"/>
        <v>15</v>
      </c>
      <c r="U70" s="47">
        <f t="shared" si="20"/>
        <v>3.7731532839639766E-2</v>
      </c>
      <c r="V70" s="48">
        <f t="shared" si="21"/>
        <v>89.59</v>
      </c>
      <c r="W70" s="49">
        <f t="shared" si="22"/>
        <v>2.5154355226426508E-3</v>
      </c>
      <c r="X70" s="44">
        <f t="shared" si="23"/>
        <v>3335.7632930872624</v>
      </c>
      <c r="Y70" s="44">
        <f t="shared" si="24"/>
        <v>0</v>
      </c>
      <c r="Z70" s="44">
        <f t="shared" si="25"/>
        <v>19853.156664420319</v>
      </c>
      <c r="AA70" s="50">
        <f t="shared" si="26"/>
        <v>14086.083293087262</v>
      </c>
      <c r="AB70" s="51">
        <f t="shared" si="27"/>
        <v>18589.098000393555</v>
      </c>
      <c r="AC70" s="44">
        <f t="shared" si="28"/>
        <v>13189.216566561106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1.0914944041149737</v>
      </c>
      <c r="AG70" s="44">
        <f t="shared" si="31"/>
        <v>38122.84335140451</v>
      </c>
      <c r="AH70" s="52">
        <f>HLOOKUP(I70,ElecAvoidedCostsWOCC!$A$5:$Q$50,T70+1,FALSE)</f>
        <v>1.0914944041149737</v>
      </c>
      <c r="AI70" s="44">
        <f t="shared" si="32"/>
        <v>0</v>
      </c>
      <c r="AJ70" s="44">
        <f t="shared" si="33"/>
        <v>38122.84335140451</v>
      </c>
      <c r="AK70" s="44">
        <f>HLOOKUP(I70,ElecAvoidedCostsWOCC!$A$5:$Q$50,G70+1,FALSE)*J70*L70</f>
        <v>0</v>
      </c>
      <c r="AL70" s="44">
        <f t="shared" si="34"/>
        <v>38122.84335140451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38122.84335140451</v>
      </c>
      <c r="AN70" s="48">
        <f t="shared" si="35"/>
        <v>41935.127686544962</v>
      </c>
      <c r="AO70" s="47">
        <f t="shared" si="36"/>
        <v>2.0508172774492555</v>
      </c>
      <c r="AP70" s="47">
        <f t="shared" si="37"/>
        <v>3.1795010321434831</v>
      </c>
    </row>
    <row r="71" spans="2:42" x14ac:dyDescent="0.35">
      <c r="B71" s="97" t="s">
        <v>67</v>
      </c>
      <c r="C71" s="98">
        <v>18231134</v>
      </c>
      <c r="D71" s="61" t="s">
        <v>167</v>
      </c>
      <c r="E71" s="38" t="s">
        <v>1677</v>
      </c>
      <c r="F71" s="39" t="s">
        <v>1676</v>
      </c>
      <c r="G71" s="39">
        <v>15</v>
      </c>
      <c r="H71" s="39"/>
      <c r="I71" s="40" t="s">
        <v>262</v>
      </c>
      <c r="J71" s="41">
        <v>380</v>
      </c>
      <c r="K71" s="41">
        <v>970.2</v>
      </c>
      <c r="L71" s="41"/>
      <c r="M71" s="42">
        <v>209.03</v>
      </c>
      <c r="N71" s="42">
        <v>298.62</v>
      </c>
      <c r="O71" s="43">
        <v>368676</v>
      </c>
      <c r="P71" s="44">
        <v>82029.509999999995</v>
      </c>
      <c r="Q71" s="44">
        <v>113475.6</v>
      </c>
      <c r="R71" s="45">
        <v>32.773000000000003</v>
      </c>
      <c r="S71" s="46">
        <v>0</v>
      </c>
      <c r="T71" s="39">
        <f t="shared" si="19"/>
        <v>15</v>
      </c>
      <c r="U71" s="47">
        <f t="shared" si="20"/>
        <v>0.39827729108508642</v>
      </c>
      <c r="V71" s="48">
        <f t="shared" si="21"/>
        <v>89.59</v>
      </c>
      <c r="W71" s="49">
        <f t="shared" si="22"/>
        <v>2.6551819405672427E-2</v>
      </c>
      <c r="X71" s="44">
        <f t="shared" si="23"/>
        <v>35210.834760365549</v>
      </c>
      <c r="Y71" s="44">
        <f t="shared" si="24"/>
        <v>31446.090000000011</v>
      </c>
      <c r="Z71" s="44">
        <f t="shared" si="25"/>
        <v>209561.09812443668</v>
      </c>
      <c r="AA71" s="50">
        <f t="shared" si="26"/>
        <v>148686.43476036555</v>
      </c>
      <c r="AB71" s="51">
        <f t="shared" si="27"/>
        <v>196218.25667082085</v>
      </c>
      <c r="AC71" s="44">
        <f t="shared" si="28"/>
        <v>139219.50820258947</v>
      </c>
      <c r="AD71" s="44">
        <f t="shared" si="29"/>
        <v>114874.463206997</v>
      </c>
      <c r="AE71" s="44">
        <f t="shared" si="30"/>
        <v>0</v>
      </c>
      <c r="AF71" s="52">
        <f>HLOOKUP(I71,ElecAvoidedCostsWOCC!$A$5:$Q$50,G71+1,FALSE)</f>
        <v>1.0914944041149737</v>
      </c>
      <c r="AG71" s="44">
        <f t="shared" si="31"/>
        <v>402407.79093149205</v>
      </c>
      <c r="AH71" s="52">
        <f>HLOOKUP(I71,ElecAvoidedCostsWOCC!$A$5:$Q$50,T71+1,FALSE)</f>
        <v>1.0914944041149737</v>
      </c>
      <c r="AI71" s="44">
        <f t="shared" si="32"/>
        <v>0</v>
      </c>
      <c r="AJ71" s="44">
        <f t="shared" si="33"/>
        <v>402407.79093149205</v>
      </c>
      <c r="AK71" s="44">
        <f>HLOOKUP(I71,ElecAvoidedCostsWOCC!$A$5:$Q$50,G71+1,FALSE)*J71*L71</f>
        <v>0</v>
      </c>
      <c r="AL71" s="44">
        <f t="shared" si="34"/>
        <v>402407.79093149205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402407.79093149205</v>
      </c>
      <c r="AN71" s="48">
        <f t="shared" si="35"/>
        <v>557523.03323163826</v>
      </c>
      <c r="AO71" s="47">
        <f t="shared" si="36"/>
        <v>2.0508172774492555</v>
      </c>
      <c r="AP71" s="47">
        <f t="shared" si="37"/>
        <v>4.0046329744272748</v>
      </c>
    </row>
    <row r="72" spans="2:42" x14ac:dyDescent="0.35">
      <c r="B72" s="97" t="s">
        <v>67</v>
      </c>
      <c r="C72" s="98">
        <v>18231134</v>
      </c>
      <c r="D72" s="61" t="s">
        <v>167</v>
      </c>
      <c r="E72" s="38" t="s">
        <v>1678</v>
      </c>
      <c r="F72" s="39" t="s">
        <v>1679</v>
      </c>
      <c r="G72" s="39">
        <v>15</v>
      </c>
      <c r="H72" s="39"/>
      <c r="I72" s="40" t="s">
        <v>262</v>
      </c>
      <c r="J72" s="41">
        <v>20</v>
      </c>
      <c r="K72" s="41">
        <v>1671.6</v>
      </c>
      <c r="L72" s="41"/>
      <c r="M72" s="42">
        <v>329.75</v>
      </c>
      <c r="N72" s="42">
        <v>471.07</v>
      </c>
      <c r="O72" s="43">
        <v>33432</v>
      </c>
      <c r="P72" s="44">
        <v>6595</v>
      </c>
      <c r="Q72" s="44">
        <v>9421.4</v>
      </c>
      <c r="R72" s="45">
        <v>56.48</v>
      </c>
      <c r="S72" s="46">
        <v>0</v>
      </c>
      <c r="T72" s="39">
        <f t="shared" si="19"/>
        <v>15</v>
      </c>
      <c r="U72" s="47">
        <f t="shared" si="20"/>
        <v>3.6116282035056825E-2</v>
      </c>
      <c r="V72" s="48">
        <f t="shared" si="21"/>
        <v>141.32</v>
      </c>
      <c r="W72" s="49">
        <f t="shared" si="22"/>
        <v>2.4077521356704549E-3</v>
      </c>
      <c r="X72" s="44">
        <f t="shared" si="23"/>
        <v>3192.9624594726565</v>
      </c>
      <c r="Y72" s="44">
        <f t="shared" si="24"/>
        <v>2826.3999999999996</v>
      </c>
      <c r="Z72" s="44">
        <f t="shared" si="25"/>
        <v>19003.262030878515</v>
      </c>
      <c r="AA72" s="50">
        <f t="shared" si="26"/>
        <v>12614.362459472657</v>
      </c>
      <c r="AB72" s="51">
        <f t="shared" si="27"/>
        <v>17793.316508313215</v>
      </c>
      <c r="AC72" s="44">
        <f t="shared" si="28"/>
        <v>11811.200804749678</v>
      </c>
      <c r="AD72" s="44">
        <f t="shared" si="29"/>
        <v>10419.536110326999</v>
      </c>
      <c r="AE72" s="44">
        <f t="shared" si="30"/>
        <v>0</v>
      </c>
      <c r="AF72" s="52">
        <f>HLOOKUP(I72,ElecAvoidedCostsWOCC!$A$5:$Q$50,G72+1,FALSE)</f>
        <v>1.0914944041149737</v>
      </c>
      <c r="AG72" s="44">
        <f t="shared" si="31"/>
        <v>36490.840918371796</v>
      </c>
      <c r="AH72" s="52">
        <f>HLOOKUP(I72,ElecAvoidedCostsWOCC!$A$5:$Q$50,T72+1,FALSE)</f>
        <v>1.0914944041149737</v>
      </c>
      <c r="AI72" s="44">
        <f t="shared" si="32"/>
        <v>0</v>
      </c>
      <c r="AJ72" s="44">
        <f t="shared" si="33"/>
        <v>36490.840918371796</v>
      </c>
      <c r="AK72" s="44">
        <f>HLOOKUP(I72,ElecAvoidedCostsWOCC!$A$5:$Q$50,G72+1,FALSE)*J72*L72</f>
        <v>0</v>
      </c>
      <c r="AL72" s="44">
        <f t="shared" si="34"/>
        <v>36490.840918371796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36490.840918371796</v>
      </c>
      <c r="AN72" s="48">
        <f t="shared" si="35"/>
        <v>50559.461120535976</v>
      </c>
      <c r="AO72" s="47">
        <f t="shared" si="36"/>
        <v>2.050817277449255</v>
      </c>
      <c r="AP72" s="47">
        <f t="shared" si="37"/>
        <v>4.2806368256989016</v>
      </c>
    </row>
    <row r="73" spans="2:42" x14ac:dyDescent="0.35">
      <c r="B73" s="97" t="s">
        <v>67</v>
      </c>
      <c r="C73" s="98">
        <v>18231134</v>
      </c>
      <c r="D73" s="61" t="s">
        <v>167</v>
      </c>
      <c r="E73" s="38" t="s">
        <v>1680</v>
      </c>
      <c r="F73" s="39" t="s">
        <v>1681</v>
      </c>
      <c r="G73" s="39">
        <v>15</v>
      </c>
      <c r="H73" s="39"/>
      <c r="I73" s="40" t="s">
        <v>262</v>
      </c>
      <c r="J73" s="41">
        <v>336</v>
      </c>
      <c r="K73" s="41">
        <v>1587.6</v>
      </c>
      <c r="L73" s="41"/>
      <c r="M73" s="42">
        <v>329.75</v>
      </c>
      <c r="N73" s="42">
        <v>471.07</v>
      </c>
      <c r="O73" s="43">
        <v>533433.59999999998</v>
      </c>
      <c r="P73" s="44">
        <v>116024.84</v>
      </c>
      <c r="Q73" s="44">
        <v>158279.51999999999</v>
      </c>
      <c r="R73" s="45">
        <v>53.628999999999998</v>
      </c>
      <c r="S73" s="46">
        <v>0</v>
      </c>
      <c r="T73" s="39">
        <f t="shared" si="19"/>
        <v>15</v>
      </c>
      <c r="U73" s="47">
        <f t="shared" si="20"/>
        <v>0.576263410641771</v>
      </c>
      <c r="V73" s="48">
        <f t="shared" si="21"/>
        <v>141.32</v>
      </c>
      <c r="W73" s="49">
        <f t="shared" si="22"/>
        <v>3.8417560709451397E-2</v>
      </c>
      <c r="X73" s="44">
        <f t="shared" si="23"/>
        <v>50946.203021696369</v>
      </c>
      <c r="Y73" s="44">
        <f t="shared" si="24"/>
        <v>42254.679999999993</v>
      </c>
      <c r="Z73" s="44">
        <f t="shared" si="25"/>
        <v>303211.8472384194</v>
      </c>
      <c r="AA73" s="50">
        <f t="shared" si="26"/>
        <v>209225.72302169635</v>
      </c>
      <c r="AB73" s="51">
        <f t="shared" si="27"/>
        <v>283906.22400601069</v>
      </c>
      <c r="AC73" s="44">
        <f t="shared" si="28"/>
        <v>195904.23503904152</v>
      </c>
      <c r="AD73" s="44">
        <f t="shared" si="29"/>
        <v>166212.11534384219</v>
      </c>
      <c r="AE73" s="44">
        <f t="shared" si="30"/>
        <v>0</v>
      </c>
      <c r="AF73" s="52">
        <f>HLOOKUP(I73,ElecAvoidedCostsWOCC!$A$5:$Q$50,G73+1,FALSE)</f>
        <v>1.0914944041149737</v>
      </c>
      <c r="AG73" s="44">
        <f t="shared" si="31"/>
        <v>582239.78936690523</v>
      </c>
      <c r="AH73" s="52">
        <f>HLOOKUP(I73,ElecAvoidedCostsWOCC!$A$5:$Q$50,T73+1,FALSE)</f>
        <v>1.0914944041149737</v>
      </c>
      <c r="AI73" s="44">
        <f t="shared" si="32"/>
        <v>0</v>
      </c>
      <c r="AJ73" s="44">
        <f t="shared" si="33"/>
        <v>582239.78936690523</v>
      </c>
      <c r="AK73" s="44">
        <f>HLOOKUP(I73,ElecAvoidedCostsWOCC!$A$5:$Q$50,G73+1,FALSE)*J73*L73</f>
        <v>0</v>
      </c>
      <c r="AL73" s="44">
        <f t="shared" si="34"/>
        <v>582239.78936690523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582239.78936690523</v>
      </c>
      <c r="AN73" s="48">
        <f t="shared" si="35"/>
        <v>806675.88364743802</v>
      </c>
      <c r="AO73" s="47">
        <f t="shared" si="36"/>
        <v>2.0508172774492555</v>
      </c>
      <c r="AP73" s="47">
        <f t="shared" si="37"/>
        <v>4.1177051812416234</v>
      </c>
    </row>
    <row r="74" spans="2:42" x14ac:dyDescent="0.35">
      <c r="B74" s="97" t="s">
        <v>67</v>
      </c>
      <c r="C74" s="98">
        <v>18231134</v>
      </c>
      <c r="D74" s="61" t="s">
        <v>167</v>
      </c>
      <c r="E74" s="38" t="s">
        <v>1682</v>
      </c>
      <c r="F74" s="39" t="s">
        <v>1683</v>
      </c>
      <c r="G74" s="39">
        <v>15</v>
      </c>
      <c r="H74" s="39"/>
      <c r="I74" s="40" t="s">
        <v>262</v>
      </c>
      <c r="J74" s="41">
        <v>23</v>
      </c>
      <c r="K74" s="41">
        <v>883</v>
      </c>
      <c r="L74" s="41"/>
      <c r="M74" s="42">
        <v>150</v>
      </c>
      <c r="N74" s="42">
        <v>225</v>
      </c>
      <c r="O74" s="43">
        <v>20309</v>
      </c>
      <c r="P74" s="44">
        <v>3450</v>
      </c>
      <c r="Q74" s="44">
        <v>5175</v>
      </c>
      <c r="R74" s="45">
        <v>29.827999999999999</v>
      </c>
      <c r="S74" s="46">
        <v>0</v>
      </c>
      <c r="T74" s="39">
        <f t="shared" si="19"/>
        <v>15</v>
      </c>
      <c r="U74" s="47">
        <f t="shared" si="20"/>
        <v>2.1939625862944751E-2</v>
      </c>
      <c r="V74" s="48">
        <f t="shared" si="21"/>
        <v>75</v>
      </c>
      <c r="W74" s="49">
        <f t="shared" si="22"/>
        <v>1.4626417241963168E-3</v>
      </c>
      <c r="X74" s="44">
        <f t="shared" si="23"/>
        <v>1939.6349183246641</v>
      </c>
      <c r="Y74" s="44">
        <f t="shared" si="24"/>
        <v>1725</v>
      </c>
      <c r="Z74" s="44">
        <f t="shared" si="25"/>
        <v>11543.947373328301</v>
      </c>
      <c r="AA74" s="50">
        <f t="shared" si="26"/>
        <v>7114.6349183246639</v>
      </c>
      <c r="AB74" s="51">
        <f t="shared" si="27"/>
        <v>10808.939488135113</v>
      </c>
      <c r="AC74" s="44">
        <f t="shared" si="28"/>
        <v>6661.6431819519321</v>
      </c>
      <c r="AD74" s="44">
        <f t="shared" si="29"/>
        <v>6328.1340574302212</v>
      </c>
      <c r="AE74" s="44">
        <f t="shared" si="30"/>
        <v>0</v>
      </c>
      <c r="AF74" s="52">
        <f>HLOOKUP(I74,ElecAvoidedCostsWOCC!$A$5:$Q$50,G74+1,FALSE)</f>
        <v>1.0914944041149737</v>
      </c>
      <c r="AG74" s="44">
        <f t="shared" si="31"/>
        <v>22167.159853171001</v>
      </c>
      <c r="AH74" s="52">
        <f>HLOOKUP(I74,ElecAvoidedCostsWOCC!$A$5:$Q$50,T74+1,FALSE)</f>
        <v>1.0914944041149737</v>
      </c>
      <c r="AI74" s="44">
        <f t="shared" si="32"/>
        <v>0</v>
      </c>
      <c r="AJ74" s="44">
        <f t="shared" si="33"/>
        <v>22167.159853171001</v>
      </c>
      <c r="AK74" s="44">
        <f>HLOOKUP(I74,ElecAvoidedCostsWOCC!$A$5:$Q$50,G74+1,FALSE)*J74*L74</f>
        <v>0</v>
      </c>
      <c r="AL74" s="44">
        <f t="shared" si="34"/>
        <v>22167.159853171001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22167.159853171001</v>
      </c>
      <c r="AN74" s="48">
        <f t="shared" si="35"/>
        <v>30712.009895918323</v>
      </c>
      <c r="AO74" s="47">
        <f t="shared" si="36"/>
        <v>2.0508172774492555</v>
      </c>
      <c r="AP74" s="47">
        <f t="shared" si="37"/>
        <v>4.610275431611961</v>
      </c>
    </row>
    <row r="75" spans="2:42" x14ac:dyDescent="0.35">
      <c r="B75" s="97" t="s">
        <v>67</v>
      </c>
      <c r="C75" s="98">
        <v>18231134</v>
      </c>
      <c r="D75" s="61" t="s">
        <v>167</v>
      </c>
      <c r="E75" s="38" t="s">
        <v>1684</v>
      </c>
      <c r="F75" s="39" t="s">
        <v>1685</v>
      </c>
      <c r="G75" s="39">
        <v>15</v>
      </c>
      <c r="H75" s="39"/>
      <c r="I75" s="40" t="s">
        <v>262</v>
      </c>
      <c r="J75" s="41">
        <v>17</v>
      </c>
      <c r="K75" s="41">
        <v>3276</v>
      </c>
      <c r="L75" s="41"/>
      <c r="M75" s="42">
        <v>400</v>
      </c>
      <c r="N75" s="42">
        <v>588</v>
      </c>
      <c r="O75" s="43">
        <v>55692</v>
      </c>
      <c r="P75" s="44">
        <v>6800</v>
      </c>
      <c r="Q75" s="44">
        <v>9996</v>
      </c>
      <c r="R75" s="45">
        <v>110.663</v>
      </c>
      <c r="S75" s="46">
        <v>0</v>
      </c>
      <c r="T75" s="39">
        <f t="shared" si="19"/>
        <v>15</v>
      </c>
      <c r="U75" s="47">
        <f t="shared" si="20"/>
        <v>6.0163555249353455E-2</v>
      </c>
      <c r="V75" s="48">
        <f t="shared" si="21"/>
        <v>188</v>
      </c>
      <c r="W75" s="49">
        <f t="shared" si="22"/>
        <v>4.0109036832902305E-3</v>
      </c>
      <c r="X75" s="44">
        <f t="shared" si="23"/>
        <v>5318.9299262069635</v>
      </c>
      <c r="Y75" s="44">
        <f t="shared" si="24"/>
        <v>3196</v>
      </c>
      <c r="Z75" s="44">
        <f t="shared" si="25"/>
        <v>31656.187754955921</v>
      </c>
      <c r="AA75" s="50">
        <f t="shared" si="26"/>
        <v>15314.929926206964</v>
      </c>
      <c r="AB75" s="51">
        <f t="shared" si="27"/>
        <v>29640.625238722772</v>
      </c>
      <c r="AC75" s="44">
        <f t="shared" si="28"/>
        <v>14339.822028283674</v>
      </c>
      <c r="AD75" s="44">
        <f t="shared" si="29"/>
        <v>17353.019757268932</v>
      </c>
      <c r="AE75" s="44">
        <f t="shared" si="30"/>
        <v>0</v>
      </c>
      <c r="AF75" s="52">
        <f>HLOOKUP(I75,ElecAvoidedCostsWOCC!$A$5:$Q$50,G75+1,FALSE)</f>
        <v>1.0914944041149737</v>
      </c>
      <c r="AG75" s="44">
        <f t="shared" si="31"/>
        <v>60787.506353971119</v>
      </c>
      <c r="AH75" s="52">
        <f>HLOOKUP(I75,ElecAvoidedCostsWOCC!$A$5:$Q$50,T75+1,FALSE)</f>
        <v>1.0914944041149737</v>
      </c>
      <c r="AI75" s="44">
        <f t="shared" si="32"/>
        <v>0</v>
      </c>
      <c r="AJ75" s="44">
        <f t="shared" si="33"/>
        <v>60787.506353971119</v>
      </c>
      <c r="AK75" s="44">
        <f>HLOOKUP(I75,ElecAvoidedCostsWOCC!$A$5:$Q$50,G75+1,FALSE)*J75*L75</f>
        <v>0</v>
      </c>
      <c r="AL75" s="44">
        <f t="shared" si="34"/>
        <v>60787.506353971119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60787.506353971112</v>
      </c>
      <c r="AN75" s="48">
        <f t="shared" si="35"/>
        <v>84219.276746637159</v>
      </c>
      <c r="AO75" s="47">
        <f t="shared" si="36"/>
        <v>2.050817277449255</v>
      </c>
      <c r="AP75" s="47">
        <f t="shared" si="37"/>
        <v>5.873104741504056</v>
      </c>
    </row>
    <row r="76" spans="2:42" x14ac:dyDescent="0.35">
      <c r="B76" s="97" t="s">
        <v>67</v>
      </c>
      <c r="C76" s="98">
        <v>18231134</v>
      </c>
      <c r="D76" s="61" t="s">
        <v>167</v>
      </c>
      <c r="E76" s="38" t="s">
        <v>1686</v>
      </c>
      <c r="F76" s="39" t="s">
        <v>1687</v>
      </c>
      <c r="G76" s="39">
        <v>12</v>
      </c>
      <c r="H76" s="39"/>
      <c r="I76" s="40" t="s">
        <v>262</v>
      </c>
      <c r="J76" s="41">
        <v>149</v>
      </c>
      <c r="K76" s="41">
        <v>294</v>
      </c>
      <c r="L76" s="41"/>
      <c r="M76" s="42">
        <v>114</v>
      </c>
      <c r="N76" s="42">
        <v>114</v>
      </c>
      <c r="O76" s="43">
        <v>43806</v>
      </c>
      <c r="P76" s="44">
        <v>16986</v>
      </c>
      <c r="Q76" s="44">
        <v>16986</v>
      </c>
      <c r="R76" s="45">
        <v>10.404</v>
      </c>
      <c r="S76" s="46">
        <v>0</v>
      </c>
      <c r="T76" s="39">
        <f t="shared" si="19"/>
        <v>12</v>
      </c>
      <c r="U76" s="47">
        <f t="shared" si="20"/>
        <v>3.7858575037753035E-2</v>
      </c>
      <c r="V76" s="48">
        <f t="shared" si="21"/>
        <v>0</v>
      </c>
      <c r="W76" s="49">
        <f t="shared" si="22"/>
        <v>3.1548812531460861E-3</v>
      </c>
      <c r="X76" s="44">
        <f t="shared" si="23"/>
        <v>4183.7435241582671</v>
      </c>
      <c r="Y76" s="44">
        <f t="shared" si="24"/>
        <v>0</v>
      </c>
      <c r="Z76" s="44">
        <f t="shared" si="25"/>
        <v>24900.002887193838</v>
      </c>
      <c r="AA76" s="50">
        <f t="shared" si="26"/>
        <v>21169.743524158268</v>
      </c>
      <c r="AB76" s="51">
        <f t="shared" si="27"/>
        <v>23314.609444938047</v>
      </c>
      <c r="AC76" s="44">
        <f t="shared" si="28"/>
        <v>19821.857232357928</v>
      </c>
      <c r="AD76" s="44">
        <f t="shared" si="29"/>
        <v>12445.038052420618</v>
      </c>
      <c r="AE76" s="44">
        <f t="shared" si="30"/>
        <v>0</v>
      </c>
      <c r="AF76" s="52">
        <f>HLOOKUP(I76,ElecAvoidedCostsWOCC!$A$5:$Q$50,G76+1,FALSE)</f>
        <v>0.91128284670075355</v>
      </c>
      <c r="AG76" s="44">
        <f t="shared" si="31"/>
        <v>39919.656382573208</v>
      </c>
      <c r="AH76" s="52">
        <f>HLOOKUP(I76,ElecAvoidedCostsWOCC!$A$5:$Q$50,T76+1,FALSE)</f>
        <v>0.91128284670075355</v>
      </c>
      <c r="AI76" s="44">
        <f t="shared" si="32"/>
        <v>0</v>
      </c>
      <c r="AJ76" s="44">
        <f t="shared" si="33"/>
        <v>39919.656382573208</v>
      </c>
      <c r="AK76" s="44">
        <f>HLOOKUP(I76,ElecAvoidedCostsWOCC!$A$5:$Q$50,G76+1,FALSE)*J76*L76</f>
        <v>0</v>
      </c>
      <c r="AL76" s="44">
        <f t="shared" si="34"/>
        <v>39919.656382573208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39919.656382573208</v>
      </c>
      <c r="AN76" s="48">
        <f t="shared" si="35"/>
        <v>56356.660073251151</v>
      </c>
      <c r="AO76" s="47">
        <f t="shared" si="36"/>
        <v>1.7122163884774131</v>
      </c>
      <c r="AP76" s="47">
        <f t="shared" si="37"/>
        <v>2.8431574000670565</v>
      </c>
    </row>
    <row r="77" spans="2:42" x14ac:dyDescent="0.35">
      <c r="B77" s="97" t="s">
        <v>67</v>
      </c>
      <c r="C77" s="98">
        <v>18231134</v>
      </c>
      <c r="D77" s="61" t="s">
        <v>167</v>
      </c>
      <c r="E77" s="38" t="s">
        <v>1688</v>
      </c>
      <c r="F77" s="39" t="s">
        <v>1689</v>
      </c>
      <c r="G77" s="39">
        <v>12</v>
      </c>
      <c r="H77" s="39"/>
      <c r="I77" s="40" t="s">
        <v>262</v>
      </c>
      <c r="J77" s="41">
        <v>26</v>
      </c>
      <c r="K77" s="41">
        <v>414</v>
      </c>
      <c r="L77" s="41"/>
      <c r="M77" s="42">
        <v>127</v>
      </c>
      <c r="N77" s="42">
        <v>127</v>
      </c>
      <c r="O77" s="43">
        <v>10764</v>
      </c>
      <c r="P77" s="44">
        <v>3302</v>
      </c>
      <c r="Q77" s="44">
        <v>3302</v>
      </c>
      <c r="R77" s="45">
        <v>14.66</v>
      </c>
      <c r="S77" s="46">
        <v>0</v>
      </c>
      <c r="T77" s="39">
        <f t="shared" si="19"/>
        <v>12</v>
      </c>
      <c r="U77" s="47">
        <f t="shared" si="20"/>
        <v>9.3026001393958276E-3</v>
      </c>
      <c r="V77" s="48">
        <f t="shared" si="21"/>
        <v>0</v>
      </c>
      <c r="W77" s="49">
        <f t="shared" si="22"/>
        <v>7.7521667828298567E-4</v>
      </c>
      <c r="X77" s="44">
        <f t="shared" si="23"/>
        <v>1028.0284731324382</v>
      </c>
      <c r="Y77" s="44">
        <f t="shared" si="24"/>
        <v>0</v>
      </c>
      <c r="Z77" s="44">
        <f t="shared" si="25"/>
        <v>6118.4228433948419</v>
      </c>
      <c r="AA77" s="50">
        <f t="shared" si="26"/>
        <v>4330.0284731324382</v>
      </c>
      <c r="AB77" s="51">
        <f t="shared" si="27"/>
        <v>5728.8603402573426</v>
      </c>
      <c r="AC77" s="44">
        <f t="shared" si="28"/>
        <v>4054.3337763412342</v>
      </c>
      <c r="AD77" s="44">
        <f t="shared" si="29"/>
        <v>3059.9683550084269</v>
      </c>
      <c r="AE77" s="44">
        <f t="shared" si="30"/>
        <v>0</v>
      </c>
      <c r="AF77" s="52">
        <f>HLOOKUP(I77,ElecAvoidedCostsWOCC!$A$5:$Q$50,G77+1,FALSE)</f>
        <v>0.91128284670075355</v>
      </c>
      <c r="AG77" s="44">
        <f t="shared" si="31"/>
        <v>9809.0485618869116</v>
      </c>
      <c r="AH77" s="52">
        <f>HLOOKUP(I77,ElecAvoidedCostsWOCC!$A$5:$Q$50,T77+1,FALSE)</f>
        <v>0.91128284670075355</v>
      </c>
      <c r="AI77" s="44">
        <f t="shared" si="32"/>
        <v>0</v>
      </c>
      <c r="AJ77" s="44">
        <f t="shared" si="33"/>
        <v>9809.0485618869116</v>
      </c>
      <c r="AK77" s="44">
        <f>HLOOKUP(I77,ElecAvoidedCostsWOCC!$A$5:$Q$50,G77+1,FALSE)*J77*L77</f>
        <v>0</v>
      </c>
      <c r="AL77" s="44">
        <f t="shared" si="34"/>
        <v>9809.0485618869116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9809.0485618869116</v>
      </c>
      <c r="AN77" s="48">
        <f t="shared" si="35"/>
        <v>13849.92177308403</v>
      </c>
      <c r="AO77" s="47">
        <f t="shared" si="36"/>
        <v>1.7122163884774131</v>
      </c>
      <c r="AP77" s="47">
        <f t="shared" si="37"/>
        <v>3.4160783342270009</v>
      </c>
    </row>
    <row r="78" spans="2:42" x14ac:dyDescent="0.35">
      <c r="B78" s="97" t="s">
        <v>67</v>
      </c>
      <c r="C78" s="98">
        <v>18231134</v>
      </c>
      <c r="D78" s="61" t="s">
        <v>167</v>
      </c>
      <c r="E78" s="38" t="s">
        <v>1690</v>
      </c>
      <c r="F78" s="39" t="s">
        <v>1691</v>
      </c>
      <c r="G78" s="39">
        <v>12</v>
      </c>
      <c r="H78" s="39"/>
      <c r="I78" s="40" t="s">
        <v>262</v>
      </c>
      <c r="J78" s="41">
        <v>28</v>
      </c>
      <c r="K78" s="41">
        <v>227</v>
      </c>
      <c r="L78" s="41"/>
      <c r="M78" s="42">
        <v>109</v>
      </c>
      <c r="N78" s="42">
        <v>109</v>
      </c>
      <c r="O78" s="43">
        <v>6356</v>
      </c>
      <c r="P78" s="44">
        <v>3052</v>
      </c>
      <c r="Q78" s="44">
        <v>3052</v>
      </c>
      <c r="R78" s="45">
        <v>0</v>
      </c>
      <c r="S78" s="46">
        <v>0</v>
      </c>
      <c r="T78" s="39">
        <f t="shared" si="19"/>
        <v>12</v>
      </c>
      <c r="U78" s="47">
        <f t="shared" si="20"/>
        <v>5.4930626612783237E-3</v>
      </c>
      <c r="V78" s="48">
        <f t="shared" si="21"/>
        <v>0</v>
      </c>
      <c r="W78" s="49">
        <f t="shared" si="22"/>
        <v>4.5775522177319368E-4</v>
      </c>
      <c r="X78" s="44">
        <f t="shared" si="23"/>
        <v>607.03725150778303</v>
      </c>
      <c r="Y78" s="44">
        <f t="shared" si="24"/>
        <v>0</v>
      </c>
      <c r="Z78" s="44">
        <f t="shared" si="25"/>
        <v>3612.8479740447428</v>
      </c>
      <c r="AA78" s="50">
        <f t="shared" si="26"/>
        <v>3659.0372515077829</v>
      </c>
      <c r="AB78" s="51">
        <f t="shared" si="27"/>
        <v>3382.8164550980737</v>
      </c>
      <c r="AC78" s="44">
        <f t="shared" si="28"/>
        <v>3426.0648422357517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0.91128284670075355</v>
      </c>
      <c r="AG78" s="44">
        <f t="shared" si="31"/>
        <v>5792.1137736299888</v>
      </c>
      <c r="AH78" s="52">
        <f>HLOOKUP(I78,ElecAvoidedCostsWOCC!$A$5:$Q$50,T78+1,FALSE)</f>
        <v>0.91128284670075355</v>
      </c>
      <c r="AI78" s="44">
        <f t="shared" si="32"/>
        <v>0</v>
      </c>
      <c r="AJ78" s="44">
        <f t="shared" si="33"/>
        <v>5792.1137736299888</v>
      </c>
      <c r="AK78" s="44">
        <f>HLOOKUP(I78,ElecAvoidedCostsWOCC!$A$5:$Q$50,G78+1,FALSE)*J78*L78</f>
        <v>0</v>
      </c>
      <c r="AL78" s="44">
        <f t="shared" si="34"/>
        <v>5792.1137736299888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5792.1137736299888</v>
      </c>
      <c r="AN78" s="48">
        <f t="shared" si="35"/>
        <v>6371.3251509929878</v>
      </c>
      <c r="AO78" s="47">
        <f t="shared" si="36"/>
        <v>1.7122163884774131</v>
      </c>
      <c r="AP78" s="47">
        <f t="shared" si="37"/>
        <v>1.8596627455641626</v>
      </c>
    </row>
    <row r="79" spans="2:42" x14ac:dyDescent="0.35">
      <c r="B79" s="97" t="s">
        <v>67</v>
      </c>
      <c r="C79" s="98">
        <v>18231134</v>
      </c>
      <c r="D79" s="61" t="s">
        <v>167</v>
      </c>
      <c r="E79" s="38" t="s">
        <v>1692</v>
      </c>
      <c r="F79" s="39" t="s">
        <v>1691</v>
      </c>
      <c r="G79" s="39">
        <v>12</v>
      </c>
      <c r="H79" s="39"/>
      <c r="I79" s="40" t="s">
        <v>262</v>
      </c>
      <c r="J79" s="41">
        <v>255</v>
      </c>
      <c r="K79" s="41">
        <v>217</v>
      </c>
      <c r="L79" s="41"/>
      <c r="M79" s="42">
        <v>109</v>
      </c>
      <c r="N79" s="42">
        <v>109</v>
      </c>
      <c r="O79" s="43">
        <v>55335</v>
      </c>
      <c r="P79" s="44">
        <v>27795</v>
      </c>
      <c r="Q79" s="44">
        <v>27795</v>
      </c>
      <c r="R79" s="45">
        <v>7.6680000000000001</v>
      </c>
      <c r="S79" s="46">
        <v>0</v>
      </c>
      <c r="T79" s="39">
        <f t="shared" si="19"/>
        <v>12</v>
      </c>
      <c r="U79" s="47">
        <f t="shared" si="20"/>
        <v>4.7822313146921973E-2</v>
      </c>
      <c r="V79" s="48">
        <f t="shared" si="21"/>
        <v>0</v>
      </c>
      <c r="W79" s="49">
        <f t="shared" si="22"/>
        <v>3.9851927622434977E-3</v>
      </c>
      <c r="X79" s="44">
        <f t="shared" si="23"/>
        <v>5284.8342215517896</v>
      </c>
      <c r="Y79" s="44">
        <f t="shared" si="24"/>
        <v>0</v>
      </c>
      <c r="Z79" s="44">
        <f t="shared" si="25"/>
        <v>31453.263474475432</v>
      </c>
      <c r="AA79" s="50">
        <f t="shared" si="26"/>
        <v>33079.834221551791</v>
      </c>
      <c r="AB79" s="51">
        <f t="shared" si="27"/>
        <v>29450.621230782239</v>
      </c>
      <c r="AC79" s="44">
        <f t="shared" si="28"/>
        <v>30973.627548269465</v>
      </c>
      <c r="AD79" s="44">
        <f t="shared" si="29"/>
        <v>15697.550958343416</v>
      </c>
      <c r="AE79" s="44">
        <f t="shared" si="30"/>
        <v>0</v>
      </c>
      <c r="AF79" s="52">
        <f>HLOOKUP(I79,ElecAvoidedCostsWOCC!$A$5:$Q$50,G79+1,FALSE)</f>
        <v>0.91128284670075355</v>
      </c>
      <c r="AG79" s="44">
        <f t="shared" si="31"/>
        <v>50425.836322186202</v>
      </c>
      <c r="AH79" s="52">
        <f>HLOOKUP(I79,ElecAvoidedCostsWOCC!$A$5:$Q$50,T79+1,FALSE)</f>
        <v>0.91128284670075355</v>
      </c>
      <c r="AI79" s="44">
        <f t="shared" si="32"/>
        <v>0</v>
      </c>
      <c r="AJ79" s="44">
        <f t="shared" si="33"/>
        <v>50425.836322186202</v>
      </c>
      <c r="AK79" s="44">
        <f>HLOOKUP(I79,ElecAvoidedCostsWOCC!$A$5:$Q$50,G79+1,FALSE)*J79*L79</f>
        <v>0</v>
      </c>
      <c r="AL79" s="44">
        <f t="shared" si="34"/>
        <v>50425.836322186202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50425.836322186202</v>
      </c>
      <c r="AN79" s="48">
        <f t="shared" si="35"/>
        <v>71165.970912748235</v>
      </c>
      <c r="AO79" s="47">
        <f t="shared" si="36"/>
        <v>1.7122163884774135</v>
      </c>
      <c r="AP79" s="47">
        <f t="shared" si="37"/>
        <v>2.2976311315761389</v>
      </c>
    </row>
    <row r="80" spans="2:42" x14ac:dyDescent="0.35">
      <c r="B80" s="97" t="s">
        <v>67</v>
      </c>
      <c r="C80" s="98">
        <v>18231134</v>
      </c>
      <c r="D80" s="61" t="s">
        <v>167</v>
      </c>
      <c r="E80" s="38" t="s">
        <v>1693</v>
      </c>
      <c r="F80" s="39" t="s">
        <v>1694</v>
      </c>
      <c r="G80" s="39">
        <v>12</v>
      </c>
      <c r="H80" s="39"/>
      <c r="I80" s="40" t="s">
        <v>262</v>
      </c>
      <c r="J80" s="41">
        <v>19</v>
      </c>
      <c r="K80" s="41">
        <v>325</v>
      </c>
      <c r="L80" s="41"/>
      <c r="M80" s="42">
        <v>135</v>
      </c>
      <c r="N80" s="42">
        <v>135</v>
      </c>
      <c r="O80" s="43">
        <v>6175</v>
      </c>
      <c r="P80" s="44">
        <v>2565</v>
      </c>
      <c r="Q80" s="44">
        <v>2565</v>
      </c>
      <c r="R80" s="45">
        <v>0</v>
      </c>
      <c r="S80" s="46">
        <v>0</v>
      </c>
      <c r="T80" s="39">
        <f t="shared" si="19"/>
        <v>12</v>
      </c>
      <c r="U80" s="47">
        <f t="shared" si="20"/>
        <v>5.3366365533973649E-3</v>
      </c>
      <c r="V80" s="48">
        <f t="shared" si="21"/>
        <v>0</v>
      </c>
      <c r="W80" s="49">
        <f t="shared" si="22"/>
        <v>4.4471971278311372E-4</v>
      </c>
      <c r="X80" s="44">
        <f t="shared" si="23"/>
        <v>589.75063374143485</v>
      </c>
      <c r="Y80" s="44">
        <f t="shared" si="24"/>
        <v>0</v>
      </c>
      <c r="Z80" s="44">
        <f t="shared" si="25"/>
        <v>3509.9647954257844</v>
      </c>
      <c r="AA80" s="50">
        <f t="shared" si="26"/>
        <v>3154.7506337414347</v>
      </c>
      <c r="AB80" s="51">
        <f t="shared" si="27"/>
        <v>3286.4838908481124</v>
      </c>
      <c r="AC80" s="44">
        <f t="shared" si="28"/>
        <v>2953.8863611811184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0.91128284670075355</v>
      </c>
      <c r="AG80" s="44">
        <f t="shared" si="31"/>
        <v>5627.1715783771533</v>
      </c>
      <c r="AH80" s="52">
        <f>HLOOKUP(I80,ElecAvoidedCostsWOCC!$A$5:$Q$50,T80+1,FALSE)</f>
        <v>0.91128284670075355</v>
      </c>
      <c r="AI80" s="44">
        <f t="shared" si="32"/>
        <v>0</v>
      </c>
      <c r="AJ80" s="44">
        <f t="shared" si="33"/>
        <v>5627.1715783771533</v>
      </c>
      <c r="AK80" s="44">
        <f>HLOOKUP(I80,ElecAvoidedCostsWOCC!$A$5:$Q$50,G80+1,FALSE)*J80*L80</f>
        <v>0</v>
      </c>
      <c r="AL80" s="44">
        <f t="shared" si="34"/>
        <v>5627.1715783771533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5627.1715783771533</v>
      </c>
      <c r="AN80" s="48">
        <f t="shared" si="35"/>
        <v>6189.8887362148689</v>
      </c>
      <c r="AO80" s="47">
        <f t="shared" si="36"/>
        <v>1.7122163884774135</v>
      </c>
      <c r="AP80" s="47">
        <f t="shared" si="37"/>
        <v>2.0955067254990225</v>
      </c>
    </row>
    <row r="81" spans="2:42" x14ac:dyDescent="0.35">
      <c r="B81" s="97" t="s">
        <v>67</v>
      </c>
      <c r="C81" s="98">
        <v>18231134</v>
      </c>
      <c r="D81" s="61" t="s">
        <v>167</v>
      </c>
      <c r="E81" s="38" t="s">
        <v>1695</v>
      </c>
      <c r="F81" s="39" t="s">
        <v>1694</v>
      </c>
      <c r="G81" s="39">
        <v>12</v>
      </c>
      <c r="H81" s="39"/>
      <c r="I81" s="40" t="s">
        <v>262</v>
      </c>
      <c r="J81" s="41">
        <v>440</v>
      </c>
      <c r="K81" s="41">
        <v>311</v>
      </c>
      <c r="L81" s="41"/>
      <c r="M81" s="42">
        <v>135</v>
      </c>
      <c r="N81" s="42">
        <v>135</v>
      </c>
      <c r="O81" s="43">
        <v>136840</v>
      </c>
      <c r="P81" s="44">
        <v>59400</v>
      </c>
      <c r="Q81" s="44">
        <v>59400</v>
      </c>
      <c r="R81" s="45">
        <v>10.978</v>
      </c>
      <c r="S81" s="46">
        <v>0</v>
      </c>
      <c r="T81" s="39">
        <f t="shared" si="19"/>
        <v>12</v>
      </c>
      <c r="U81" s="47">
        <f t="shared" si="20"/>
        <v>0.11826159448856607</v>
      </c>
      <c r="V81" s="48">
        <f t="shared" si="21"/>
        <v>0</v>
      </c>
      <c r="W81" s="49">
        <f t="shared" si="22"/>
        <v>9.8551328740471723E-3</v>
      </c>
      <c r="X81" s="44">
        <f t="shared" si="23"/>
        <v>13069.065056061208</v>
      </c>
      <c r="Y81" s="44">
        <f t="shared" si="24"/>
        <v>0</v>
      </c>
      <c r="Z81" s="44">
        <f t="shared" si="25"/>
        <v>77781.956697338363</v>
      </c>
      <c r="AA81" s="50">
        <f t="shared" si="26"/>
        <v>72469.065056061212</v>
      </c>
      <c r="AB81" s="51">
        <f t="shared" si="27"/>
        <v>72829.547469417943</v>
      </c>
      <c r="AC81" s="44">
        <f t="shared" si="28"/>
        <v>67854.929827772663</v>
      </c>
      <c r="AD81" s="44">
        <f t="shared" si="29"/>
        <v>38778.010138955564</v>
      </c>
      <c r="AE81" s="44">
        <f t="shared" si="30"/>
        <v>0</v>
      </c>
      <c r="AF81" s="52">
        <f>HLOOKUP(I81,ElecAvoidedCostsWOCC!$A$5:$Q$50,G81+1,FALSE)</f>
        <v>0.91128284670075355</v>
      </c>
      <c r="AG81" s="44">
        <f t="shared" si="31"/>
        <v>124699.94474253112</v>
      </c>
      <c r="AH81" s="52">
        <f>HLOOKUP(I81,ElecAvoidedCostsWOCC!$A$5:$Q$50,T81+1,FALSE)</f>
        <v>0.91128284670075355</v>
      </c>
      <c r="AI81" s="44">
        <f t="shared" si="32"/>
        <v>0</v>
      </c>
      <c r="AJ81" s="44">
        <f t="shared" si="33"/>
        <v>124699.94474253112</v>
      </c>
      <c r="AK81" s="44">
        <f>HLOOKUP(I81,ElecAvoidedCostsWOCC!$A$5:$Q$50,G81+1,FALSE)*J81*L81</f>
        <v>0</v>
      </c>
      <c r="AL81" s="44">
        <f t="shared" si="34"/>
        <v>124699.94474253112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124699.94474253111</v>
      </c>
      <c r="AN81" s="48">
        <f t="shared" si="35"/>
        <v>175947.94935573981</v>
      </c>
      <c r="AO81" s="47">
        <f t="shared" si="36"/>
        <v>1.7122163884774131</v>
      </c>
      <c r="AP81" s="47">
        <f t="shared" si="37"/>
        <v>2.5930017141322756</v>
      </c>
    </row>
    <row r="82" spans="2:42" x14ac:dyDescent="0.35">
      <c r="B82" s="97" t="s">
        <v>67</v>
      </c>
      <c r="C82" s="98">
        <v>18231134</v>
      </c>
      <c r="D82" s="61" t="s">
        <v>167</v>
      </c>
      <c r="E82" s="38" t="s">
        <v>1696</v>
      </c>
      <c r="F82" s="39" t="s">
        <v>1697</v>
      </c>
      <c r="G82" s="39">
        <v>12</v>
      </c>
      <c r="H82" s="39"/>
      <c r="I82" s="40" t="s">
        <v>262</v>
      </c>
      <c r="J82" s="41">
        <v>56</v>
      </c>
      <c r="K82" s="41">
        <v>400</v>
      </c>
      <c r="L82" s="41"/>
      <c r="M82" s="42">
        <v>116</v>
      </c>
      <c r="N82" s="42">
        <v>116</v>
      </c>
      <c r="O82" s="43">
        <v>22400</v>
      </c>
      <c r="P82" s="44">
        <v>6496</v>
      </c>
      <c r="Q82" s="44">
        <v>6496</v>
      </c>
      <c r="R82" s="45">
        <v>0</v>
      </c>
      <c r="S82" s="46">
        <v>0</v>
      </c>
      <c r="T82" s="39">
        <f t="shared" si="19"/>
        <v>12</v>
      </c>
      <c r="U82" s="47">
        <f t="shared" si="20"/>
        <v>1.9358811141068983E-2</v>
      </c>
      <c r="V82" s="48">
        <f t="shared" si="21"/>
        <v>0</v>
      </c>
      <c r="W82" s="49">
        <f t="shared" si="22"/>
        <v>1.6132342617557487E-3</v>
      </c>
      <c r="X82" s="44">
        <f t="shared" si="23"/>
        <v>2139.3383313049621</v>
      </c>
      <c r="Y82" s="44">
        <f t="shared" si="24"/>
        <v>0</v>
      </c>
      <c r="Z82" s="44">
        <f t="shared" si="25"/>
        <v>12732.503873285437</v>
      </c>
      <c r="AA82" s="50">
        <f t="shared" si="26"/>
        <v>8635.3383313049617</v>
      </c>
      <c r="AB82" s="51">
        <f t="shared" si="27"/>
        <v>11921.820106072506</v>
      </c>
      <c r="AC82" s="44">
        <f t="shared" si="28"/>
        <v>8085.52278212075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0.91128284670075355</v>
      </c>
      <c r="AG82" s="44">
        <f t="shared" si="31"/>
        <v>20412.735766096877</v>
      </c>
      <c r="AH82" s="52">
        <f>HLOOKUP(I82,ElecAvoidedCostsWOCC!$A$5:$Q$50,T82+1,FALSE)</f>
        <v>0.91128284670075355</v>
      </c>
      <c r="AI82" s="44">
        <f t="shared" si="32"/>
        <v>0</v>
      </c>
      <c r="AJ82" s="44">
        <f t="shared" si="33"/>
        <v>20412.735766096877</v>
      </c>
      <c r="AK82" s="44">
        <f>HLOOKUP(I82,ElecAvoidedCostsWOCC!$A$5:$Q$50,G82+1,FALSE)*J82*L82</f>
        <v>0</v>
      </c>
      <c r="AL82" s="44">
        <f t="shared" si="34"/>
        <v>20412.735766096877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20412.735766096881</v>
      </c>
      <c r="AN82" s="48">
        <f t="shared" si="35"/>
        <v>22454.009342706569</v>
      </c>
      <c r="AO82" s="47">
        <f t="shared" si="36"/>
        <v>1.7122163884774135</v>
      </c>
      <c r="AP82" s="47">
        <f t="shared" si="37"/>
        <v>2.7770633943866168</v>
      </c>
    </row>
    <row r="83" spans="2:42" x14ac:dyDescent="0.35">
      <c r="B83" s="97" t="s">
        <v>67</v>
      </c>
      <c r="C83" s="98">
        <v>18231134</v>
      </c>
      <c r="D83" s="61" t="s">
        <v>167</v>
      </c>
      <c r="E83" s="38" t="s">
        <v>1698</v>
      </c>
      <c r="F83" s="39" t="s">
        <v>1697</v>
      </c>
      <c r="G83" s="39">
        <v>12</v>
      </c>
      <c r="H83" s="39"/>
      <c r="I83" s="40" t="s">
        <v>262</v>
      </c>
      <c r="J83" s="41">
        <v>410</v>
      </c>
      <c r="K83" s="41">
        <v>382</v>
      </c>
      <c r="L83" s="41"/>
      <c r="M83" s="42">
        <v>116</v>
      </c>
      <c r="N83" s="42">
        <v>116</v>
      </c>
      <c r="O83" s="43">
        <v>156620</v>
      </c>
      <c r="P83" s="44">
        <v>47560</v>
      </c>
      <c r="Q83" s="44">
        <v>47560</v>
      </c>
      <c r="R83" s="45">
        <v>13.512</v>
      </c>
      <c r="S83" s="46">
        <v>0</v>
      </c>
      <c r="T83" s="39">
        <f t="shared" si="19"/>
        <v>12</v>
      </c>
      <c r="U83" s="47">
        <f t="shared" si="20"/>
        <v>0.13535611611224216</v>
      </c>
      <c r="V83" s="48">
        <f t="shared" si="21"/>
        <v>0</v>
      </c>
      <c r="W83" s="49">
        <f t="shared" si="22"/>
        <v>1.1279676342686847E-2</v>
      </c>
      <c r="X83" s="44">
        <f t="shared" si="23"/>
        <v>14958.177207543893</v>
      </c>
      <c r="Y83" s="44">
        <f t="shared" si="24"/>
        <v>0</v>
      </c>
      <c r="Z83" s="44">
        <f t="shared" si="25"/>
        <v>89025.212349730602</v>
      </c>
      <c r="AA83" s="50">
        <f t="shared" si="26"/>
        <v>62518.177207543893</v>
      </c>
      <c r="AB83" s="51">
        <f t="shared" si="27"/>
        <v>83356.940402369466</v>
      </c>
      <c r="AC83" s="44">
        <f t="shared" si="28"/>
        <v>58537.619108187166</v>
      </c>
      <c r="AD83" s="44">
        <f t="shared" si="29"/>
        <v>44474.708493226688</v>
      </c>
      <c r="AE83" s="44">
        <f t="shared" si="30"/>
        <v>0</v>
      </c>
      <c r="AF83" s="52">
        <f>HLOOKUP(I83,ElecAvoidedCostsWOCC!$A$5:$Q$50,G83+1,FALSE)</f>
        <v>0.91128284670075355</v>
      </c>
      <c r="AG83" s="44">
        <f t="shared" si="31"/>
        <v>142725.119450272</v>
      </c>
      <c r="AH83" s="52">
        <f>HLOOKUP(I83,ElecAvoidedCostsWOCC!$A$5:$Q$50,T83+1,FALSE)</f>
        <v>0.91128284670075355</v>
      </c>
      <c r="AI83" s="44">
        <f t="shared" si="32"/>
        <v>0</v>
      </c>
      <c r="AJ83" s="44">
        <f t="shared" si="33"/>
        <v>142725.119450272</v>
      </c>
      <c r="AK83" s="44">
        <f>HLOOKUP(I83,ElecAvoidedCostsWOCC!$A$5:$Q$50,G83+1,FALSE)*J83*L83</f>
        <v>0</v>
      </c>
      <c r="AL83" s="44">
        <f t="shared" si="34"/>
        <v>142725.119450272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142725.119450272</v>
      </c>
      <c r="AN83" s="48">
        <f t="shared" si="35"/>
        <v>201472.33988852589</v>
      </c>
      <c r="AO83" s="47">
        <f t="shared" si="36"/>
        <v>1.7122163884774131</v>
      </c>
      <c r="AP83" s="47">
        <f t="shared" si="37"/>
        <v>3.4417583591189764</v>
      </c>
    </row>
    <row r="84" spans="2:42" x14ac:dyDescent="0.35">
      <c r="B84" s="97" t="s">
        <v>67</v>
      </c>
      <c r="C84" s="98">
        <v>18231134</v>
      </c>
      <c r="D84" s="61" t="s">
        <v>167</v>
      </c>
      <c r="E84" s="38" t="s">
        <v>1699</v>
      </c>
      <c r="F84" s="39" t="s">
        <v>1700</v>
      </c>
      <c r="G84" s="39">
        <v>12</v>
      </c>
      <c r="H84" s="39"/>
      <c r="I84" s="40" t="s">
        <v>262</v>
      </c>
      <c r="J84" s="41">
        <v>54</v>
      </c>
      <c r="K84" s="41">
        <v>166</v>
      </c>
      <c r="L84" s="41"/>
      <c r="M84" s="42">
        <v>112</v>
      </c>
      <c r="N84" s="42">
        <v>112</v>
      </c>
      <c r="O84" s="43">
        <v>8964</v>
      </c>
      <c r="P84" s="44">
        <v>6048</v>
      </c>
      <c r="Q84" s="44">
        <v>6048</v>
      </c>
      <c r="R84" s="45">
        <v>0</v>
      </c>
      <c r="S84" s="46">
        <v>0</v>
      </c>
      <c r="T84" s="39">
        <f t="shared" si="19"/>
        <v>12</v>
      </c>
      <c r="U84" s="47">
        <f t="shared" si="20"/>
        <v>7.7469813869884985E-3</v>
      </c>
      <c r="V84" s="48">
        <f t="shared" si="21"/>
        <v>0</v>
      </c>
      <c r="W84" s="49">
        <f t="shared" si="22"/>
        <v>6.4558178224904158E-4</v>
      </c>
      <c r="X84" s="44">
        <f t="shared" si="23"/>
        <v>856.11735722400374</v>
      </c>
      <c r="Y84" s="44">
        <f t="shared" si="24"/>
        <v>0</v>
      </c>
      <c r="Z84" s="44">
        <f t="shared" si="25"/>
        <v>5095.2752107201195</v>
      </c>
      <c r="AA84" s="50">
        <f t="shared" si="26"/>
        <v>6904.1173572240041</v>
      </c>
      <c r="AB84" s="51">
        <f t="shared" si="27"/>
        <v>4770.8569388765163</v>
      </c>
      <c r="AC84" s="44">
        <f t="shared" si="28"/>
        <v>6464.5293606966325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0.91128284670075355</v>
      </c>
      <c r="AG84" s="44">
        <f t="shared" si="31"/>
        <v>8168.739437825554</v>
      </c>
      <c r="AH84" s="52">
        <f>HLOOKUP(I84,ElecAvoidedCostsWOCC!$A$5:$Q$50,T84+1,FALSE)</f>
        <v>0.91128284670075355</v>
      </c>
      <c r="AI84" s="44">
        <f t="shared" si="32"/>
        <v>0</v>
      </c>
      <c r="AJ84" s="44">
        <f t="shared" si="33"/>
        <v>8168.739437825554</v>
      </c>
      <c r="AK84" s="44">
        <f>HLOOKUP(I84,ElecAvoidedCostsWOCC!$A$5:$Q$50,G84+1,FALSE)*J84*L84</f>
        <v>0</v>
      </c>
      <c r="AL84" s="44">
        <f t="shared" si="34"/>
        <v>8168.739437825554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8168.739437825554</v>
      </c>
      <c r="AN84" s="48">
        <f t="shared" si="35"/>
        <v>8985.6133816081092</v>
      </c>
      <c r="AO84" s="47">
        <f t="shared" si="36"/>
        <v>1.7122163884774129</v>
      </c>
      <c r="AP84" s="47">
        <f t="shared" si="37"/>
        <v>1.3899872489154879</v>
      </c>
    </row>
    <row r="85" spans="2:42" x14ac:dyDescent="0.35">
      <c r="B85" s="97" t="s">
        <v>67</v>
      </c>
      <c r="C85" s="98">
        <v>18231134</v>
      </c>
      <c r="D85" s="61" t="s">
        <v>167</v>
      </c>
      <c r="E85" s="38" t="s">
        <v>1701</v>
      </c>
      <c r="F85" s="39" t="s">
        <v>1702</v>
      </c>
      <c r="G85" s="39">
        <v>12</v>
      </c>
      <c r="H85" s="39"/>
      <c r="I85" s="40" t="s">
        <v>262</v>
      </c>
      <c r="J85" s="41">
        <v>2</v>
      </c>
      <c r="K85" s="41">
        <v>275</v>
      </c>
      <c r="L85" s="41"/>
      <c r="M85" s="42">
        <v>112</v>
      </c>
      <c r="N85" s="42">
        <v>112</v>
      </c>
      <c r="O85" s="43">
        <v>550</v>
      </c>
      <c r="P85" s="44">
        <v>224</v>
      </c>
      <c r="Q85" s="44">
        <v>224</v>
      </c>
      <c r="R85" s="45">
        <v>9.7289999999999992</v>
      </c>
      <c r="S85" s="46">
        <v>0</v>
      </c>
      <c r="T85" s="39">
        <f t="shared" si="19"/>
        <v>12</v>
      </c>
      <c r="U85" s="47">
        <f t="shared" si="20"/>
        <v>4.7532795212446163E-4</v>
      </c>
      <c r="V85" s="48">
        <f t="shared" si="21"/>
        <v>0</v>
      </c>
      <c r="W85" s="49">
        <f t="shared" si="22"/>
        <v>3.9610662677038469E-5</v>
      </c>
      <c r="X85" s="44">
        <f t="shared" si="23"/>
        <v>52.528396527577193</v>
      </c>
      <c r="Y85" s="44">
        <f t="shared" si="24"/>
        <v>0</v>
      </c>
      <c r="Z85" s="44">
        <f t="shared" si="25"/>
        <v>312.62844331727632</v>
      </c>
      <c r="AA85" s="50">
        <f t="shared" si="26"/>
        <v>276.52839652757717</v>
      </c>
      <c r="AB85" s="51">
        <f t="shared" si="27"/>
        <v>292.72326153303027</v>
      </c>
      <c r="AC85" s="44">
        <f t="shared" si="28"/>
        <v>258.92171959510972</v>
      </c>
      <c r="AD85" s="44">
        <f t="shared" si="29"/>
        <v>156.20963441010065</v>
      </c>
      <c r="AE85" s="44">
        <f t="shared" si="30"/>
        <v>0</v>
      </c>
      <c r="AF85" s="52">
        <f>HLOOKUP(I85,ElecAvoidedCostsWOCC!$A$5:$Q$50,G85+1,FALSE)</f>
        <v>0.91128284670075355</v>
      </c>
      <c r="AG85" s="44">
        <f t="shared" si="31"/>
        <v>501.20556568541446</v>
      </c>
      <c r="AH85" s="52">
        <f>HLOOKUP(I85,ElecAvoidedCostsWOCC!$A$5:$Q$50,T85+1,FALSE)</f>
        <v>0.91128284670075355</v>
      </c>
      <c r="AI85" s="44">
        <f t="shared" si="32"/>
        <v>0</v>
      </c>
      <c r="AJ85" s="44">
        <f t="shared" si="33"/>
        <v>501.20556568541446</v>
      </c>
      <c r="AK85" s="44">
        <f>HLOOKUP(I85,ElecAvoidedCostsWOCC!$A$5:$Q$50,G85+1,FALSE)*J85*L85</f>
        <v>0</v>
      </c>
      <c r="AL85" s="44">
        <f t="shared" si="34"/>
        <v>501.20556568541446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501.20556568541446</v>
      </c>
      <c r="AN85" s="48">
        <f t="shared" si="35"/>
        <v>707.53575666405663</v>
      </c>
      <c r="AO85" s="47">
        <f t="shared" si="36"/>
        <v>1.7122163884774135</v>
      </c>
      <c r="AP85" s="47">
        <f t="shared" si="37"/>
        <v>2.7326241991999343</v>
      </c>
    </row>
    <row r="86" spans="2:42" x14ac:dyDescent="0.35">
      <c r="B86" s="97" t="s">
        <v>67</v>
      </c>
      <c r="C86" s="98">
        <v>18231134</v>
      </c>
      <c r="D86" s="61" t="s">
        <v>167</v>
      </c>
      <c r="E86" s="38" t="s">
        <v>1703</v>
      </c>
      <c r="F86" s="39" t="s">
        <v>1704</v>
      </c>
      <c r="G86" s="39">
        <v>12</v>
      </c>
      <c r="H86" s="39"/>
      <c r="I86" s="40" t="s">
        <v>262</v>
      </c>
      <c r="J86" s="41">
        <v>33</v>
      </c>
      <c r="K86" s="41">
        <v>332</v>
      </c>
      <c r="L86" s="41"/>
      <c r="M86" s="42">
        <v>154</v>
      </c>
      <c r="N86" s="42">
        <v>154</v>
      </c>
      <c r="O86" s="43">
        <v>10956</v>
      </c>
      <c r="P86" s="44">
        <v>5082</v>
      </c>
      <c r="Q86" s="44">
        <v>5082</v>
      </c>
      <c r="R86" s="45">
        <v>0</v>
      </c>
      <c r="S86" s="46">
        <v>0</v>
      </c>
      <c r="T86" s="39">
        <f t="shared" si="19"/>
        <v>12</v>
      </c>
      <c r="U86" s="47">
        <f t="shared" si="20"/>
        <v>9.468532806319277E-3</v>
      </c>
      <c r="V86" s="48">
        <f t="shared" si="21"/>
        <v>0</v>
      </c>
      <c r="W86" s="49">
        <f t="shared" si="22"/>
        <v>7.8904440052660638E-4</v>
      </c>
      <c r="X86" s="44">
        <f t="shared" si="23"/>
        <v>1046.3656588293379</v>
      </c>
      <c r="Y86" s="44">
        <f t="shared" si="24"/>
        <v>0</v>
      </c>
      <c r="Z86" s="44">
        <f t="shared" si="25"/>
        <v>6227.5585908801459</v>
      </c>
      <c r="AA86" s="50">
        <f t="shared" si="26"/>
        <v>6128.3656588293379</v>
      </c>
      <c r="AB86" s="51">
        <f t="shared" si="27"/>
        <v>5831.0473697379639</v>
      </c>
      <c r="AC86" s="44">
        <f t="shared" si="28"/>
        <v>5738.1700925368332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0.91128284670075355</v>
      </c>
      <c r="AG86" s="44">
        <f t="shared" si="31"/>
        <v>9984.0148684534561</v>
      </c>
      <c r="AH86" s="52">
        <f>HLOOKUP(I86,ElecAvoidedCostsWOCC!$A$5:$Q$50,T86+1,FALSE)</f>
        <v>0.91128284670075355</v>
      </c>
      <c r="AI86" s="44">
        <f t="shared" si="32"/>
        <v>0</v>
      </c>
      <c r="AJ86" s="44">
        <f t="shared" si="33"/>
        <v>9984.0148684534561</v>
      </c>
      <c r="AK86" s="44">
        <f>HLOOKUP(I86,ElecAvoidedCostsWOCC!$A$5:$Q$50,G86+1,FALSE)*J86*L86</f>
        <v>0</v>
      </c>
      <c r="AL86" s="44">
        <f t="shared" si="34"/>
        <v>9984.0148684534561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9984.0148684534561</v>
      </c>
      <c r="AN86" s="48">
        <f t="shared" si="35"/>
        <v>10982.416355298803</v>
      </c>
      <c r="AO86" s="47">
        <f t="shared" si="36"/>
        <v>1.7122163884774133</v>
      </c>
      <c r="AP86" s="47">
        <f t="shared" si="37"/>
        <v>1.9139231110598709</v>
      </c>
    </row>
    <row r="87" spans="2:42" x14ac:dyDescent="0.35">
      <c r="B87" s="37"/>
      <c r="C87" s="61"/>
      <c r="D87" s="61"/>
      <c r="E87" s="38" t="s">
        <v>1705</v>
      </c>
      <c r="F87" s="39" t="s">
        <v>1704</v>
      </c>
      <c r="G87" s="39">
        <v>12</v>
      </c>
      <c r="H87" s="39"/>
      <c r="I87" s="40" t="s">
        <v>262</v>
      </c>
      <c r="J87" s="41">
        <v>463</v>
      </c>
      <c r="K87" s="41">
        <v>317</v>
      </c>
      <c r="L87" s="41"/>
      <c r="M87" s="42">
        <v>154</v>
      </c>
      <c r="N87" s="42">
        <v>154</v>
      </c>
      <c r="O87" s="43">
        <v>146771</v>
      </c>
      <c r="P87" s="44">
        <v>71302</v>
      </c>
      <c r="Q87" s="44">
        <v>71302</v>
      </c>
      <c r="R87" s="45">
        <v>11.215</v>
      </c>
      <c r="S87" s="46">
        <v>0</v>
      </c>
      <c r="T87" s="39">
        <f t="shared" ref="T87:T150" si="38">G87+H87</f>
        <v>12</v>
      </c>
      <c r="U87" s="47">
        <f t="shared" ref="U87:U150" si="39">(O87/$A$10)*T87</f>
        <v>0.1268442888386534</v>
      </c>
      <c r="V87" s="48">
        <f t="shared" ref="V87:V150" si="40">N87-M87</f>
        <v>0</v>
      </c>
      <c r="W87" s="49">
        <f t="shared" ref="W87:W150" si="41">(O87/A$10)</f>
        <v>1.0570357403221115E-2</v>
      </c>
      <c r="X87" s="44">
        <f t="shared" ref="X87:X150" si="42">W87*A$8</f>
        <v>14017.536884998242</v>
      </c>
      <c r="Y87" s="44">
        <f t="shared" ref="Y87:Y150" si="43">Q87-P87</f>
        <v>0</v>
      </c>
      <c r="Z87" s="44">
        <f t="shared" ref="Z87:Z150" si="44">X87+(A$6*W87)</f>
        <v>83426.889552945402</v>
      </c>
      <c r="AA87" s="50">
        <f t="shared" ref="AA87:AA150" si="45">Q87+X87</f>
        <v>85319.536884998248</v>
      </c>
      <c r="AB87" s="51">
        <f t="shared" ref="AB87:AB150" si="46">Z87/(1+ElecDiscountRate)^1</f>
        <v>78115.065124480709</v>
      </c>
      <c r="AC87" s="44">
        <f t="shared" ref="AC87:AC150" si="47">AA87/(1+ElecDiscountRate)^1</f>
        <v>79887.206821159401</v>
      </c>
      <c r="AD87" s="44">
        <f t="shared" ref="AD87:AD150" si="48">-PV(ElecDiscountRate,T87,R87)*J87</f>
        <v>41685.967525336426</v>
      </c>
      <c r="AE87" s="44">
        <f t="shared" ref="AE87:AE150" si="49">-PV(ElecDiscountRate,T87,S87)*J87</f>
        <v>0</v>
      </c>
      <c r="AF87" s="52">
        <f>HLOOKUP(I87,ElecAvoidedCostsWOCC!$A$5:$Q$50,G87+1,FALSE)</f>
        <v>0.91128284670075355</v>
      </c>
      <c r="AG87" s="44">
        <f t="shared" ref="AG87:AG150" si="50">AF87*J87*K87</f>
        <v>133749.89469311631</v>
      </c>
      <c r="AH87" s="52">
        <f>HLOOKUP(I87,ElecAvoidedCostsWOCC!$A$5:$Q$50,T87+1,FALSE)</f>
        <v>0.91128284670075355</v>
      </c>
      <c r="AI87" s="44">
        <f t="shared" ref="AI87:AI150" si="51">AH87*J87*L87</f>
        <v>0</v>
      </c>
      <c r="AJ87" s="44">
        <f t="shared" ref="AJ87:AJ150" si="52">AG87+AI87</f>
        <v>133749.89469311631</v>
      </c>
      <c r="AK87" s="44">
        <f>HLOOKUP(I87,ElecAvoidedCostsWOCC!$A$5:$Q$50,G87+1,FALSE)*J87*L87</f>
        <v>0</v>
      </c>
      <c r="AL87" s="44">
        <f t="shared" ref="AL87:AL150" si="53">AG87+AI87-AK87</f>
        <v>133749.89469311631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133749.89469311631</v>
      </c>
      <c r="AN87" s="48">
        <f t="shared" ref="AN87:AN150" si="54">AM87*1.1+AD87+AE87</f>
        <v>188810.85168776437</v>
      </c>
      <c r="AO87" s="47">
        <f t="shared" ref="AO87:AO150" si="55">IFERROR(AM87/AB87,0)</f>
        <v>1.7122163884774133</v>
      </c>
      <c r="AP87" s="47">
        <f t="shared" ref="AP87:AP150" si="56">AN87/AC87</f>
        <v>2.3634679343646146</v>
      </c>
    </row>
    <row r="88" spans="2:42" x14ac:dyDescent="0.35">
      <c r="B88" s="37"/>
      <c r="C88" s="61"/>
      <c r="D88" s="61"/>
      <c r="E88" s="38" t="s">
        <v>1706</v>
      </c>
      <c r="F88" s="39" t="s">
        <v>1707</v>
      </c>
      <c r="G88" s="39">
        <v>12</v>
      </c>
      <c r="H88" s="39"/>
      <c r="I88" s="40" t="s">
        <v>262</v>
      </c>
      <c r="J88" s="41">
        <v>256</v>
      </c>
      <c r="K88" s="41">
        <v>550</v>
      </c>
      <c r="L88" s="41"/>
      <c r="M88" s="42">
        <v>170</v>
      </c>
      <c r="N88" s="42">
        <v>170</v>
      </c>
      <c r="O88" s="43">
        <v>140800</v>
      </c>
      <c r="P88" s="44">
        <v>43520</v>
      </c>
      <c r="Q88" s="44">
        <v>43520</v>
      </c>
      <c r="R88" s="45">
        <v>19.457000000000001</v>
      </c>
      <c r="S88" s="46">
        <v>0</v>
      </c>
      <c r="T88" s="39">
        <f t="shared" si="38"/>
        <v>12</v>
      </c>
      <c r="U88" s="47">
        <f t="shared" si="39"/>
        <v>0.12168395574386218</v>
      </c>
      <c r="V88" s="48">
        <f t="shared" si="40"/>
        <v>0</v>
      </c>
      <c r="W88" s="49">
        <f t="shared" si="41"/>
        <v>1.0140329645321848E-2</v>
      </c>
      <c r="X88" s="44">
        <f t="shared" si="42"/>
        <v>13447.269511059761</v>
      </c>
      <c r="Y88" s="44">
        <f t="shared" si="43"/>
        <v>0</v>
      </c>
      <c r="Z88" s="44">
        <f t="shared" si="44"/>
        <v>80032.881489222738</v>
      </c>
      <c r="AA88" s="50">
        <f t="shared" si="45"/>
        <v>56967.269511059763</v>
      </c>
      <c r="AB88" s="51">
        <f t="shared" si="46"/>
        <v>74937.154952455749</v>
      </c>
      <c r="AC88" s="44">
        <f t="shared" si="47"/>
        <v>53340.139991628988</v>
      </c>
      <c r="AD88" s="44">
        <f t="shared" si="48"/>
        <v>39987.611230323571</v>
      </c>
      <c r="AE88" s="44">
        <f t="shared" si="49"/>
        <v>0</v>
      </c>
      <c r="AF88" s="52">
        <f>HLOOKUP(I88,ElecAvoidedCostsWOCC!$A$5:$Q$50,G88+1,FALSE)</f>
        <v>0.91128284670075355</v>
      </c>
      <c r="AG88" s="44">
        <f t="shared" si="50"/>
        <v>128308.6248154661</v>
      </c>
      <c r="AH88" s="52">
        <f>HLOOKUP(I88,ElecAvoidedCostsWOCC!$A$5:$Q$50,T88+1,FALSE)</f>
        <v>0.91128284670075355</v>
      </c>
      <c r="AI88" s="44">
        <f t="shared" si="51"/>
        <v>0</v>
      </c>
      <c r="AJ88" s="44">
        <f t="shared" si="52"/>
        <v>128308.6248154661</v>
      </c>
      <c r="AK88" s="44">
        <f>HLOOKUP(I88,ElecAvoidedCostsWOCC!$A$5:$Q$50,G88+1,FALSE)*J88*L88</f>
        <v>0</v>
      </c>
      <c r="AL88" s="44">
        <f t="shared" si="53"/>
        <v>128308.6248154661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128308.6248154661</v>
      </c>
      <c r="AN88" s="48">
        <f t="shared" si="54"/>
        <v>181127.09852733632</v>
      </c>
      <c r="AO88" s="47">
        <f t="shared" si="55"/>
        <v>1.7122163884774135</v>
      </c>
      <c r="AP88" s="47">
        <f t="shared" si="56"/>
        <v>3.3956997217435454</v>
      </c>
    </row>
    <row r="89" spans="2:42" x14ac:dyDescent="0.35">
      <c r="B89" s="37"/>
      <c r="C89" s="61"/>
      <c r="D89" s="61"/>
      <c r="E89" s="38" t="s">
        <v>1708</v>
      </c>
      <c r="F89" s="39" t="s">
        <v>1709</v>
      </c>
      <c r="G89" s="39">
        <v>13</v>
      </c>
      <c r="H89" s="39"/>
      <c r="I89" s="40" t="s">
        <v>262</v>
      </c>
      <c r="J89" s="41">
        <v>4</v>
      </c>
      <c r="K89" s="41">
        <v>25.37</v>
      </c>
      <c r="L89" s="41"/>
      <c r="M89" s="42">
        <v>17</v>
      </c>
      <c r="N89" s="42">
        <v>17</v>
      </c>
      <c r="O89" s="43">
        <v>101.48</v>
      </c>
      <c r="P89" s="44">
        <v>68</v>
      </c>
      <c r="Q89" s="44">
        <v>68</v>
      </c>
      <c r="R89" s="45">
        <v>9.2999999999999999E-2</v>
      </c>
      <c r="S89" s="46">
        <v>0</v>
      </c>
      <c r="T89" s="39">
        <f t="shared" si="38"/>
        <v>13</v>
      </c>
      <c r="U89" s="47">
        <f t="shared" si="39"/>
        <v>9.5010855691011334E-5</v>
      </c>
      <c r="V89" s="48">
        <f t="shared" si="40"/>
        <v>0</v>
      </c>
      <c r="W89" s="49">
        <f t="shared" si="41"/>
        <v>7.3085273608470259E-6</v>
      </c>
      <c r="X89" s="44">
        <f t="shared" si="42"/>
        <v>9.6919666902155175</v>
      </c>
      <c r="Y89" s="44">
        <f t="shared" si="43"/>
        <v>0</v>
      </c>
      <c r="Z89" s="44">
        <f t="shared" si="44"/>
        <v>57.68278986879492</v>
      </c>
      <c r="AA89" s="50">
        <f t="shared" si="45"/>
        <v>77.691966690215523</v>
      </c>
      <c r="AB89" s="51">
        <f t="shared" si="46"/>
        <v>54.010102873403483</v>
      </c>
      <c r="AC89" s="44">
        <f t="shared" si="47"/>
        <v>72.745287163123152</v>
      </c>
      <c r="AD89" s="44">
        <f t="shared" si="48"/>
        <v>3.1445987766870505</v>
      </c>
      <c r="AE89" s="44">
        <f t="shared" si="49"/>
        <v>0</v>
      </c>
      <c r="AF89" s="52">
        <f>HLOOKUP(I89,ElecAvoidedCostsWOCC!$A$5:$Q$50,G89+1,FALSE)</f>
        <v>0.9745097192212081</v>
      </c>
      <c r="AG89" s="44">
        <f t="shared" si="50"/>
        <v>98.893246306568201</v>
      </c>
      <c r="AH89" s="52">
        <f>HLOOKUP(I89,ElecAvoidedCostsWOCC!$A$5:$Q$50,T89+1,FALSE)</f>
        <v>0.9745097192212081</v>
      </c>
      <c r="AI89" s="44">
        <f t="shared" si="51"/>
        <v>0</v>
      </c>
      <c r="AJ89" s="44">
        <f t="shared" si="52"/>
        <v>98.893246306568201</v>
      </c>
      <c r="AK89" s="44">
        <f>HLOOKUP(I89,ElecAvoidedCostsWOCC!$A$5:$Q$50,G89+1,FALSE)*J89*L89</f>
        <v>0</v>
      </c>
      <c r="AL89" s="44">
        <f t="shared" si="53"/>
        <v>98.893246306568201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98.893246306568201</v>
      </c>
      <c r="AN89" s="48">
        <f t="shared" si="54"/>
        <v>111.92716971391208</v>
      </c>
      <c r="AO89" s="47">
        <f t="shared" si="55"/>
        <v>1.8310138482492466</v>
      </c>
      <c r="AP89" s="47">
        <f t="shared" si="56"/>
        <v>1.5386174703376723</v>
      </c>
    </row>
    <row r="90" spans="2:42" x14ac:dyDescent="0.35">
      <c r="B90" s="37"/>
      <c r="C90" s="61"/>
      <c r="D90" s="61"/>
      <c r="E90" s="38" t="s">
        <v>1710</v>
      </c>
      <c r="F90" s="39" t="s">
        <v>1711</v>
      </c>
      <c r="G90" s="39">
        <v>7</v>
      </c>
      <c r="H90" s="39"/>
      <c r="I90" s="40" t="s">
        <v>262</v>
      </c>
      <c r="J90" s="41">
        <v>165</v>
      </c>
      <c r="K90" s="41">
        <v>37</v>
      </c>
      <c r="L90" s="41"/>
      <c r="M90" s="42">
        <v>17</v>
      </c>
      <c r="N90" s="42">
        <v>17</v>
      </c>
      <c r="O90" s="43">
        <v>6105</v>
      </c>
      <c r="P90" s="44">
        <v>2805</v>
      </c>
      <c r="Q90" s="44">
        <v>2805</v>
      </c>
      <c r="R90" s="45">
        <v>0.13600000000000001</v>
      </c>
      <c r="S90" s="46">
        <v>0</v>
      </c>
      <c r="T90" s="39">
        <f t="shared" si="38"/>
        <v>7</v>
      </c>
      <c r="U90" s="47">
        <f t="shared" si="39"/>
        <v>3.0777484900058891E-3</v>
      </c>
      <c r="V90" s="48">
        <f t="shared" si="40"/>
        <v>0</v>
      </c>
      <c r="W90" s="49">
        <f t="shared" si="41"/>
        <v>4.3967835571512705E-4</v>
      </c>
      <c r="X90" s="44">
        <f t="shared" si="42"/>
        <v>583.06520145610693</v>
      </c>
      <c r="Y90" s="44">
        <f t="shared" si="43"/>
        <v>0</v>
      </c>
      <c r="Z90" s="44">
        <f t="shared" si="44"/>
        <v>3470.1757208217678</v>
      </c>
      <c r="AA90" s="50">
        <f t="shared" si="45"/>
        <v>3388.0652014561069</v>
      </c>
      <c r="AB90" s="51">
        <f t="shared" si="46"/>
        <v>3249.2282030166361</v>
      </c>
      <c r="AC90" s="44">
        <f t="shared" si="47"/>
        <v>3172.3456942472908</v>
      </c>
      <c r="AD90" s="44">
        <f t="shared" si="48"/>
        <v>121.78348606337235</v>
      </c>
      <c r="AE90" s="44">
        <f t="shared" si="49"/>
        <v>0</v>
      </c>
      <c r="AF90" s="52">
        <f>HLOOKUP(I90,ElecAvoidedCostsWOCC!$A$5:$Q$50,G90+1,FALSE)</f>
        <v>0.55277358241959351</v>
      </c>
      <c r="AG90" s="44">
        <f t="shared" si="50"/>
        <v>3374.6827206716184</v>
      </c>
      <c r="AH90" s="52">
        <f>HLOOKUP(I90,ElecAvoidedCostsWOCC!$A$5:$Q$50,T90+1,FALSE)</f>
        <v>0.55277358241959351</v>
      </c>
      <c r="AI90" s="44">
        <f t="shared" si="51"/>
        <v>0</v>
      </c>
      <c r="AJ90" s="44">
        <f t="shared" si="52"/>
        <v>3374.6827206716184</v>
      </c>
      <c r="AK90" s="44">
        <f>HLOOKUP(I90,ElecAvoidedCostsWOCC!$A$5:$Q$50,G90+1,FALSE)*J90*L90</f>
        <v>0</v>
      </c>
      <c r="AL90" s="44">
        <f t="shared" si="53"/>
        <v>3374.6827206716184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3374.6827206716184</v>
      </c>
      <c r="AN90" s="48">
        <f t="shared" si="54"/>
        <v>3833.9344788021531</v>
      </c>
      <c r="AO90" s="47">
        <f t="shared" si="55"/>
        <v>1.0386105591286288</v>
      </c>
      <c r="AP90" s="47">
        <f t="shared" si="56"/>
        <v>1.2085487674797177</v>
      </c>
    </row>
    <row r="91" spans="2:42" x14ac:dyDescent="0.35">
      <c r="B91" s="37"/>
      <c r="C91" s="61"/>
      <c r="D91" s="61"/>
      <c r="E91" s="38" t="s">
        <v>1712</v>
      </c>
      <c r="F91" s="39" t="s">
        <v>1713</v>
      </c>
      <c r="G91" s="39">
        <v>7</v>
      </c>
      <c r="H91" s="39"/>
      <c r="I91" s="40" t="s">
        <v>262</v>
      </c>
      <c r="J91" s="41">
        <v>238</v>
      </c>
      <c r="K91" s="41">
        <v>60.64</v>
      </c>
      <c r="L91" s="41"/>
      <c r="M91" s="42">
        <v>17</v>
      </c>
      <c r="N91" s="42">
        <v>17</v>
      </c>
      <c r="O91" s="43">
        <v>14432.32</v>
      </c>
      <c r="P91" s="44">
        <v>4046</v>
      </c>
      <c r="Q91" s="44">
        <v>4046</v>
      </c>
      <c r="R91" s="45">
        <v>0</v>
      </c>
      <c r="S91" s="46">
        <v>0</v>
      </c>
      <c r="T91" s="39">
        <f t="shared" si="38"/>
        <v>7</v>
      </c>
      <c r="U91" s="47">
        <f t="shared" si="39"/>
        <v>7.2758478439446019E-3</v>
      </c>
      <c r="V91" s="48">
        <f t="shared" si="40"/>
        <v>0</v>
      </c>
      <c r="W91" s="49">
        <f t="shared" si="41"/>
        <v>1.0394068348492289E-3</v>
      </c>
      <c r="X91" s="44">
        <f t="shared" si="42"/>
        <v>1378.3756868597873</v>
      </c>
      <c r="Y91" s="44">
        <f t="shared" si="43"/>
        <v>0</v>
      </c>
      <c r="Z91" s="44">
        <f t="shared" si="44"/>
        <v>8203.5522455578084</v>
      </c>
      <c r="AA91" s="50">
        <f t="shared" si="45"/>
        <v>5424.3756868597875</v>
      </c>
      <c r="AB91" s="51">
        <f t="shared" si="46"/>
        <v>7681.228694342517</v>
      </c>
      <c r="AC91" s="44">
        <f t="shared" si="47"/>
        <v>5079.0034521159059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0.55277358241959351</v>
      </c>
      <c r="AG91" s="44">
        <f t="shared" si="50"/>
        <v>7977.8052290259484</v>
      </c>
      <c r="AH91" s="52">
        <f>HLOOKUP(I91,ElecAvoidedCostsWOCC!$A$5:$Q$50,T91+1,FALSE)</f>
        <v>0.55277358241959351</v>
      </c>
      <c r="AI91" s="44">
        <f t="shared" si="51"/>
        <v>0</v>
      </c>
      <c r="AJ91" s="44">
        <f t="shared" si="52"/>
        <v>7977.8052290259484</v>
      </c>
      <c r="AK91" s="44">
        <f>HLOOKUP(I91,ElecAvoidedCostsWOCC!$A$5:$Q$50,G91+1,FALSE)*J91*L91</f>
        <v>0</v>
      </c>
      <c r="AL91" s="44">
        <f t="shared" si="53"/>
        <v>7977.8052290259484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7977.8052290259484</v>
      </c>
      <c r="AN91" s="48">
        <f t="shared" si="54"/>
        <v>8775.5857519285437</v>
      </c>
      <c r="AO91" s="47">
        <f t="shared" si="55"/>
        <v>1.0386105591286288</v>
      </c>
      <c r="AP91" s="47">
        <f t="shared" si="56"/>
        <v>1.7278164574337209</v>
      </c>
    </row>
    <row r="92" spans="2:42" x14ac:dyDescent="0.35">
      <c r="B92" s="37"/>
      <c r="C92" s="61"/>
      <c r="D92" s="61"/>
      <c r="E92" s="38" t="s">
        <v>1714</v>
      </c>
      <c r="F92" s="39" t="s">
        <v>1713</v>
      </c>
      <c r="G92" s="39">
        <v>7</v>
      </c>
      <c r="H92" s="39"/>
      <c r="I92" s="40" t="s">
        <v>262</v>
      </c>
      <c r="J92" s="41">
        <v>172</v>
      </c>
      <c r="K92" s="41">
        <v>60.64</v>
      </c>
      <c r="L92" s="41"/>
      <c r="M92" s="42">
        <v>17</v>
      </c>
      <c r="N92" s="42">
        <v>17</v>
      </c>
      <c r="O92" s="43">
        <v>10430.08</v>
      </c>
      <c r="P92" s="44">
        <v>2924</v>
      </c>
      <c r="Q92" s="44">
        <v>2924</v>
      </c>
      <c r="R92" s="45">
        <v>0.223</v>
      </c>
      <c r="S92" s="46">
        <v>0</v>
      </c>
      <c r="T92" s="39">
        <f t="shared" si="38"/>
        <v>7</v>
      </c>
      <c r="U92" s="47">
        <f t="shared" si="39"/>
        <v>5.258175752766687E-3</v>
      </c>
      <c r="V92" s="48">
        <f t="shared" si="40"/>
        <v>0</v>
      </c>
      <c r="W92" s="49">
        <f t="shared" si="41"/>
        <v>7.511679646809553E-4</v>
      </c>
      <c r="X92" s="44">
        <f t="shared" si="42"/>
        <v>996.13705100791344</v>
      </c>
      <c r="Y92" s="44">
        <f t="shared" si="43"/>
        <v>0</v>
      </c>
      <c r="Z92" s="44">
        <f t="shared" si="44"/>
        <v>5928.6175892266501</v>
      </c>
      <c r="AA92" s="50">
        <f t="shared" si="45"/>
        <v>3920.1370510079132</v>
      </c>
      <c r="AB92" s="51">
        <f t="shared" si="46"/>
        <v>5551.1400648189601</v>
      </c>
      <c r="AC92" s="44">
        <f t="shared" si="47"/>
        <v>3670.5403099325026</v>
      </c>
      <c r="AD92" s="44">
        <f t="shared" si="48"/>
        <v>208.16075719459488</v>
      </c>
      <c r="AE92" s="44">
        <f t="shared" si="49"/>
        <v>0</v>
      </c>
      <c r="AF92" s="52">
        <f>HLOOKUP(I92,ElecAvoidedCostsWOCC!$A$5:$Q$50,G92+1,FALSE)</f>
        <v>0.55277358241959351</v>
      </c>
      <c r="AG92" s="44">
        <f t="shared" si="50"/>
        <v>5765.4726865229541</v>
      </c>
      <c r="AH92" s="52">
        <f>HLOOKUP(I92,ElecAvoidedCostsWOCC!$A$5:$Q$50,T92+1,FALSE)</f>
        <v>0.55277358241959351</v>
      </c>
      <c r="AI92" s="44">
        <f t="shared" si="51"/>
        <v>0</v>
      </c>
      <c r="AJ92" s="44">
        <f t="shared" si="52"/>
        <v>5765.4726865229541</v>
      </c>
      <c r="AK92" s="44">
        <f>HLOOKUP(I92,ElecAvoidedCostsWOCC!$A$5:$Q$50,G92+1,FALSE)*J92*L92</f>
        <v>0</v>
      </c>
      <c r="AL92" s="44">
        <f t="shared" si="53"/>
        <v>5765.4726865229541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5765.4726865229541</v>
      </c>
      <c r="AN92" s="48">
        <f t="shared" si="54"/>
        <v>6550.1807123698454</v>
      </c>
      <c r="AO92" s="47">
        <f t="shared" si="55"/>
        <v>1.038610559128629</v>
      </c>
      <c r="AP92" s="47">
        <f t="shared" si="56"/>
        <v>1.7845276605858325</v>
      </c>
    </row>
    <row r="93" spans="2:42" x14ac:dyDescent="0.35">
      <c r="B93" s="37"/>
      <c r="C93" s="61"/>
      <c r="D93" s="61"/>
      <c r="E93" s="38" t="s">
        <v>1715</v>
      </c>
      <c r="F93" s="39" t="s">
        <v>1716</v>
      </c>
      <c r="G93" s="39">
        <v>7</v>
      </c>
      <c r="H93" s="39"/>
      <c r="I93" s="40" t="s">
        <v>262</v>
      </c>
      <c r="J93" s="41">
        <v>161</v>
      </c>
      <c r="K93" s="41">
        <v>74</v>
      </c>
      <c r="L93" s="41"/>
      <c r="M93" s="42">
        <v>17</v>
      </c>
      <c r="N93" s="42">
        <v>17</v>
      </c>
      <c r="O93" s="43">
        <v>11914</v>
      </c>
      <c r="P93" s="44">
        <v>1377</v>
      </c>
      <c r="Q93" s="44">
        <v>2737</v>
      </c>
      <c r="R93" s="45">
        <v>0.27200000000000002</v>
      </c>
      <c r="S93" s="46">
        <v>0</v>
      </c>
      <c r="T93" s="39">
        <f t="shared" si="38"/>
        <v>7</v>
      </c>
      <c r="U93" s="47">
        <f t="shared" si="39"/>
        <v>6.0062728107993712E-3</v>
      </c>
      <c r="V93" s="48">
        <f t="shared" si="40"/>
        <v>0</v>
      </c>
      <c r="W93" s="49">
        <f t="shared" si="41"/>
        <v>8.5803897297133879E-4</v>
      </c>
      <c r="X93" s="44">
        <f t="shared" si="42"/>
        <v>1137.8605749628268</v>
      </c>
      <c r="Y93" s="44">
        <f t="shared" si="43"/>
        <v>1360</v>
      </c>
      <c r="Z93" s="44">
        <f t="shared" si="44"/>
        <v>6772.100497603692</v>
      </c>
      <c r="AA93" s="50">
        <f t="shared" si="45"/>
        <v>3874.8605749628268</v>
      </c>
      <c r="AB93" s="51">
        <f t="shared" si="46"/>
        <v>6340.9180689173145</v>
      </c>
      <c r="AC93" s="44">
        <f t="shared" si="47"/>
        <v>3628.146605770437</v>
      </c>
      <c r="AD93" s="44">
        <f t="shared" si="48"/>
        <v>237.66231825700544</v>
      </c>
      <c r="AE93" s="44">
        <f t="shared" si="49"/>
        <v>0</v>
      </c>
      <c r="AF93" s="52">
        <f>HLOOKUP(I93,ElecAvoidedCostsWOCC!$A$5:$Q$50,G93+1,FALSE)</f>
        <v>0.55277358241959351</v>
      </c>
      <c r="AG93" s="44">
        <f t="shared" si="50"/>
        <v>6585.7444609470367</v>
      </c>
      <c r="AH93" s="52">
        <f>HLOOKUP(I93,ElecAvoidedCostsWOCC!$A$5:$Q$50,T93+1,FALSE)</f>
        <v>0.55277358241959351</v>
      </c>
      <c r="AI93" s="44">
        <f t="shared" si="51"/>
        <v>0</v>
      </c>
      <c r="AJ93" s="44">
        <f t="shared" si="52"/>
        <v>6585.7444609470367</v>
      </c>
      <c r="AK93" s="44">
        <f>HLOOKUP(I93,ElecAvoidedCostsWOCC!$A$5:$Q$50,G93+1,FALSE)*J93*L93</f>
        <v>0</v>
      </c>
      <c r="AL93" s="44">
        <f t="shared" si="53"/>
        <v>6585.7444609470367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6585.7444609470376</v>
      </c>
      <c r="AN93" s="48">
        <f t="shared" si="54"/>
        <v>7481.9812252987476</v>
      </c>
      <c r="AO93" s="47">
        <f t="shared" si="55"/>
        <v>1.0386105591286288</v>
      </c>
      <c r="AP93" s="47">
        <f t="shared" si="56"/>
        <v>2.0622047668633141</v>
      </c>
    </row>
    <row r="94" spans="2:42" x14ac:dyDescent="0.35">
      <c r="B94" s="37"/>
      <c r="C94" s="61"/>
      <c r="D94" s="61"/>
      <c r="E94" s="38" t="s">
        <v>1717</v>
      </c>
      <c r="F94" s="39" t="s">
        <v>1718</v>
      </c>
      <c r="G94" s="39">
        <v>1</v>
      </c>
      <c r="H94" s="39"/>
      <c r="I94" s="40" t="s">
        <v>262</v>
      </c>
      <c r="J94" s="41">
        <v>1601</v>
      </c>
      <c r="K94" s="41">
        <v>0</v>
      </c>
      <c r="L94" s="41"/>
      <c r="M94" s="42">
        <v>240</v>
      </c>
      <c r="N94" s="42">
        <v>240</v>
      </c>
      <c r="O94" s="43">
        <v>0</v>
      </c>
      <c r="P94" s="44">
        <v>384240</v>
      </c>
      <c r="Q94" s="44">
        <v>384240</v>
      </c>
      <c r="R94" s="45">
        <v>0</v>
      </c>
      <c r="S94" s="46">
        <v>0</v>
      </c>
      <c r="T94" s="39">
        <f t="shared" si="38"/>
        <v>1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384240</v>
      </c>
      <c r="AB94" s="51">
        <f t="shared" si="46"/>
        <v>0</v>
      </c>
      <c r="AC94" s="44">
        <f t="shared" si="47"/>
        <v>359775.28089887637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8.7849756394338507E-2</v>
      </c>
      <c r="AG94" s="44">
        <f t="shared" si="50"/>
        <v>0</v>
      </c>
      <c r="AH94" s="52">
        <f>HLOOKUP(I94,ElecAvoidedCostsWOCC!$A$5:$Q$50,T94+1,FALSE)</f>
        <v>8.7849756394338507E-2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>
        <f t="shared" si="56"/>
        <v>0</v>
      </c>
    </row>
    <row r="95" spans="2:42" x14ac:dyDescent="0.35">
      <c r="B95" s="37"/>
      <c r="C95" s="61"/>
      <c r="D95" s="61"/>
      <c r="E95" s="38" t="s">
        <v>1719</v>
      </c>
      <c r="F95" s="39" t="s">
        <v>1720</v>
      </c>
      <c r="G95" s="39">
        <v>1</v>
      </c>
      <c r="H95" s="39"/>
      <c r="I95" s="40" t="s">
        <v>266</v>
      </c>
      <c r="J95" s="41">
        <v>154</v>
      </c>
      <c r="K95" s="41"/>
      <c r="L95" s="41"/>
      <c r="M95" s="42"/>
      <c r="N95" s="42"/>
      <c r="O95" s="43">
        <v>0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1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0.10774670404546244</v>
      </c>
      <c r="AG95" s="44">
        <f t="shared" si="50"/>
        <v>0</v>
      </c>
      <c r="AH95" s="52">
        <f>HLOOKUP(I95,ElecAvoidedCostsWOCC!$A$5:$Q$50,T95+1,FALSE)</f>
        <v>0.10774670404546244</v>
      </c>
      <c r="AI95" s="44">
        <f t="shared" si="51"/>
        <v>0</v>
      </c>
      <c r="AJ95" s="44">
        <f t="shared" si="52"/>
        <v>0</v>
      </c>
      <c r="AK95" s="44">
        <f>HLOOKUP(I95,ElecAvoidedCostsWOCC!$A$5:$Q$50,G95+1,FALSE)*J95*L95</f>
        <v>0</v>
      </c>
      <c r="AL95" s="44">
        <f t="shared" si="53"/>
        <v>0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 x14ac:dyDescent="0.35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 x14ac:dyDescent="0.35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 x14ac:dyDescent="0.35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 x14ac:dyDescent="0.35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 x14ac:dyDescent="0.35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 x14ac:dyDescent="0.35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 x14ac:dyDescent="0.35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 x14ac:dyDescent="0.35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 x14ac:dyDescent="0.35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 x14ac:dyDescent="0.35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 x14ac:dyDescent="0.35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 x14ac:dyDescent="0.35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 x14ac:dyDescent="0.35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 x14ac:dyDescent="0.35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 x14ac:dyDescent="0.35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 x14ac:dyDescent="0.35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 x14ac:dyDescent="0.35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 x14ac:dyDescent="0.35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 x14ac:dyDescent="0.35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 x14ac:dyDescent="0.35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 x14ac:dyDescent="0.35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 x14ac:dyDescent="0.35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 x14ac:dyDescent="0.35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 x14ac:dyDescent="0.35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 x14ac:dyDescent="0.35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 x14ac:dyDescent="0.35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 x14ac:dyDescent="0.35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 x14ac:dyDescent="0.35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 x14ac:dyDescent="0.35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 x14ac:dyDescent="0.35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 x14ac:dyDescent="0.35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 x14ac:dyDescent="0.35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 x14ac:dyDescent="0.35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 x14ac:dyDescent="0.35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 x14ac:dyDescent="0.35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 x14ac:dyDescent="0.35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 x14ac:dyDescent="0.35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 x14ac:dyDescent="0.35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 x14ac:dyDescent="0.35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 x14ac:dyDescent="0.35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 x14ac:dyDescent="0.35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 x14ac:dyDescent="0.35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 x14ac:dyDescent="0.35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 x14ac:dyDescent="0.35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 x14ac:dyDescent="0.35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 x14ac:dyDescent="0.35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 x14ac:dyDescent="0.35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 x14ac:dyDescent="0.35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 x14ac:dyDescent="0.35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 x14ac:dyDescent="0.35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 x14ac:dyDescent="0.35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 x14ac:dyDescent="0.35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 x14ac:dyDescent="0.35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 x14ac:dyDescent="0.35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 x14ac:dyDescent="0.35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 x14ac:dyDescent="0.35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 x14ac:dyDescent="0.35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 x14ac:dyDescent="0.35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 x14ac:dyDescent="0.35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 x14ac:dyDescent="0.35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 x14ac:dyDescent="0.35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 x14ac:dyDescent="0.35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 x14ac:dyDescent="0.35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 x14ac:dyDescent="0.35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 x14ac:dyDescent="0.35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 x14ac:dyDescent="0.35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 x14ac:dyDescent="0.35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 x14ac:dyDescent="0.35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 x14ac:dyDescent="0.35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 x14ac:dyDescent="0.35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 x14ac:dyDescent="0.35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 x14ac:dyDescent="0.35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 x14ac:dyDescent="0.35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 x14ac:dyDescent="0.35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 x14ac:dyDescent="0.35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 x14ac:dyDescent="0.35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 x14ac:dyDescent="0.35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172 R5:S172">
    <cfRule type="expression" dxfId="177" priority="2">
      <formula>ISTEXT(M5)</formula>
    </cfRule>
  </conditionalFormatting>
  <conditionalFormatting sqref="M5:N172 R5:S172">
    <cfRule type="notContainsBlanks" dxfId="176" priority="3">
      <formula>LEN(TRIM(M5))&gt;0</formula>
    </cfRule>
  </conditionalFormatting>
  <conditionalFormatting sqref="R5:S17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18" sqref="G1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18230014</v>
      </c>
      <c r="D2" s="20" t="s">
        <v>301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18230014</v>
      </c>
      <c r="D5" s="61" t="s">
        <v>301</v>
      </c>
      <c r="E5" s="38" t="s">
        <v>1721</v>
      </c>
      <c r="F5" s="39" t="s">
        <v>1722</v>
      </c>
      <c r="G5" s="39">
        <v>10</v>
      </c>
      <c r="H5" s="39"/>
      <c r="I5" s="40" t="s">
        <v>266</v>
      </c>
      <c r="J5" s="41">
        <v>2227</v>
      </c>
      <c r="K5" s="41">
        <v>253</v>
      </c>
      <c r="L5" s="41"/>
      <c r="M5" s="42">
        <v>200</v>
      </c>
      <c r="N5" s="42">
        <v>206.08</v>
      </c>
      <c r="O5" s="43">
        <v>563431</v>
      </c>
      <c r="P5" s="44">
        <v>445373.52</v>
      </c>
      <c r="Q5" s="44">
        <v>458940.15999999997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3.803673982181639</v>
      </c>
      <c r="V5" s="48">
        <f t="shared" ref="V5:V24" si="2">N5-M5</f>
        <v>6.0800000000000125</v>
      </c>
      <c r="W5" s="49">
        <f t="shared" ref="W5:W24" si="3">(O5/A$10)</f>
        <v>0.3803673982181639</v>
      </c>
      <c r="X5" s="44">
        <f t="shared" ref="X5:X24" si="4">W5*A$8</f>
        <v>36775.821896723173</v>
      </c>
      <c r="Y5" s="44">
        <f t="shared" ref="Y5:Y24" si="5">Q5-P5</f>
        <v>13566.639999999956</v>
      </c>
      <c r="Z5" s="44">
        <f t="shared" ref="Z5:Z24" si="6">X5+(A$6*W5)</f>
        <v>628656.59923749778</v>
      </c>
      <c r="AA5" s="50">
        <f t="shared" ref="AA5:AA24" si="7">Q5+X5</f>
        <v>495715.98189672315</v>
      </c>
      <c r="AB5" s="51">
        <f t="shared" ref="AB5:AC20" si="8">Z5/(1+ElecDiscountRate)^1</f>
        <v>588629.7745669455</v>
      </c>
      <c r="AC5" s="44">
        <f t="shared" si="8"/>
        <v>464153.54110180069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0.92697743702634838</v>
      </c>
      <c r="AG5" s="44">
        <f t="shared" ref="AG5:AG24" si="10">AF5*J5*K5</f>
        <v>522287.82432119246</v>
      </c>
      <c r="AH5" s="52">
        <f>HLOOKUP(I5,ElecAvoidedCostsWOCC!$A$5:$Q$50,T5+1,FALSE)</f>
        <v>0.92697743702634838</v>
      </c>
      <c r="AI5" s="44">
        <f t="shared" ref="AI5:AI24" si="11">AH5*J5*L5</f>
        <v>0</v>
      </c>
      <c r="AJ5" s="44">
        <f>AG5+AI5</f>
        <v>522287.82432119246</v>
      </c>
      <c r="AK5" s="44">
        <f>HLOOKUP(I5,ElecAvoidedCostsWOCC!$A$5:$Q$50,G5+1,FALSE)*J5*L5</f>
        <v>0</v>
      </c>
      <c r="AL5" s="44">
        <f>AG5+AI5-AK5</f>
        <v>522287.82432119246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522287.82432119246</v>
      </c>
      <c r="AN5" s="48">
        <f>AM5*1.1+AD5+AE5</f>
        <v>574516.6067533117</v>
      </c>
      <c r="AO5" s="47">
        <f>IFERROR(AM5/AB5,0)</f>
        <v>0.88729426693618962</v>
      </c>
      <c r="AP5" s="47">
        <f>AN5/AC5</f>
        <v>1.2377727537950758</v>
      </c>
    </row>
    <row r="6" spans="1:42" ht="13.5" customHeight="1" x14ac:dyDescent="0.35">
      <c r="A6" s="53">
        <f>SUMIF('Program Costs'!D:D,C2,'Program Costs'!L:L)</f>
        <v>1556076.52</v>
      </c>
      <c r="B6" s="97" t="s">
        <v>67</v>
      </c>
      <c r="C6" s="98">
        <v>18230014</v>
      </c>
      <c r="D6" s="61" t="s">
        <v>301</v>
      </c>
      <c r="E6" s="38" t="s">
        <v>1723</v>
      </c>
      <c r="F6" s="39" t="s">
        <v>1724</v>
      </c>
      <c r="G6" s="39">
        <v>15</v>
      </c>
      <c r="H6" s="39"/>
      <c r="I6" s="40" t="s">
        <v>266</v>
      </c>
      <c r="J6" s="41">
        <v>861</v>
      </c>
      <c r="K6" s="41">
        <v>725</v>
      </c>
      <c r="L6" s="41"/>
      <c r="M6" s="42">
        <v>900</v>
      </c>
      <c r="N6" s="42">
        <v>907</v>
      </c>
      <c r="O6" s="43">
        <v>624225</v>
      </c>
      <c r="P6" s="44">
        <v>752985</v>
      </c>
      <c r="Q6" s="44">
        <v>780927</v>
      </c>
      <c r="R6" s="45">
        <v>0</v>
      </c>
      <c r="S6" s="46">
        <v>0</v>
      </c>
      <c r="T6" s="39">
        <f t="shared" si="0"/>
        <v>15</v>
      </c>
      <c r="U6" s="47">
        <f t="shared" si="1"/>
        <v>6.3211335323952706</v>
      </c>
      <c r="V6" s="48">
        <f t="shared" si="2"/>
        <v>7</v>
      </c>
      <c r="W6" s="49">
        <f t="shared" si="3"/>
        <v>0.42140890215968474</v>
      </c>
      <c r="X6" s="44">
        <f t="shared" si="4"/>
        <v>40743.919705309119</v>
      </c>
      <c r="Y6" s="44">
        <f t="shared" si="5"/>
        <v>27942</v>
      </c>
      <c r="Z6" s="44">
        <f t="shared" si="6"/>
        <v>696488.41767497186</v>
      </c>
      <c r="AA6" s="50">
        <f t="shared" si="7"/>
        <v>821670.91970530909</v>
      </c>
      <c r="AB6" s="51">
        <f t="shared" si="8"/>
        <v>652142.71317881253</v>
      </c>
      <c r="AC6" s="44">
        <f t="shared" si="8"/>
        <v>769354.79373156279</v>
      </c>
      <c r="AD6" s="44">
        <f t="shared" si="9"/>
        <v>0</v>
      </c>
      <c r="AE6" s="44">
        <v>0</v>
      </c>
      <c r="AF6" s="52">
        <f>HLOOKUP(I6,ElecAvoidedCostsWOCC!$A$5:$Q$50,G6+1,FALSE)</f>
        <v>1.2903205727715383</v>
      </c>
      <c r="AG6" s="44">
        <f t="shared" si="10"/>
        <v>805450.35953831358</v>
      </c>
      <c r="AH6" s="52">
        <f>HLOOKUP(I6,ElecAvoidedCostsWOCC!$A$5:$Q$50,T6+1,FALSE)</f>
        <v>1.2903205727715383</v>
      </c>
      <c r="AI6" s="44">
        <f t="shared" si="11"/>
        <v>0</v>
      </c>
      <c r="AJ6" s="44">
        <f t="shared" ref="AJ6:AJ24" si="12">AG6+AI6</f>
        <v>805450.35953831358</v>
      </c>
      <c r="AK6" s="44">
        <f>HLOOKUP(I6,ElecAvoidedCostsWOCC!$A$5:$Q$50,G6+1,FALSE)*J6*L6</f>
        <v>0</v>
      </c>
      <c r="AL6" s="44">
        <f t="shared" ref="AL6:AL24" si="13">AG6+AI6-AK6</f>
        <v>805450.35953831358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805450.35953831358</v>
      </c>
      <c r="AN6" s="48">
        <f t="shared" ref="AN6:AN24" si="14">AM6*1.1+AD6+AE6</f>
        <v>885995.39549214498</v>
      </c>
      <c r="AO6" s="47">
        <f t="shared" ref="AO6:AO24" si="15">IFERROR(AM6/AB6,0)</f>
        <v>1.235082970738439</v>
      </c>
      <c r="AP6" s="47">
        <f t="shared" ref="AP6:AP24" si="16">AN6/AC6</f>
        <v>1.1516083381957578</v>
      </c>
    </row>
    <row r="7" spans="1:42" ht="13.5" customHeight="1" x14ac:dyDescent="0.35">
      <c r="A7" s="36" t="s">
        <v>240</v>
      </c>
      <c r="B7" s="97"/>
      <c r="C7" s="99"/>
      <c r="D7" s="100"/>
      <c r="E7" s="38" t="s">
        <v>1725</v>
      </c>
      <c r="F7" s="39" t="s">
        <v>1724</v>
      </c>
      <c r="G7" s="39">
        <v>15</v>
      </c>
      <c r="H7" s="39"/>
      <c r="I7" s="40" t="s">
        <v>266</v>
      </c>
      <c r="J7" s="41">
        <v>3</v>
      </c>
      <c r="K7" s="41">
        <v>725</v>
      </c>
      <c r="L7" s="41"/>
      <c r="M7" s="42">
        <v>650</v>
      </c>
      <c r="N7" s="42">
        <v>907</v>
      </c>
      <c r="O7" s="43">
        <v>2175</v>
      </c>
      <c r="P7" s="44">
        <v>1950</v>
      </c>
      <c r="Q7" s="44">
        <v>2721</v>
      </c>
      <c r="R7" s="45">
        <v>0</v>
      </c>
      <c r="S7" s="46">
        <v>0</v>
      </c>
      <c r="T7" s="39">
        <f t="shared" si="0"/>
        <v>15</v>
      </c>
      <c r="U7" s="47">
        <f t="shared" si="1"/>
        <v>2.2024855513572375E-2</v>
      </c>
      <c r="V7" s="48">
        <f t="shared" si="2"/>
        <v>257</v>
      </c>
      <c r="W7" s="49">
        <f t="shared" si="3"/>
        <v>1.468323700904825E-3</v>
      </c>
      <c r="X7" s="44">
        <f t="shared" si="4"/>
        <v>141.964877021983</v>
      </c>
      <c r="Y7" s="44">
        <f t="shared" si="5"/>
        <v>771</v>
      </c>
      <c r="Z7" s="44">
        <f t="shared" si="6"/>
        <v>2426.7889117594837</v>
      </c>
      <c r="AA7" s="50">
        <f t="shared" si="7"/>
        <v>2862.9648770219828</v>
      </c>
      <c r="AB7" s="51">
        <f t="shared" si="8"/>
        <v>2272.2742619470819</v>
      </c>
      <c r="AC7" s="44">
        <f t="shared" si="8"/>
        <v>2680.6787238033544</v>
      </c>
      <c r="AD7" s="44">
        <f t="shared" si="9"/>
        <v>0</v>
      </c>
      <c r="AE7" s="44">
        <v>0</v>
      </c>
      <c r="AF7" s="52">
        <f>HLOOKUP(I7,ElecAvoidedCostsWOCC!$A$5:$Q$50,G7+1,FALSE)</f>
        <v>1.2903205727715383</v>
      </c>
      <c r="AG7" s="44">
        <f t="shared" si="10"/>
        <v>2806.4472457780962</v>
      </c>
      <c r="AH7" s="52">
        <f>HLOOKUP(I7,ElecAvoidedCostsWOCC!$A$5:$Q$50,T7+1,FALSE)</f>
        <v>1.2903205727715383</v>
      </c>
      <c r="AI7" s="44">
        <f t="shared" si="11"/>
        <v>0</v>
      </c>
      <c r="AJ7" s="44">
        <f t="shared" si="12"/>
        <v>2806.4472457780962</v>
      </c>
      <c r="AK7" s="44">
        <f>HLOOKUP(I7,ElecAvoidedCostsWOCC!$A$5:$Q$50,G7+1,FALSE)*J7*L7</f>
        <v>0</v>
      </c>
      <c r="AL7" s="44">
        <f t="shared" si="13"/>
        <v>2806.4472457780962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2806.4472457780957</v>
      </c>
      <c r="AN7" s="48">
        <f t="shared" si="14"/>
        <v>3087.0919703559057</v>
      </c>
      <c r="AO7" s="47">
        <f t="shared" si="15"/>
        <v>1.235082970738439</v>
      </c>
      <c r="AP7" s="47">
        <f t="shared" si="16"/>
        <v>1.1516083381957578</v>
      </c>
    </row>
    <row r="8" spans="1:42" ht="13.5" customHeight="1" x14ac:dyDescent="0.35">
      <c r="A8" s="53">
        <f>SUMIF('Program Costs'!D:D,C2,'Program Costs'!O:O)</f>
        <v>96685</v>
      </c>
      <c r="B8" s="97"/>
      <c r="C8" s="100"/>
      <c r="D8" s="100"/>
      <c r="E8" s="38" t="s">
        <v>1726</v>
      </c>
      <c r="F8" s="39" t="s">
        <v>1724</v>
      </c>
      <c r="G8" s="39">
        <v>15</v>
      </c>
      <c r="H8" s="39"/>
      <c r="I8" s="40" t="s">
        <v>266</v>
      </c>
      <c r="J8" s="41">
        <v>402</v>
      </c>
      <c r="K8" s="41">
        <v>725</v>
      </c>
      <c r="L8" s="41"/>
      <c r="M8" s="42">
        <v>1000</v>
      </c>
      <c r="N8" s="42">
        <v>1185.6199999999999</v>
      </c>
      <c r="O8" s="43">
        <v>291450</v>
      </c>
      <c r="P8" s="44">
        <v>355768</v>
      </c>
      <c r="Q8" s="44">
        <v>476619.24</v>
      </c>
      <c r="R8" s="45">
        <v>0</v>
      </c>
      <c r="S8" s="46">
        <v>0</v>
      </c>
      <c r="T8" s="39">
        <f t="shared" si="0"/>
        <v>15</v>
      </c>
      <c r="U8" s="47">
        <f t="shared" si="1"/>
        <v>2.9513306388186979</v>
      </c>
      <c r="V8" s="48">
        <f t="shared" si="2"/>
        <v>185.61999999999989</v>
      </c>
      <c r="W8" s="49">
        <f t="shared" si="3"/>
        <v>0.19675537592124653</v>
      </c>
      <c r="X8" s="44">
        <f t="shared" si="4"/>
        <v>19023.293520945721</v>
      </c>
      <c r="Y8" s="44">
        <f t="shared" si="5"/>
        <v>120851.23999999999</v>
      </c>
      <c r="Z8" s="44">
        <f t="shared" si="6"/>
        <v>325189.71417577082</v>
      </c>
      <c r="AA8" s="50">
        <f t="shared" si="7"/>
        <v>495642.5335209457</v>
      </c>
      <c r="AB8" s="51">
        <f t="shared" si="8"/>
        <v>304484.75110090896</v>
      </c>
      <c r="AC8" s="44">
        <f t="shared" si="8"/>
        <v>464084.7692143686</v>
      </c>
      <c r="AD8" s="44">
        <f t="shared" si="9"/>
        <v>0</v>
      </c>
      <c r="AE8" s="44">
        <v>0</v>
      </c>
      <c r="AF8" s="52">
        <f>HLOOKUP(I8,ElecAvoidedCostsWOCC!$A$5:$Q$50,G8+1,FALSE)</f>
        <v>1.2903205727715383</v>
      </c>
      <c r="AG8" s="44">
        <f t="shared" si="10"/>
        <v>376063.93093426491</v>
      </c>
      <c r="AH8" s="52">
        <f>HLOOKUP(I8,ElecAvoidedCostsWOCC!$A$5:$Q$50,T8+1,FALSE)</f>
        <v>1.2903205727715383</v>
      </c>
      <c r="AI8" s="44">
        <f t="shared" si="11"/>
        <v>0</v>
      </c>
      <c r="AJ8" s="44">
        <f t="shared" si="12"/>
        <v>376063.93093426491</v>
      </c>
      <c r="AK8" s="44">
        <f>HLOOKUP(I8,ElecAvoidedCostsWOCC!$A$5:$Q$50,G8+1,FALSE)*J8*L8</f>
        <v>0</v>
      </c>
      <c r="AL8" s="44">
        <f t="shared" si="13"/>
        <v>376063.93093426491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376063.93093426485</v>
      </c>
      <c r="AN8" s="48">
        <f t="shared" si="14"/>
        <v>413670.32402769139</v>
      </c>
      <c r="AO8" s="47">
        <f t="shared" si="15"/>
        <v>1.235082970738439</v>
      </c>
      <c r="AP8" s="47">
        <f t="shared" si="16"/>
        <v>0.8913680246994059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1481281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1556076.52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163130.87999999995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13.098163008909181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1652761.52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1815892.4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1.1027954863435097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1.1040983147922545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18230525</v>
      </c>
      <c r="D2" s="20" t="s">
        <v>302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303</v>
      </c>
      <c r="C5" s="98">
        <v>18230525</v>
      </c>
      <c r="D5" s="61" t="s">
        <v>302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>
        <f t="shared" ref="U5:U23" si="1">(O5/$A$10)*T5</f>
        <v>0</v>
      </c>
      <c r="V5" s="48">
        <f t="shared" ref="V5:V23" si="2">N5-M5</f>
        <v>0</v>
      </c>
      <c r="W5" s="49">
        <f t="shared" ref="W5:W23" si="3">(O5/A$10)</f>
        <v>0</v>
      </c>
      <c r="X5" s="44">
        <f t="shared" ref="X5:X23" si="4">W5*A$8</f>
        <v>0</v>
      </c>
      <c r="Y5" s="44">
        <f t="shared" ref="Y5:Y23" si="5">Q5-P5</f>
        <v>0</v>
      </c>
      <c r="Z5" s="44">
        <f t="shared" ref="Z5:Z23" si="6">X5+(A$6*W5)</f>
        <v>0</v>
      </c>
      <c r="AA5" s="50">
        <f t="shared" ref="AA5:AA23" si="7">Q5+X5</f>
        <v>0</v>
      </c>
      <c r="AB5" s="51">
        <f t="shared" ref="AB5:AC19" si="8">Z5/(1+ElecDiscountRate)^1</f>
        <v>0</v>
      </c>
      <c r="AC5" s="44">
        <f t="shared" si="8"/>
        <v>0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Costs'!D:D,C5,'Program Costs'!L:L)+SUMIF('Program Costs'!D:D,#REF!,'Program Costs'!L:L)+SUMIF('Program Costs'!D:D,C6,'Program Costs'!L:L)+SUMIF('Program Costs'!D:D,C7,'Program Costs'!L:L)</f>
        <v>121819.79</v>
      </c>
      <c r="B6" s="97" t="s">
        <v>303</v>
      </c>
      <c r="C6" s="100">
        <v>18230750</v>
      </c>
      <c r="D6" s="99" t="s">
        <v>150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 x14ac:dyDescent="0.35">
      <c r="A7" s="36" t="s">
        <v>240</v>
      </c>
      <c r="B7" s="97" t="s">
        <v>303</v>
      </c>
      <c r="C7" s="100">
        <v>18230749</v>
      </c>
      <c r="D7" s="100" t="s">
        <v>536</v>
      </c>
      <c r="E7" s="38" t="s">
        <v>2176</v>
      </c>
      <c r="F7" s="39" t="s">
        <v>2177</v>
      </c>
      <c r="G7" s="39">
        <v>1</v>
      </c>
      <c r="H7" s="39"/>
      <c r="I7" s="40" t="s">
        <v>268</v>
      </c>
      <c r="J7" s="41">
        <v>2297</v>
      </c>
      <c r="K7" s="41">
        <v>213</v>
      </c>
      <c r="L7" s="41"/>
      <c r="M7" s="42">
        <v>35</v>
      </c>
      <c r="N7" s="42">
        <v>69.989999999999995</v>
      </c>
      <c r="O7" s="43">
        <v>489261</v>
      </c>
      <c r="P7" s="44">
        <v>80395</v>
      </c>
      <c r="Q7" s="44">
        <v>160767.03</v>
      </c>
      <c r="R7" s="45">
        <v>0</v>
      </c>
      <c r="S7" s="46">
        <v>0</v>
      </c>
      <c r="T7" s="39">
        <f t="shared" si="0"/>
        <v>1</v>
      </c>
      <c r="U7" s="47">
        <f t="shared" si="1"/>
        <v>1</v>
      </c>
      <c r="V7" s="48">
        <f t="shared" si="2"/>
        <v>34.989999999999995</v>
      </c>
      <c r="W7" s="49">
        <f t="shared" si="3"/>
        <v>1</v>
      </c>
      <c r="X7" s="44">
        <f t="shared" si="4"/>
        <v>288302.47000000003</v>
      </c>
      <c r="Y7" s="44">
        <f t="shared" si="5"/>
        <v>80372.03</v>
      </c>
      <c r="Z7" s="44">
        <f t="shared" si="6"/>
        <v>410122.26</v>
      </c>
      <c r="AA7" s="50">
        <f t="shared" si="7"/>
        <v>449069.5</v>
      </c>
      <c r="AB7" s="51">
        <f t="shared" si="8"/>
        <v>384009.60674157302</v>
      </c>
      <c r="AC7" s="44">
        <f t="shared" si="8"/>
        <v>420477.05992509361</v>
      </c>
      <c r="AD7" s="44">
        <f t="shared" si="9"/>
        <v>0</v>
      </c>
      <c r="AE7" s="44">
        <v>0</v>
      </c>
      <c r="AF7" s="52">
        <f>HLOOKUP(I7,ElecAvoidedCostsWOCC!$A$5:$Q$50,G7+1,FALSE)</f>
        <v>8.8373972072912546E-2</v>
      </c>
      <c r="AG7" s="44">
        <f t="shared" si="10"/>
        <v>43237.93795036526</v>
      </c>
      <c r="AH7" s="52">
        <f>HLOOKUP(I7,ElecAvoidedCostsWOCC!$A$5:$Q$50,T7+1,FALSE)</f>
        <v>8.8373972072912546E-2</v>
      </c>
      <c r="AI7" s="44">
        <f t="shared" si="11"/>
        <v>0</v>
      </c>
      <c r="AJ7" s="44">
        <f t="shared" si="12"/>
        <v>43237.93795036526</v>
      </c>
      <c r="AK7" s="44">
        <f>HLOOKUP(I7,ElecAvoidedCostsWOCC!$A$5:$Q$50,G7+1,FALSE)*J7*L7</f>
        <v>0</v>
      </c>
      <c r="AL7" s="44">
        <f t="shared" si="13"/>
        <v>43237.93795036526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43237.93795036526</v>
      </c>
      <c r="AN7" s="48">
        <f t="shared" si="14"/>
        <v>47561.73174540179</v>
      </c>
      <c r="AO7" s="47">
        <f t="shared" si="15"/>
        <v>0.11259597986949087</v>
      </c>
      <c r="AP7" s="47">
        <f t="shared" si="16"/>
        <v>0.11311373741500839</v>
      </c>
    </row>
    <row r="8" spans="1:42" ht="13.5" customHeight="1" x14ac:dyDescent="0.35">
      <c r="A8" s="53">
        <f>SUMIF('Program Costs'!D:D,C5,'Program Costs'!O:O)+SUMIF('Program Costs'!D:D,#REF!,'Program Costs'!O:O)+SUMIF('Program Costs'!D:D,C6,'Program Costs'!O:O)+SUMIF('Program Costs'!D:D,C7,'Program Costs'!O:O)</f>
        <v>288302.47000000003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SUM(O5:O998)</f>
        <v>489261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SUM(P5:P999)</f>
        <v>80395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SUM(Y5:Y999)</f>
        <v>80372.03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SUM(U5:U998)</f>
        <v>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410122.26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A8+SUM(Q5:Q905)</f>
        <v>449069.5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8">Z20/(1+ElecDiscountRate)^1</f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(SUM(AM5:AM999)/(SUM(AB5:AB999)))</f>
        <v>0.11259597986949087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(SUM(AN5:AN999)/SUM(AC5:AC999))</f>
        <v>0.11311373741500839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E10" sqref="E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303</v>
      </c>
      <c r="C5" s="98">
        <v>18230140</v>
      </c>
      <c r="D5" s="61" t="s">
        <v>26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Costs'!L:L)+SUMIF('Program Costs'!D:D,C8,'Program Costs'!L:L)</f>
        <v>0</v>
      </c>
      <c r="B6" s="97" t="s">
        <v>303</v>
      </c>
      <c r="C6" s="98">
        <v>18230140</v>
      </c>
      <c r="D6" s="61" t="s">
        <v>26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 t="s">
        <v>303</v>
      </c>
      <c r="C7" s="98">
        <v>18230140</v>
      </c>
      <c r="D7" s="61" t="s">
        <v>26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Costs'!O:O)+SUMIF('Program Costs'!D:D,C8,'Program Costs'!O:O)</f>
        <v>2467.1999999999998</v>
      </c>
      <c r="B8" s="97"/>
      <c r="C8" s="100">
        <v>18231128</v>
      </c>
      <c r="D8" s="100" t="s">
        <v>535</v>
      </c>
      <c r="E8" s="38" t="s">
        <v>1727</v>
      </c>
      <c r="F8" s="39" t="s">
        <v>1728</v>
      </c>
      <c r="G8" s="39">
        <v>7</v>
      </c>
      <c r="H8" s="39"/>
      <c r="I8" s="40" t="s">
        <v>261</v>
      </c>
      <c r="J8" s="41">
        <v>1</v>
      </c>
      <c r="K8" s="41">
        <v>470354</v>
      </c>
      <c r="L8" s="41"/>
      <c r="M8" s="42">
        <v>98774.34</v>
      </c>
      <c r="N8" s="42">
        <v>98774.34</v>
      </c>
      <c r="O8" s="43">
        <v>470354</v>
      </c>
      <c r="P8" s="44">
        <v>98774.34</v>
      </c>
      <c r="Q8" s="44">
        <v>98774.34</v>
      </c>
      <c r="R8" s="45"/>
      <c r="S8" s="46"/>
      <c r="T8" s="39">
        <f t="shared" si="0"/>
        <v>7</v>
      </c>
      <c r="U8" s="47">
        <f t="shared" si="1"/>
        <v>7</v>
      </c>
      <c r="V8" s="48">
        <f t="shared" si="2"/>
        <v>0</v>
      </c>
      <c r="W8" s="49">
        <f t="shared" si="3"/>
        <v>1</v>
      </c>
      <c r="X8" s="44">
        <f t="shared" si="4"/>
        <v>2467.1999999999998</v>
      </c>
      <c r="Y8" s="44">
        <f t="shared" si="5"/>
        <v>0</v>
      </c>
      <c r="Z8" s="44">
        <f t="shared" si="6"/>
        <v>2467.1999999999998</v>
      </c>
      <c r="AA8" s="50">
        <f t="shared" si="7"/>
        <v>101241.54</v>
      </c>
      <c r="AB8" s="51">
        <f t="shared" si="8"/>
        <v>2310.1123595505615</v>
      </c>
      <c r="AC8" s="44">
        <f t="shared" si="8"/>
        <v>94795.449438202239</v>
      </c>
      <c r="AD8" s="44">
        <f t="shared" si="9"/>
        <v>0</v>
      </c>
      <c r="AE8" s="44">
        <v>0</v>
      </c>
      <c r="AF8" s="52">
        <f>HLOOKUP(I8,ElecAvoidedCostsWOCC!$A$5:$Q$50,G8+1,FALSE)</f>
        <v>0.54324318329582366</v>
      </c>
      <c r="AG8" s="44">
        <f t="shared" si="10"/>
        <v>255516.60423592385</v>
      </c>
      <c r="AH8" s="52">
        <f>HLOOKUP(I8,ElecAvoidedCostsWOCC!$A$5:$Q$50,T8+1,FALSE)</f>
        <v>0.54324318329582366</v>
      </c>
      <c r="AI8" s="44">
        <f t="shared" si="11"/>
        <v>0</v>
      </c>
      <c r="AJ8" s="44">
        <f t="shared" si="12"/>
        <v>255516.60423592385</v>
      </c>
      <c r="AK8" s="44">
        <f>HLOOKUP(I8,ElecAvoidedCostsWOCC!$A$5:$Q$50,G8+1,FALSE)*J8*L8</f>
        <v>0</v>
      </c>
      <c r="AL8" s="44">
        <f t="shared" si="13"/>
        <v>255516.60423592385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255516.60423592385</v>
      </c>
      <c r="AN8" s="48">
        <f t="shared" si="14"/>
        <v>281068.26465951628</v>
      </c>
      <c r="AO8" s="47">
        <f t="shared" si="15"/>
        <v>110.60786856516161</v>
      </c>
      <c r="AP8" s="47">
        <f t="shared" si="16"/>
        <v>2.9649974373795915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470354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98774.34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2467.1999999999998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101241.54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110.60786856516161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2.9649974373795915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zoomScale="85" zoomScaleNormal="85" workbookViewId="0">
      <pane ySplit="1" topLeftCell="A89" activePane="bottomLeft" state="frozen"/>
      <selection pane="bottomLeft" activeCell="L122" sqref="L122:L123"/>
    </sheetView>
  </sheetViews>
  <sheetFormatPr defaultRowHeight="14.5" x14ac:dyDescent="0.35"/>
  <cols>
    <col min="3" max="3" width="39.08984375" customWidth="1"/>
    <col min="4" max="4" width="13.26953125" customWidth="1"/>
    <col min="5" max="15" width="15.26953125" customWidth="1"/>
    <col min="16" max="16" width="23.7265625" customWidth="1"/>
  </cols>
  <sheetData>
    <row r="1" spans="1:16" x14ac:dyDescent="0.35">
      <c r="A1" s="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513" t="s">
        <v>11</v>
      </c>
      <c r="M1" s="2" t="s">
        <v>12</v>
      </c>
      <c r="N1" s="3" t="s">
        <v>13</v>
      </c>
      <c r="O1" s="3" t="s">
        <v>14</v>
      </c>
      <c r="P1" s="494" t="s">
        <v>519</v>
      </c>
    </row>
    <row r="2" spans="1:16" x14ac:dyDescent="0.35">
      <c r="A2" s="515"/>
      <c r="B2" t="s">
        <v>62</v>
      </c>
      <c r="C2" t="s">
        <v>508</v>
      </c>
      <c r="D2">
        <v>18230013</v>
      </c>
      <c r="E2" s="4">
        <v>0</v>
      </c>
      <c r="F2" s="4">
        <v>0</v>
      </c>
      <c r="G2" s="4">
        <v>10093.049999999999</v>
      </c>
      <c r="H2" s="4">
        <v>0</v>
      </c>
      <c r="I2" s="4">
        <v>113465.87</v>
      </c>
      <c r="J2" s="4">
        <v>196.91</v>
      </c>
      <c r="K2" s="4">
        <v>0</v>
      </c>
      <c r="L2" s="4">
        <v>0</v>
      </c>
      <c r="M2" s="4">
        <v>0</v>
      </c>
      <c r="N2" s="5">
        <v>123755.83</v>
      </c>
      <c r="O2" s="5">
        <f>N2-L2</f>
        <v>123755.83</v>
      </c>
      <c r="P2" t="s">
        <v>525</v>
      </c>
    </row>
    <row r="3" spans="1:16" x14ac:dyDescent="0.35">
      <c r="A3" s="515"/>
      <c r="B3" t="s">
        <v>62</v>
      </c>
      <c r="C3" t="s">
        <v>153</v>
      </c>
      <c r="D3">
        <v>18230015</v>
      </c>
      <c r="E3" s="4">
        <v>1542.75</v>
      </c>
      <c r="F3" s="4">
        <v>1365.18</v>
      </c>
      <c r="G3" s="4">
        <v>0</v>
      </c>
      <c r="H3" s="4">
        <v>0</v>
      </c>
      <c r="I3" s="4">
        <v>598203.31999999995</v>
      </c>
      <c r="J3" s="4">
        <v>0</v>
      </c>
      <c r="K3" s="4">
        <v>0</v>
      </c>
      <c r="L3" s="4">
        <v>0</v>
      </c>
      <c r="M3" s="4">
        <v>0</v>
      </c>
      <c r="N3" s="5">
        <v>601111.25</v>
      </c>
      <c r="O3" s="5">
        <f t="shared" ref="O3:O66" si="0">N3-L3</f>
        <v>601111.25</v>
      </c>
      <c r="P3" t="s">
        <v>525</v>
      </c>
    </row>
    <row r="4" spans="1:16" x14ac:dyDescent="0.35">
      <c r="A4" s="515"/>
      <c r="B4" t="s">
        <v>62</v>
      </c>
      <c r="C4" t="s">
        <v>119</v>
      </c>
      <c r="D4">
        <v>18230711</v>
      </c>
      <c r="E4" s="4">
        <v>703966.69</v>
      </c>
      <c r="F4" s="4">
        <v>924714.84</v>
      </c>
      <c r="G4" s="4">
        <v>8492.35</v>
      </c>
      <c r="H4" s="4">
        <v>45601.34</v>
      </c>
      <c r="I4" s="4">
        <v>49384.45</v>
      </c>
      <c r="J4" s="4">
        <v>6977.92</v>
      </c>
      <c r="K4" s="4">
        <v>11047</v>
      </c>
      <c r="L4" s="4">
        <v>3697942.4</v>
      </c>
      <c r="M4" s="4">
        <v>0</v>
      </c>
      <c r="N4" s="5">
        <v>5448126.9900000002</v>
      </c>
      <c r="O4" s="5">
        <f t="shared" si="0"/>
        <v>1750184.5900000003</v>
      </c>
      <c r="P4" t="s">
        <v>526</v>
      </c>
    </row>
    <row r="5" spans="1:16" x14ac:dyDescent="0.35">
      <c r="A5" s="515"/>
      <c r="B5" t="s">
        <v>62</v>
      </c>
      <c r="C5" t="s">
        <v>131</v>
      </c>
      <c r="D5">
        <v>18230724</v>
      </c>
      <c r="E5" s="4">
        <v>1350718.09</v>
      </c>
      <c r="F5" s="4">
        <v>1196518.1399999999</v>
      </c>
      <c r="G5" s="4">
        <v>6939.42</v>
      </c>
      <c r="H5" s="4">
        <v>28664.48</v>
      </c>
      <c r="I5" s="4">
        <v>4605.38</v>
      </c>
      <c r="J5" s="4">
        <v>2692.77</v>
      </c>
      <c r="K5" s="4">
        <v>6600</v>
      </c>
      <c r="L5" s="4">
        <v>8884519.5500000007</v>
      </c>
      <c r="M5" s="4">
        <v>0</v>
      </c>
      <c r="N5" s="5">
        <v>11481257.83</v>
      </c>
      <c r="O5" s="5">
        <f t="shared" si="0"/>
        <v>2596738.2799999993</v>
      </c>
      <c r="P5" t="s">
        <v>524</v>
      </c>
    </row>
    <row r="6" spans="1:16" x14ac:dyDescent="0.35">
      <c r="A6" s="515"/>
      <c r="B6" t="s">
        <v>62</v>
      </c>
      <c r="C6" t="s">
        <v>166</v>
      </c>
      <c r="D6">
        <v>18231133</v>
      </c>
      <c r="E6" s="4">
        <v>0</v>
      </c>
      <c r="F6" s="4">
        <v>0</v>
      </c>
      <c r="G6" s="4">
        <v>0</v>
      </c>
      <c r="H6" s="4">
        <v>0</v>
      </c>
      <c r="I6" s="4">
        <v>-5960.04</v>
      </c>
      <c r="J6" s="4">
        <v>0</v>
      </c>
      <c r="K6" s="4">
        <v>0</v>
      </c>
      <c r="L6" s="4">
        <v>-36611.67</v>
      </c>
      <c r="M6" s="4">
        <v>0</v>
      </c>
      <c r="N6" s="5">
        <v>-42571.71</v>
      </c>
      <c r="O6" s="5">
        <f t="shared" si="0"/>
        <v>-5960.0400000000009</v>
      </c>
      <c r="P6" t="s">
        <v>527</v>
      </c>
    </row>
    <row r="7" spans="1:16" x14ac:dyDescent="0.35">
      <c r="A7" s="515"/>
      <c r="B7" t="s">
        <v>62</v>
      </c>
      <c r="C7" t="s">
        <v>94</v>
      </c>
      <c r="D7">
        <v>18231137</v>
      </c>
      <c r="E7" s="4">
        <v>246143.49</v>
      </c>
      <c r="F7" s="4">
        <v>217851.36</v>
      </c>
      <c r="G7" s="4">
        <v>7361.13</v>
      </c>
      <c r="H7" s="4">
        <v>4105.83</v>
      </c>
      <c r="I7" s="4">
        <v>114863.67999999999</v>
      </c>
      <c r="J7" s="4">
        <v>515.47</v>
      </c>
      <c r="K7" s="4">
        <v>0</v>
      </c>
      <c r="L7" s="4">
        <v>870818.96</v>
      </c>
      <c r="M7" s="4">
        <v>0</v>
      </c>
      <c r="N7" s="5">
        <v>1461659.92</v>
      </c>
      <c r="O7" s="5">
        <f t="shared" si="0"/>
        <v>590840.96</v>
      </c>
      <c r="P7" t="s">
        <v>524</v>
      </c>
    </row>
    <row r="8" spans="1:16" x14ac:dyDescent="0.35">
      <c r="A8" s="515"/>
      <c r="B8" t="s">
        <v>62</v>
      </c>
      <c r="C8" t="s">
        <v>549</v>
      </c>
      <c r="D8">
        <v>18239043</v>
      </c>
      <c r="E8" s="4">
        <v>47534.19</v>
      </c>
      <c r="F8" s="4">
        <v>41984.35</v>
      </c>
      <c r="G8" s="4">
        <v>0</v>
      </c>
      <c r="H8" s="4">
        <v>126.13</v>
      </c>
      <c r="I8" s="4">
        <v>218084.44</v>
      </c>
      <c r="J8" s="4">
        <v>43.59</v>
      </c>
      <c r="K8" s="4">
        <v>0</v>
      </c>
      <c r="L8" s="4">
        <v>0</v>
      </c>
      <c r="M8" s="4">
        <v>0</v>
      </c>
      <c r="N8" s="5">
        <v>307772.7</v>
      </c>
      <c r="O8" s="5">
        <f t="shared" si="0"/>
        <v>307772.7</v>
      </c>
      <c r="P8" t="s">
        <v>524</v>
      </c>
    </row>
    <row r="9" spans="1:16" x14ac:dyDescent="0.35">
      <c r="A9" s="515"/>
      <c r="B9" t="s">
        <v>123</v>
      </c>
      <c r="C9" t="s">
        <v>124</v>
      </c>
      <c r="D9">
        <v>18230715</v>
      </c>
      <c r="E9" s="4">
        <v>149678.73000000001</v>
      </c>
      <c r="F9" s="4">
        <v>132583.69</v>
      </c>
      <c r="G9" s="4">
        <v>223.1</v>
      </c>
      <c r="H9" s="4">
        <v>28827.79</v>
      </c>
      <c r="I9" s="4">
        <v>28722.09</v>
      </c>
      <c r="J9" s="4">
        <v>362.53</v>
      </c>
      <c r="K9" s="4">
        <v>2400</v>
      </c>
      <c r="L9" s="4">
        <v>2857521</v>
      </c>
      <c r="M9" s="4">
        <v>0</v>
      </c>
      <c r="N9" s="5">
        <v>3200318.93</v>
      </c>
      <c r="O9" s="5">
        <f t="shared" si="0"/>
        <v>342797.93000000017</v>
      </c>
      <c r="P9" t="s">
        <v>524</v>
      </c>
    </row>
    <row r="10" spans="1:16" x14ac:dyDescent="0.35">
      <c r="B10" t="s">
        <v>123</v>
      </c>
      <c r="C10" t="s">
        <v>509</v>
      </c>
      <c r="D10">
        <v>18231136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5">
        <v>0</v>
      </c>
      <c r="O10" s="5">
        <f t="shared" si="0"/>
        <v>0</v>
      </c>
      <c r="P10" t="s">
        <v>524</v>
      </c>
    </row>
    <row r="11" spans="1:16" x14ac:dyDescent="0.35">
      <c r="B11" t="s">
        <v>129</v>
      </c>
      <c r="C11" t="s">
        <v>151</v>
      </c>
      <c r="D11">
        <v>18230502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5">
        <v>0</v>
      </c>
      <c r="O11" s="5">
        <f t="shared" si="0"/>
        <v>0</v>
      </c>
      <c r="P11" t="s">
        <v>524</v>
      </c>
    </row>
    <row r="12" spans="1:16" x14ac:dyDescent="0.35">
      <c r="A12" s="515"/>
      <c r="B12" t="s">
        <v>129</v>
      </c>
      <c r="C12" t="s">
        <v>130</v>
      </c>
      <c r="D12">
        <v>18230723</v>
      </c>
      <c r="E12" s="4">
        <v>484211.18</v>
      </c>
      <c r="F12" s="4">
        <v>371240.83</v>
      </c>
      <c r="G12" s="4">
        <v>213.08</v>
      </c>
      <c r="H12" s="4">
        <v>10994.27</v>
      </c>
      <c r="I12" s="4">
        <v>294227.34999999998</v>
      </c>
      <c r="J12" s="4">
        <v>3739.44</v>
      </c>
      <c r="K12" s="4">
        <v>57747.25</v>
      </c>
      <c r="L12" s="4">
        <v>352831</v>
      </c>
      <c r="M12" s="4">
        <v>0</v>
      </c>
      <c r="N12" s="5">
        <v>1575204.4</v>
      </c>
      <c r="O12" s="5">
        <f t="shared" si="0"/>
        <v>1222373.3999999999</v>
      </c>
      <c r="P12" t="s">
        <v>524</v>
      </c>
    </row>
    <row r="13" spans="1:16" x14ac:dyDescent="0.35">
      <c r="A13" s="515"/>
      <c r="B13" t="s">
        <v>129</v>
      </c>
      <c r="C13" t="s">
        <v>510</v>
      </c>
      <c r="D13">
        <v>18236102</v>
      </c>
      <c r="E13" s="4">
        <v>19330.88</v>
      </c>
      <c r="F13" s="4">
        <v>17096.009999999998</v>
      </c>
      <c r="G13" s="4">
        <v>0</v>
      </c>
      <c r="H13" s="4">
        <v>93.43</v>
      </c>
      <c r="I13" s="4">
        <v>7984.38</v>
      </c>
      <c r="J13" s="4">
        <v>1081.04</v>
      </c>
      <c r="K13" s="4">
        <v>0</v>
      </c>
      <c r="L13" s="4">
        <v>261789</v>
      </c>
      <c r="M13" s="4">
        <v>0</v>
      </c>
      <c r="N13" s="5">
        <v>307374.74</v>
      </c>
      <c r="O13" s="5">
        <f t="shared" si="0"/>
        <v>45585.739999999991</v>
      </c>
      <c r="P13" t="s">
        <v>524</v>
      </c>
    </row>
    <row r="14" spans="1:16" x14ac:dyDescent="0.35">
      <c r="A14" s="515"/>
      <c r="B14" t="s">
        <v>126</v>
      </c>
      <c r="C14" t="s">
        <v>127</v>
      </c>
      <c r="D14">
        <v>18230720</v>
      </c>
      <c r="E14" s="4">
        <v>205939.17</v>
      </c>
      <c r="F14" s="4">
        <v>0</v>
      </c>
      <c r="G14" s="4">
        <v>0</v>
      </c>
      <c r="H14" s="4">
        <v>0</v>
      </c>
      <c r="I14" s="4">
        <v>25107</v>
      </c>
      <c r="J14" s="4">
        <v>0</v>
      </c>
      <c r="K14" s="4">
        <v>0</v>
      </c>
      <c r="L14" s="4">
        <v>4518993.5599999996</v>
      </c>
      <c r="M14" s="4">
        <v>0</v>
      </c>
      <c r="N14" s="5">
        <v>4750039.7299999995</v>
      </c>
      <c r="O14" s="5">
        <f t="shared" si="0"/>
        <v>231046.16999999993</v>
      </c>
      <c r="P14" t="s">
        <v>524</v>
      </c>
    </row>
    <row r="15" spans="1:16" x14ac:dyDescent="0.35">
      <c r="A15" s="515"/>
      <c r="B15" t="s">
        <v>126</v>
      </c>
      <c r="C15" t="s">
        <v>128</v>
      </c>
      <c r="D15">
        <v>18230721</v>
      </c>
      <c r="E15" s="4">
        <v>162085.62</v>
      </c>
      <c r="F15" s="4">
        <v>0</v>
      </c>
      <c r="G15" s="4">
        <v>0</v>
      </c>
      <c r="H15" s="4">
        <v>0</v>
      </c>
      <c r="I15" s="4">
        <v>23112</v>
      </c>
      <c r="J15" s="4">
        <v>0</v>
      </c>
      <c r="K15" s="4">
        <v>0</v>
      </c>
      <c r="L15" s="4">
        <v>2538766.34</v>
      </c>
      <c r="M15" s="4">
        <v>0</v>
      </c>
      <c r="N15" s="5">
        <v>2723963.96</v>
      </c>
      <c r="O15" s="5">
        <f t="shared" si="0"/>
        <v>185197.62000000011</v>
      </c>
      <c r="P15" t="s">
        <v>524</v>
      </c>
    </row>
    <row r="16" spans="1:16" x14ac:dyDescent="0.35">
      <c r="A16" s="515"/>
      <c r="B16" t="s">
        <v>67</v>
      </c>
      <c r="C16" t="s">
        <v>301</v>
      </c>
      <c r="D16">
        <v>18230014</v>
      </c>
      <c r="E16" s="4">
        <v>46411.21</v>
      </c>
      <c r="F16" s="4">
        <v>41029.4</v>
      </c>
      <c r="G16" s="4">
        <v>9081.0400000000009</v>
      </c>
      <c r="H16" s="4">
        <v>0</v>
      </c>
      <c r="I16" s="4">
        <v>163.35</v>
      </c>
      <c r="J16" s="4">
        <v>0</v>
      </c>
      <c r="K16" s="4">
        <v>0</v>
      </c>
      <c r="L16" s="4">
        <v>1556076.52</v>
      </c>
      <c r="M16" s="4">
        <v>0</v>
      </c>
      <c r="N16" s="5">
        <v>1652761.52</v>
      </c>
      <c r="O16" s="5">
        <f t="shared" si="0"/>
        <v>96685</v>
      </c>
      <c r="P16" t="s">
        <v>524</v>
      </c>
    </row>
    <row r="17" spans="1:16" x14ac:dyDescent="0.35">
      <c r="A17" s="515"/>
      <c r="B17" t="s">
        <v>67</v>
      </c>
      <c r="C17" t="s">
        <v>511</v>
      </c>
      <c r="D17">
        <v>18230524</v>
      </c>
      <c r="E17" s="4">
        <v>27686.63</v>
      </c>
      <c r="F17" s="4">
        <v>24529.040000000001</v>
      </c>
      <c r="G17" s="4">
        <v>0</v>
      </c>
      <c r="H17" s="4">
        <v>52.08</v>
      </c>
      <c r="I17" s="4">
        <v>43469.39</v>
      </c>
      <c r="J17" s="4">
        <v>0</v>
      </c>
      <c r="K17" s="4">
        <v>0</v>
      </c>
      <c r="L17" s="4">
        <v>495804.07</v>
      </c>
      <c r="M17" s="4">
        <v>0</v>
      </c>
      <c r="N17" s="5">
        <v>591541.21</v>
      </c>
      <c r="O17" s="5">
        <f t="shared" si="0"/>
        <v>95737.139999999956</v>
      </c>
      <c r="P17" t="s">
        <v>524</v>
      </c>
    </row>
    <row r="18" spans="1:16" x14ac:dyDescent="0.35">
      <c r="A18" s="515"/>
      <c r="B18" t="s">
        <v>67</v>
      </c>
      <c r="C18" t="s">
        <v>122</v>
      </c>
      <c r="D18">
        <v>18230714</v>
      </c>
      <c r="E18" s="4">
        <v>80865.149999999994</v>
      </c>
      <c r="F18" s="4">
        <v>71675.570000000007</v>
      </c>
      <c r="G18" s="4">
        <v>5757.36</v>
      </c>
      <c r="H18" s="4">
        <v>239.35</v>
      </c>
      <c r="I18" s="4">
        <v>210905.57</v>
      </c>
      <c r="J18" s="4">
        <v>196.91</v>
      </c>
      <c r="K18" s="4">
        <v>0</v>
      </c>
      <c r="L18" s="4">
        <v>2526872.29</v>
      </c>
      <c r="M18" s="4">
        <v>0</v>
      </c>
      <c r="N18" s="5">
        <v>2896512.2</v>
      </c>
      <c r="O18" s="5">
        <f t="shared" si="0"/>
        <v>369639.91000000015</v>
      </c>
      <c r="P18" t="s">
        <v>524</v>
      </c>
    </row>
    <row r="19" spans="1:16" x14ac:dyDescent="0.35">
      <c r="A19" s="515"/>
      <c r="B19" t="s">
        <v>67</v>
      </c>
      <c r="C19" t="s">
        <v>550</v>
      </c>
      <c r="D19">
        <v>18230716</v>
      </c>
      <c r="E19" s="4">
        <v>25133.54</v>
      </c>
      <c r="F19" s="4">
        <v>22276.11</v>
      </c>
      <c r="G19" s="4">
        <v>3459.38</v>
      </c>
      <c r="H19" s="4">
        <v>293.88</v>
      </c>
      <c r="I19" s="4">
        <v>63671.7</v>
      </c>
      <c r="J19" s="4">
        <v>10.1</v>
      </c>
      <c r="K19" s="4">
        <v>0</v>
      </c>
      <c r="L19" s="4">
        <v>394601.94</v>
      </c>
      <c r="M19" s="4">
        <v>0</v>
      </c>
      <c r="N19" s="5">
        <v>509446.65</v>
      </c>
      <c r="O19" s="5">
        <f t="shared" si="0"/>
        <v>114844.71000000002</v>
      </c>
      <c r="P19" t="s">
        <v>523</v>
      </c>
    </row>
    <row r="20" spans="1:16" x14ac:dyDescent="0.35">
      <c r="A20" s="515"/>
      <c r="B20" t="s">
        <v>67</v>
      </c>
      <c r="C20" t="s">
        <v>512</v>
      </c>
      <c r="D20">
        <v>18230718</v>
      </c>
      <c r="E20" s="4">
        <v>45247.24</v>
      </c>
      <c r="F20" s="4">
        <v>40163.949999999997</v>
      </c>
      <c r="G20" s="4">
        <v>6785.9</v>
      </c>
      <c r="H20" s="4">
        <v>596.4</v>
      </c>
      <c r="I20" s="4">
        <v>166.64</v>
      </c>
      <c r="J20" s="4">
        <v>55.14</v>
      </c>
      <c r="K20" s="4">
        <v>0</v>
      </c>
      <c r="L20" s="4">
        <v>139882.81</v>
      </c>
      <c r="M20" s="4">
        <v>0</v>
      </c>
      <c r="N20" s="5">
        <v>232898.08</v>
      </c>
      <c r="O20" s="5">
        <f t="shared" si="0"/>
        <v>93015.26999999999</v>
      </c>
      <c r="P20" t="s">
        <v>523</v>
      </c>
    </row>
    <row r="21" spans="1:16" x14ac:dyDescent="0.35">
      <c r="A21" s="515"/>
      <c r="B21" t="s">
        <v>67</v>
      </c>
      <c r="C21" t="s">
        <v>167</v>
      </c>
      <c r="D21">
        <v>18231134</v>
      </c>
      <c r="E21" s="4">
        <v>102732.47</v>
      </c>
      <c r="F21" s="4">
        <v>91091.37</v>
      </c>
      <c r="G21" s="4">
        <v>5190.1000000000004</v>
      </c>
      <c r="H21" s="4">
        <v>309.60000000000002</v>
      </c>
      <c r="I21" s="4">
        <v>1109550.6599999999</v>
      </c>
      <c r="J21" s="4">
        <v>1011.89</v>
      </c>
      <c r="K21" s="4">
        <v>16231.5</v>
      </c>
      <c r="L21" s="4">
        <v>6566414.9299999997</v>
      </c>
      <c r="M21" s="4">
        <v>0</v>
      </c>
      <c r="N21" s="5">
        <v>7892532.5199999996</v>
      </c>
      <c r="O21" s="5">
        <f t="shared" si="0"/>
        <v>1326117.5899999999</v>
      </c>
      <c r="P21" t="s">
        <v>524</v>
      </c>
    </row>
    <row r="22" spans="1:16" x14ac:dyDescent="0.35">
      <c r="A22" s="515"/>
      <c r="B22" t="s">
        <v>58</v>
      </c>
      <c r="C22" t="s">
        <v>59</v>
      </c>
      <c r="D22">
        <v>18230745</v>
      </c>
      <c r="E22" s="4">
        <v>392967.84</v>
      </c>
      <c r="F22" s="4">
        <v>348145.37</v>
      </c>
      <c r="G22" s="4">
        <v>0</v>
      </c>
      <c r="H22" s="4">
        <v>1306.48</v>
      </c>
      <c r="I22" s="4">
        <v>234900</v>
      </c>
      <c r="J22" s="4">
        <v>0</v>
      </c>
      <c r="K22" s="4">
        <v>0</v>
      </c>
      <c r="L22" s="4">
        <v>0</v>
      </c>
      <c r="M22" s="4">
        <v>0</v>
      </c>
      <c r="N22" s="5">
        <v>977319.69</v>
      </c>
      <c r="O22" s="5">
        <f t="shared" si="0"/>
        <v>977319.69</v>
      </c>
      <c r="P22" t="s">
        <v>524</v>
      </c>
    </row>
    <row r="23" spans="1:16" x14ac:dyDescent="0.35">
      <c r="A23" s="515"/>
      <c r="B23" t="s">
        <v>145</v>
      </c>
      <c r="C23" t="s">
        <v>146</v>
      </c>
      <c r="D23">
        <v>18230507</v>
      </c>
      <c r="E23" s="4">
        <v>355641.32</v>
      </c>
      <c r="F23" s="4">
        <v>315083.73</v>
      </c>
      <c r="G23" s="4">
        <v>0</v>
      </c>
      <c r="H23" s="4">
        <v>229.74</v>
      </c>
      <c r="I23" s="4">
        <v>166070</v>
      </c>
      <c r="J23" s="4">
        <v>726.55</v>
      </c>
      <c r="K23" s="4">
        <v>0</v>
      </c>
      <c r="L23" s="4">
        <v>15</v>
      </c>
      <c r="M23" s="4">
        <v>0</v>
      </c>
      <c r="N23" s="5">
        <v>837766.34000000008</v>
      </c>
      <c r="O23" s="5">
        <f t="shared" si="0"/>
        <v>837751.34000000008</v>
      </c>
      <c r="P23" t="s">
        <v>526</v>
      </c>
    </row>
    <row r="24" spans="1:16" x14ac:dyDescent="0.35">
      <c r="A24" s="515"/>
      <c r="B24" t="s">
        <v>65</v>
      </c>
      <c r="C24" t="s">
        <v>66</v>
      </c>
      <c r="D24">
        <v>18230418</v>
      </c>
      <c r="E24" s="4">
        <v>292964.78999999998</v>
      </c>
      <c r="F24" s="4">
        <v>259609.42</v>
      </c>
      <c r="G24" s="4">
        <v>0</v>
      </c>
      <c r="H24" s="4">
        <v>126.92</v>
      </c>
      <c r="I24" s="4">
        <v>0</v>
      </c>
      <c r="J24" s="4">
        <v>233.32</v>
      </c>
      <c r="K24" s="4">
        <v>0</v>
      </c>
      <c r="L24" s="4">
        <v>0</v>
      </c>
      <c r="M24" s="4">
        <v>0</v>
      </c>
      <c r="N24" s="5">
        <v>552934.44999999995</v>
      </c>
      <c r="O24" s="5">
        <f t="shared" si="0"/>
        <v>552934.44999999995</v>
      </c>
      <c r="P24" t="s">
        <v>526</v>
      </c>
    </row>
    <row r="25" spans="1:16" x14ac:dyDescent="0.35">
      <c r="A25" s="515"/>
      <c r="B25" t="s">
        <v>140</v>
      </c>
      <c r="C25" t="s">
        <v>141</v>
      </c>
      <c r="D25">
        <v>18230810</v>
      </c>
      <c r="E25" s="4">
        <v>262101.44</v>
      </c>
      <c r="F25" s="4">
        <v>159649.23000000001</v>
      </c>
      <c r="G25" s="4">
        <v>0</v>
      </c>
      <c r="H25" s="4">
        <v>564.67999999999995</v>
      </c>
      <c r="I25" s="4">
        <v>76706.16</v>
      </c>
      <c r="J25" s="4">
        <v>1078.47</v>
      </c>
      <c r="K25" s="4">
        <v>0</v>
      </c>
      <c r="L25" s="4">
        <v>0</v>
      </c>
      <c r="M25" s="4">
        <v>0</v>
      </c>
      <c r="N25" s="5">
        <v>500099.98</v>
      </c>
      <c r="O25" s="5">
        <f t="shared" si="0"/>
        <v>500099.98</v>
      </c>
      <c r="P25" t="s">
        <v>525</v>
      </c>
    </row>
    <row r="26" spans="1:16" x14ac:dyDescent="0.35">
      <c r="A26" s="515"/>
      <c r="B26" t="s">
        <v>171</v>
      </c>
      <c r="C26" t="s">
        <v>172</v>
      </c>
      <c r="D26">
        <v>18230730</v>
      </c>
      <c r="E26" s="4">
        <v>0</v>
      </c>
      <c r="F26" s="4">
        <v>0</v>
      </c>
      <c r="G26" s="4">
        <v>0</v>
      </c>
      <c r="H26" s="4">
        <v>0</v>
      </c>
      <c r="I26" s="4">
        <v>138249.38</v>
      </c>
      <c r="J26" s="4">
        <v>0</v>
      </c>
      <c r="K26" s="4">
        <v>95684</v>
      </c>
      <c r="L26" s="4">
        <v>0</v>
      </c>
      <c r="M26" s="4">
        <v>0</v>
      </c>
      <c r="N26" s="5">
        <v>233933.38</v>
      </c>
      <c r="O26" s="5">
        <f t="shared" si="0"/>
        <v>233933.38</v>
      </c>
      <c r="P26" t="s">
        <v>525</v>
      </c>
    </row>
    <row r="27" spans="1:16" x14ac:dyDescent="0.35">
      <c r="A27" s="515"/>
      <c r="B27" t="s">
        <v>175</v>
      </c>
      <c r="C27" t="s">
        <v>176</v>
      </c>
      <c r="D27">
        <v>18230746</v>
      </c>
      <c r="E27" s="4">
        <v>43488.08</v>
      </c>
      <c r="F27" s="4">
        <v>38500.47</v>
      </c>
      <c r="G27" s="4">
        <v>20055.580000000002</v>
      </c>
      <c r="H27" s="4">
        <v>60.76</v>
      </c>
      <c r="I27" s="4">
        <v>37500</v>
      </c>
      <c r="J27" s="4">
        <v>49.06</v>
      </c>
      <c r="K27" s="4">
        <v>0</v>
      </c>
      <c r="L27" s="4">
        <v>0</v>
      </c>
      <c r="M27" s="4">
        <v>-238719.21</v>
      </c>
      <c r="N27" s="5">
        <v>-99065.25999999998</v>
      </c>
      <c r="O27" s="5">
        <f t="shared" si="0"/>
        <v>-99065.25999999998</v>
      </c>
      <c r="P27" t="s">
        <v>525</v>
      </c>
    </row>
    <row r="28" spans="1:16" x14ac:dyDescent="0.35">
      <c r="A28" s="515"/>
      <c r="B28" t="s">
        <v>19</v>
      </c>
      <c r="C28" t="s">
        <v>20</v>
      </c>
      <c r="D28">
        <v>18230411</v>
      </c>
      <c r="E28" s="4">
        <v>456579.92</v>
      </c>
      <c r="F28" s="4">
        <v>404969.69</v>
      </c>
      <c r="G28" s="4">
        <v>0</v>
      </c>
      <c r="H28" s="4">
        <v>0</v>
      </c>
      <c r="I28" s="4">
        <v>2455452.83</v>
      </c>
      <c r="J28" s="4">
        <v>28033.95</v>
      </c>
      <c r="K28" s="4">
        <v>-634.6</v>
      </c>
      <c r="L28" s="4">
        <v>0</v>
      </c>
      <c r="M28" s="4">
        <v>0</v>
      </c>
      <c r="N28" s="5">
        <v>3344401.79</v>
      </c>
      <c r="O28" s="5">
        <f t="shared" si="0"/>
        <v>3344401.79</v>
      </c>
      <c r="P28" t="s">
        <v>525</v>
      </c>
    </row>
    <row r="29" spans="1:16" x14ac:dyDescent="0.35">
      <c r="A29" s="515"/>
      <c r="B29" t="s">
        <v>73</v>
      </c>
      <c r="C29" t="s">
        <v>74</v>
      </c>
      <c r="D29">
        <v>18230610</v>
      </c>
      <c r="E29" s="4">
        <v>560359.73</v>
      </c>
      <c r="F29" s="4">
        <v>493331.89</v>
      </c>
      <c r="G29" s="4">
        <v>0</v>
      </c>
      <c r="H29" s="4">
        <v>2481.4899999999998</v>
      </c>
      <c r="I29" s="4">
        <v>1039.0999999999999</v>
      </c>
      <c r="J29" s="4">
        <v>4852.26</v>
      </c>
      <c r="K29" s="4">
        <v>0</v>
      </c>
      <c r="L29" s="4">
        <v>0</v>
      </c>
      <c r="M29" s="4">
        <v>0</v>
      </c>
      <c r="N29" s="5">
        <v>1062064.4700000002</v>
      </c>
      <c r="O29" s="5">
        <f t="shared" si="0"/>
        <v>1062064.4700000002</v>
      </c>
      <c r="P29" t="s">
        <v>525</v>
      </c>
    </row>
    <row r="30" spans="1:16" x14ac:dyDescent="0.35">
      <c r="A30" s="515"/>
      <c r="B30" t="s">
        <v>84</v>
      </c>
      <c r="C30" t="s">
        <v>85</v>
      </c>
      <c r="D30">
        <v>18230811</v>
      </c>
      <c r="E30" s="4">
        <v>423779.15</v>
      </c>
      <c r="F30" s="4">
        <v>375210.15</v>
      </c>
      <c r="G30" s="4">
        <v>1468.27</v>
      </c>
      <c r="H30" s="4">
        <v>8200.7099999999991</v>
      </c>
      <c r="I30" s="4">
        <v>75438.490000000005</v>
      </c>
      <c r="J30" s="4">
        <v>4403.34</v>
      </c>
      <c r="K30" s="4">
        <v>15861.4</v>
      </c>
      <c r="L30" s="4">
        <v>59.5</v>
      </c>
      <c r="M30" s="4">
        <v>0</v>
      </c>
      <c r="N30" s="5">
        <v>904421.01</v>
      </c>
      <c r="O30" s="5">
        <f t="shared" si="0"/>
        <v>904361.51</v>
      </c>
      <c r="P30" t="s">
        <v>525</v>
      </c>
    </row>
    <row r="31" spans="1:16" x14ac:dyDescent="0.35">
      <c r="A31" s="515"/>
      <c r="B31" t="s">
        <v>44</v>
      </c>
      <c r="C31" t="s">
        <v>63</v>
      </c>
      <c r="D31">
        <v>18230400</v>
      </c>
      <c r="E31" s="4">
        <v>30470.74</v>
      </c>
      <c r="F31" s="4">
        <v>26992.67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v>57463.41</v>
      </c>
      <c r="O31" s="5">
        <f t="shared" si="0"/>
        <v>57463.41</v>
      </c>
      <c r="P31" t="s">
        <v>525</v>
      </c>
    </row>
    <row r="32" spans="1:16" x14ac:dyDescent="0.35">
      <c r="A32" s="515"/>
      <c r="B32" t="s">
        <v>44</v>
      </c>
      <c r="C32" t="s">
        <v>54</v>
      </c>
      <c r="D32">
        <v>18230408</v>
      </c>
      <c r="E32" s="4">
        <v>18795.240000000002</v>
      </c>
      <c r="F32" s="4">
        <v>16643.400000000001</v>
      </c>
      <c r="G32" s="4">
        <v>0</v>
      </c>
      <c r="H32" s="4">
        <v>0</v>
      </c>
      <c r="I32" s="4">
        <v>439134.17</v>
      </c>
      <c r="J32" s="4">
        <v>0</v>
      </c>
      <c r="K32" s="4">
        <v>0</v>
      </c>
      <c r="L32" s="4">
        <v>0</v>
      </c>
      <c r="M32" s="4">
        <v>0</v>
      </c>
      <c r="N32" s="5">
        <v>474572.81</v>
      </c>
      <c r="O32" s="5">
        <f t="shared" si="0"/>
        <v>474572.81</v>
      </c>
      <c r="P32" t="s">
        <v>525</v>
      </c>
    </row>
    <row r="33" spans="1:16" x14ac:dyDescent="0.35">
      <c r="A33" s="515"/>
      <c r="B33" t="s">
        <v>44</v>
      </c>
      <c r="C33" t="s">
        <v>45</v>
      </c>
      <c r="D33">
        <v>18230508</v>
      </c>
      <c r="E33" s="4">
        <v>36967.449999999997</v>
      </c>
      <c r="F33" s="4">
        <v>32740.37</v>
      </c>
      <c r="G33" s="4">
        <v>0</v>
      </c>
      <c r="H33" s="4">
        <v>6.25</v>
      </c>
      <c r="I33" s="4">
        <v>680859.32</v>
      </c>
      <c r="J33" s="4">
        <v>0</v>
      </c>
      <c r="K33" s="4">
        <v>0</v>
      </c>
      <c r="L33" s="4">
        <v>0</v>
      </c>
      <c r="M33" s="4">
        <v>0</v>
      </c>
      <c r="N33" s="5">
        <v>750573.3899999999</v>
      </c>
      <c r="O33" s="5">
        <f t="shared" si="0"/>
        <v>750573.3899999999</v>
      </c>
      <c r="P33" t="s">
        <v>525</v>
      </c>
    </row>
    <row r="34" spans="1:16" x14ac:dyDescent="0.35">
      <c r="A34" s="515"/>
      <c r="B34" t="s">
        <v>44</v>
      </c>
      <c r="C34" t="s">
        <v>517</v>
      </c>
      <c r="D34">
        <v>18230509</v>
      </c>
      <c r="E34" s="4">
        <v>58073.05</v>
      </c>
      <c r="F34" s="4">
        <v>51379.26</v>
      </c>
      <c r="G34" s="4">
        <v>96541.8</v>
      </c>
      <c r="H34" s="4">
        <v>22.21</v>
      </c>
      <c r="I34" s="4">
        <v>8580</v>
      </c>
      <c r="J34" s="4">
        <v>0</v>
      </c>
      <c r="K34" s="4">
        <v>0</v>
      </c>
      <c r="L34" s="4">
        <v>68.25</v>
      </c>
      <c r="M34" s="4">
        <v>0</v>
      </c>
      <c r="N34" s="5">
        <v>214664.56999999998</v>
      </c>
      <c r="O34" s="5">
        <f t="shared" si="0"/>
        <v>214596.31999999998</v>
      </c>
      <c r="P34" t="s">
        <v>525</v>
      </c>
    </row>
    <row r="35" spans="1:16" x14ac:dyDescent="0.35">
      <c r="A35" s="515"/>
      <c r="B35" t="s">
        <v>104</v>
      </c>
      <c r="C35" t="s">
        <v>105</v>
      </c>
      <c r="D35">
        <v>18230466</v>
      </c>
      <c r="E35" s="4">
        <v>216396.01</v>
      </c>
      <c r="F35" s="4">
        <v>191703.54</v>
      </c>
      <c r="G35" s="4">
        <v>823031.69</v>
      </c>
      <c r="H35" s="4">
        <v>0</v>
      </c>
      <c r="I35" s="4">
        <v>41826.879999999997</v>
      </c>
      <c r="J35" s="4">
        <v>30898.02</v>
      </c>
      <c r="K35" s="4">
        <v>0</v>
      </c>
      <c r="L35" s="4">
        <v>0</v>
      </c>
      <c r="M35" s="4">
        <v>0</v>
      </c>
      <c r="N35" s="5">
        <v>1303856.1399999999</v>
      </c>
      <c r="O35" s="5">
        <f t="shared" si="0"/>
        <v>1303856.1399999999</v>
      </c>
      <c r="P35" t="s">
        <v>525</v>
      </c>
    </row>
    <row r="36" spans="1:16" x14ac:dyDescent="0.35">
      <c r="A36" s="515"/>
      <c r="B36" t="s">
        <v>88</v>
      </c>
      <c r="C36" t="s">
        <v>89</v>
      </c>
      <c r="D36">
        <v>18230487</v>
      </c>
      <c r="E36" s="4">
        <v>243756.69</v>
      </c>
      <c r="F36" s="4">
        <v>215996.61</v>
      </c>
      <c r="G36" s="4">
        <v>8180.01</v>
      </c>
      <c r="H36" s="4">
        <v>3152.54</v>
      </c>
      <c r="I36" s="4">
        <v>128048.48</v>
      </c>
      <c r="J36" s="4">
        <v>21257.33</v>
      </c>
      <c r="K36" s="4">
        <v>903.8</v>
      </c>
      <c r="L36" s="4">
        <v>0</v>
      </c>
      <c r="M36" s="4">
        <v>0</v>
      </c>
      <c r="N36" s="5">
        <v>621295.46</v>
      </c>
      <c r="O36" s="5">
        <f t="shared" si="0"/>
        <v>621295.46</v>
      </c>
      <c r="P36" t="s">
        <v>525</v>
      </c>
    </row>
    <row r="37" spans="1:16" x14ac:dyDescent="0.35">
      <c r="A37" s="515"/>
      <c r="B37" t="s">
        <v>40</v>
      </c>
      <c r="C37" t="s">
        <v>41</v>
      </c>
      <c r="D37">
        <v>18230809</v>
      </c>
      <c r="E37" s="4">
        <v>90940.5</v>
      </c>
      <c r="F37" s="4">
        <v>80547.039999999994</v>
      </c>
      <c r="G37" s="4">
        <v>0</v>
      </c>
      <c r="H37" s="4">
        <v>0</v>
      </c>
      <c r="I37" s="4">
        <v>501910.98</v>
      </c>
      <c r="J37" s="4">
        <v>0</v>
      </c>
      <c r="K37" s="4">
        <v>0</v>
      </c>
      <c r="L37" s="4">
        <v>0</v>
      </c>
      <c r="M37" s="4">
        <v>0</v>
      </c>
      <c r="N37" s="5">
        <v>673398.52</v>
      </c>
      <c r="O37" s="5">
        <f t="shared" si="0"/>
        <v>673398.52</v>
      </c>
      <c r="P37" t="s">
        <v>525</v>
      </c>
    </row>
    <row r="38" spans="1:16" x14ac:dyDescent="0.35">
      <c r="A38" s="515"/>
      <c r="B38" t="s">
        <v>160</v>
      </c>
      <c r="C38" t="s">
        <v>161</v>
      </c>
      <c r="D38">
        <v>18230469</v>
      </c>
      <c r="E38" s="4">
        <v>246407.92</v>
      </c>
      <c r="F38" s="4">
        <v>218312.91</v>
      </c>
      <c r="G38" s="4">
        <v>0</v>
      </c>
      <c r="H38" s="4">
        <v>7028.48</v>
      </c>
      <c r="I38" s="4">
        <v>0</v>
      </c>
      <c r="J38" s="4">
        <v>349.77</v>
      </c>
      <c r="K38" s="4">
        <v>0</v>
      </c>
      <c r="L38" s="4">
        <v>0</v>
      </c>
      <c r="M38" s="4">
        <v>0</v>
      </c>
      <c r="N38" s="5">
        <v>472099.08</v>
      </c>
      <c r="O38" s="5">
        <f t="shared" si="0"/>
        <v>472099.08</v>
      </c>
      <c r="P38" t="s">
        <v>525</v>
      </c>
    </row>
    <row r="39" spans="1:16" x14ac:dyDescent="0.35">
      <c r="A39" s="515"/>
      <c r="B39" t="s">
        <v>110</v>
      </c>
      <c r="C39" t="s">
        <v>111</v>
      </c>
      <c r="D39">
        <v>18230413</v>
      </c>
      <c r="E39" s="4">
        <v>85378.01</v>
      </c>
      <c r="F39" s="4">
        <v>75656.820000000007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v>161034.83000000002</v>
      </c>
      <c r="O39" s="5">
        <f t="shared" si="0"/>
        <v>161034.83000000002</v>
      </c>
      <c r="P39" t="s">
        <v>524</v>
      </c>
    </row>
    <row r="40" spans="1:16" x14ac:dyDescent="0.35">
      <c r="A40" s="515"/>
      <c r="B40" t="s">
        <v>132</v>
      </c>
      <c r="C40" t="s">
        <v>133</v>
      </c>
      <c r="D40">
        <v>18230802</v>
      </c>
      <c r="E40" s="4">
        <v>168222.53</v>
      </c>
      <c r="F40" s="4">
        <v>149018.65</v>
      </c>
      <c r="G40" s="4">
        <v>0</v>
      </c>
      <c r="H40" s="4">
        <v>3569.63</v>
      </c>
      <c r="I40" s="4">
        <v>893004.17</v>
      </c>
      <c r="J40" s="4">
        <v>110.29</v>
      </c>
      <c r="K40" s="4">
        <v>312417</v>
      </c>
      <c r="L40" s="4">
        <v>0</v>
      </c>
      <c r="M40" s="4">
        <v>0</v>
      </c>
      <c r="N40" s="5">
        <v>1526342.27</v>
      </c>
      <c r="O40" s="5">
        <f t="shared" si="0"/>
        <v>1526342.27</v>
      </c>
      <c r="P40" t="s">
        <v>525</v>
      </c>
    </row>
    <row r="41" spans="1:16" x14ac:dyDescent="0.35">
      <c r="A41" s="515"/>
      <c r="B41" t="s">
        <v>29</v>
      </c>
      <c r="C41" t="s">
        <v>30</v>
      </c>
      <c r="D41">
        <v>18230624</v>
      </c>
      <c r="E41" s="4">
        <v>0</v>
      </c>
      <c r="F41" s="4">
        <v>0</v>
      </c>
      <c r="G41" s="4">
        <v>0</v>
      </c>
      <c r="H41" s="4">
        <v>0</v>
      </c>
      <c r="I41" s="4">
        <v>64162</v>
      </c>
      <c r="J41" s="4">
        <v>0</v>
      </c>
      <c r="K41" s="4">
        <v>0</v>
      </c>
      <c r="L41" s="4">
        <v>0</v>
      </c>
      <c r="M41" s="4">
        <v>0</v>
      </c>
      <c r="N41" s="5">
        <v>64162</v>
      </c>
      <c r="O41" s="5">
        <f t="shared" si="0"/>
        <v>64162</v>
      </c>
      <c r="P41" t="s">
        <v>525</v>
      </c>
    </row>
    <row r="42" spans="1:16" x14ac:dyDescent="0.35">
      <c r="A42" s="515"/>
      <c r="B42" t="s">
        <v>120</v>
      </c>
      <c r="C42" t="s">
        <v>121</v>
      </c>
      <c r="D42">
        <v>18230128</v>
      </c>
      <c r="E42" s="4">
        <v>376647.57</v>
      </c>
      <c r="F42" s="4">
        <v>330377.03000000003</v>
      </c>
      <c r="G42" s="4">
        <v>0</v>
      </c>
      <c r="H42" s="4">
        <v>1562.92</v>
      </c>
      <c r="I42" s="4">
        <v>0</v>
      </c>
      <c r="J42" s="4">
        <v>214513.65</v>
      </c>
      <c r="K42" s="4">
        <v>2723347.82</v>
      </c>
      <c r="L42" s="4">
        <v>0</v>
      </c>
      <c r="M42" s="4">
        <v>0</v>
      </c>
      <c r="N42" s="5">
        <v>3646448.99</v>
      </c>
      <c r="O42" s="5">
        <f t="shared" si="0"/>
        <v>3646448.99</v>
      </c>
      <c r="P42" t="s">
        <v>522</v>
      </c>
    </row>
    <row r="43" spans="1:16" x14ac:dyDescent="0.35">
      <c r="A43" s="515"/>
      <c r="B43" t="s">
        <v>21</v>
      </c>
      <c r="C43" t="s">
        <v>22</v>
      </c>
      <c r="D43">
        <v>18230133</v>
      </c>
      <c r="E43" s="4">
        <v>0</v>
      </c>
      <c r="F43" s="4">
        <v>0</v>
      </c>
      <c r="G43" s="4">
        <v>0</v>
      </c>
      <c r="H43" s="4">
        <v>0</v>
      </c>
      <c r="I43" s="4">
        <v>5107.63</v>
      </c>
      <c r="J43" s="4">
        <v>38535</v>
      </c>
      <c r="K43" s="4">
        <v>0</v>
      </c>
      <c r="L43" s="4">
        <v>3675</v>
      </c>
      <c r="M43" s="4">
        <v>0</v>
      </c>
      <c r="N43" s="5">
        <v>47317.63</v>
      </c>
      <c r="O43" s="5">
        <f t="shared" si="0"/>
        <v>43642.63</v>
      </c>
      <c r="P43" t="s">
        <v>527</v>
      </c>
    </row>
    <row r="44" spans="1:16" x14ac:dyDescent="0.35">
      <c r="A44" s="515"/>
      <c r="B44" t="s">
        <v>548</v>
      </c>
      <c r="C44" t="s">
        <v>551</v>
      </c>
      <c r="D44">
        <v>18230753</v>
      </c>
      <c r="E44" s="4"/>
      <c r="F44" s="4"/>
      <c r="G44" s="4"/>
      <c r="H44" s="4"/>
      <c r="I44" s="4">
        <v>13317.9</v>
      </c>
      <c r="J44" s="4"/>
      <c r="K44" s="4"/>
      <c r="L44" s="4"/>
      <c r="M44" s="4"/>
      <c r="N44" s="5">
        <v>13317.9</v>
      </c>
      <c r="O44" s="5">
        <f t="shared" si="0"/>
        <v>13317.9</v>
      </c>
      <c r="P44" t="s">
        <v>524</v>
      </c>
    </row>
    <row r="45" spans="1:16" x14ac:dyDescent="0.35">
      <c r="A45" s="515"/>
      <c r="B45" t="s">
        <v>25</v>
      </c>
      <c r="C45" t="s">
        <v>26</v>
      </c>
      <c r="D45">
        <v>18230140</v>
      </c>
      <c r="E45" s="4">
        <v>0</v>
      </c>
      <c r="F45" s="4">
        <v>0</v>
      </c>
      <c r="G45" s="4">
        <v>550</v>
      </c>
      <c r="H45" s="4">
        <v>572.1</v>
      </c>
      <c r="I45" s="4">
        <v>0</v>
      </c>
      <c r="J45" s="4">
        <v>330.62</v>
      </c>
      <c r="K45" s="4">
        <v>0</v>
      </c>
      <c r="L45" s="4">
        <v>0</v>
      </c>
      <c r="M45" s="4">
        <v>0</v>
      </c>
      <c r="N45" s="5">
        <v>1452.7199999999998</v>
      </c>
      <c r="O45" s="5">
        <f t="shared" si="0"/>
        <v>1452.7199999999998</v>
      </c>
      <c r="P45" t="s">
        <v>524</v>
      </c>
    </row>
    <row r="46" spans="1:16" x14ac:dyDescent="0.35">
      <c r="A46" s="515"/>
      <c r="B46" t="s">
        <v>25</v>
      </c>
      <c r="C46" t="s">
        <v>552</v>
      </c>
      <c r="D46">
        <v>18231128</v>
      </c>
      <c r="E46" s="4">
        <v>545.71</v>
      </c>
      <c r="F46" s="4">
        <v>468.77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5">
        <v>1014.48</v>
      </c>
      <c r="O46" s="5">
        <f t="shared" si="0"/>
        <v>1014.48</v>
      </c>
      <c r="P46" t="s">
        <v>521</v>
      </c>
    </row>
    <row r="47" spans="1:16" x14ac:dyDescent="0.35">
      <c r="A47" s="515"/>
      <c r="B47" t="s">
        <v>149</v>
      </c>
      <c r="C47" t="s">
        <v>553</v>
      </c>
      <c r="D47">
        <v>18230526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v>0</v>
      </c>
      <c r="O47" s="5">
        <f t="shared" si="0"/>
        <v>0</v>
      </c>
      <c r="P47" t="s">
        <v>521</v>
      </c>
    </row>
    <row r="48" spans="1:16" x14ac:dyDescent="0.35">
      <c r="A48" s="515"/>
      <c r="B48" t="s">
        <v>149</v>
      </c>
      <c r="C48" t="s">
        <v>554</v>
      </c>
      <c r="D48">
        <v>18230749</v>
      </c>
      <c r="E48" s="4">
        <v>36977</v>
      </c>
      <c r="F48" s="4">
        <v>32725.42</v>
      </c>
      <c r="G48" s="4">
        <v>0</v>
      </c>
      <c r="H48" s="4">
        <v>6.25</v>
      </c>
      <c r="I48" s="4">
        <v>56135.3</v>
      </c>
      <c r="J48" s="4">
        <v>0</v>
      </c>
      <c r="K48" s="4">
        <v>0</v>
      </c>
      <c r="L48" s="4">
        <v>121819.79</v>
      </c>
      <c r="M48" s="4">
        <v>0</v>
      </c>
      <c r="N48" s="5">
        <v>247663.76</v>
      </c>
      <c r="O48" s="5">
        <f t="shared" si="0"/>
        <v>125843.97000000002</v>
      </c>
      <c r="P48" t="s">
        <v>521</v>
      </c>
    </row>
    <row r="49" spans="1:16" x14ac:dyDescent="0.35">
      <c r="A49" s="515"/>
      <c r="B49" t="s">
        <v>149</v>
      </c>
      <c r="C49" t="s">
        <v>150</v>
      </c>
      <c r="D49">
        <v>18230750</v>
      </c>
      <c r="E49" s="4">
        <v>36438.629999999997</v>
      </c>
      <c r="F49" s="4">
        <v>32269.87</v>
      </c>
      <c r="G49" s="4">
        <v>0</v>
      </c>
      <c r="H49" s="4">
        <v>0</v>
      </c>
      <c r="I49" s="4">
        <v>93750</v>
      </c>
      <c r="J49" s="4">
        <v>0</v>
      </c>
      <c r="K49" s="4">
        <v>0</v>
      </c>
      <c r="L49" s="4">
        <v>0</v>
      </c>
      <c r="M49" s="4">
        <v>0</v>
      </c>
      <c r="N49" s="5">
        <v>162458.5</v>
      </c>
      <c r="O49" s="5">
        <f t="shared" si="0"/>
        <v>162458.5</v>
      </c>
      <c r="P49" t="s">
        <v>521</v>
      </c>
    </row>
    <row r="50" spans="1:16" x14ac:dyDescent="0.35">
      <c r="A50" s="515"/>
      <c r="B50" t="s">
        <v>164</v>
      </c>
      <c r="C50" t="s">
        <v>165</v>
      </c>
      <c r="D50">
        <v>18230134</v>
      </c>
      <c r="E50" s="4">
        <v>85849.74</v>
      </c>
      <c r="F50" s="4">
        <v>76038.52</v>
      </c>
      <c r="G50" s="4">
        <v>2121.5100000000002</v>
      </c>
      <c r="H50" s="4">
        <v>1342.81</v>
      </c>
      <c r="I50" s="4">
        <v>77672.490000000005</v>
      </c>
      <c r="J50" s="4">
        <v>102.65</v>
      </c>
      <c r="K50" s="4">
        <v>0</v>
      </c>
      <c r="L50" s="4">
        <v>0</v>
      </c>
      <c r="M50" s="4">
        <v>0</v>
      </c>
      <c r="N50" s="5">
        <v>243127.72</v>
      </c>
      <c r="O50" s="5">
        <f t="shared" si="0"/>
        <v>243127.72</v>
      </c>
      <c r="P50" t="s">
        <v>524</v>
      </c>
    </row>
    <row r="51" spans="1:16" x14ac:dyDescent="0.35">
      <c r="A51" s="515"/>
      <c r="B51" t="s">
        <v>46</v>
      </c>
      <c r="C51" t="s">
        <v>47</v>
      </c>
      <c r="D51">
        <v>18230421</v>
      </c>
      <c r="E51" s="4">
        <v>0</v>
      </c>
      <c r="F51" s="4">
        <v>0</v>
      </c>
      <c r="G51" s="4">
        <v>0</v>
      </c>
      <c r="H51" s="4">
        <v>0</v>
      </c>
      <c r="I51" s="4">
        <v>1072519.4099999999</v>
      </c>
      <c r="J51" s="4">
        <v>0</v>
      </c>
      <c r="K51" s="4">
        <v>0</v>
      </c>
      <c r="L51" s="4">
        <v>3203533.79</v>
      </c>
      <c r="M51" s="4">
        <v>0</v>
      </c>
      <c r="N51" s="5">
        <v>4276053.2</v>
      </c>
      <c r="O51" s="5">
        <f t="shared" si="0"/>
        <v>1072519.4100000001</v>
      </c>
      <c r="P51" t="s">
        <v>524</v>
      </c>
    </row>
    <row r="52" spans="1:16" x14ac:dyDescent="0.35">
      <c r="A52" s="515"/>
      <c r="B52" t="s">
        <v>92</v>
      </c>
      <c r="C52" t="s">
        <v>93</v>
      </c>
      <c r="D52">
        <v>18230713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v>0</v>
      </c>
      <c r="O52" s="5">
        <f t="shared" si="0"/>
        <v>0</v>
      </c>
      <c r="P52" t="s">
        <v>524</v>
      </c>
    </row>
    <row r="53" spans="1:16" x14ac:dyDescent="0.35">
      <c r="A53" s="515"/>
      <c r="B53" t="s">
        <v>71</v>
      </c>
      <c r="C53" t="s">
        <v>72</v>
      </c>
      <c r="D53">
        <v>18230611</v>
      </c>
      <c r="E53" s="4">
        <v>136016.84</v>
      </c>
      <c r="F53" s="4">
        <v>120419.55</v>
      </c>
      <c r="G53" s="4">
        <v>18573.560000000001</v>
      </c>
      <c r="H53" s="4">
        <v>233.33</v>
      </c>
      <c r="I53" s="4">
        <v>2829.88</v>
      </c>
      <c r="J53" s="4">
        <v>0</v>
      </c>
      <c r="K53" s="4">
        <v>0</v>
      </c>
      <c r="L53" s="4">
        <v>4408551.68</v>
      </c>
      <c r="M53" s="4">
        <v>0</v>
      </c>
      <c r="N53" s="5">
        <v>4686624.84</v>
      </c>
      <c r="O53" s="5">
        <f t="shared" si="0"/>
        <v>278073.16000000015</v>
      </c>
      <c r="P53" t="s">
        <v>524</v>
      </c>
    </row>
    <row r="54" spans="1:16" x14ac:dyDescent="0.35">
      <c r="A54" s="515"/>
      <c r="B54" t="s">
        <v>15</v>
      </c>
      <c r="C54" t="s">
        <v>16</v>
      </c>
      <c r="D54">
        <v>18230023</v>
      </c>
      <c r="E54" s="4">
        <v>70807.39</v>
      </c>
      <c r="F54" s="4">
        <v>62700.22</v>
      </c>
      <c r="G54" s="4">
        <v>34733.03</v>
      </c>
      <c r="H54" s="4">
        <v>141.22</v>
      </c>
      <c r="I54" s="4">
        <v>121764.44</v>
      </c>
      <c r="J54" s="4">
        <v>733.37</v>
      </c>
      <c r="K54" s="4">
        <v>0</v>
      </c>
      <c r="L54" s="4">
        <v>707612.22</v>
      </c>
      <c r="M54" s="4">
        <v>0</v>
      </c>
      <c r="N54" s="5">
        <v>998491.8899999999</v>
      </c>
      <c r="O54" s="5">
        <f t="shared" si="0"/>
        <v>290879.66999999993</v>
      </c>
      <c r="P54" t="s">
        <v>520</v>
      </c>
    </row>
    <row r="55" spans="1:16" x14ac:dyDescent="0.35">
      <c r="A55" s="515"/>
      <c r="B55" t="s">
        <v>15</v>
      </c>
      <c r="C55" t="s">
        <v>555</v>
      </c>
      <c r="D55">
        <v>18230162</v>
      </c>
      <c r="E55" s="4">
        <v>48207.83</v>
      </c>
      <c r="F55" s="4">
        <v>42648.77</v>
      </c>
      <c r="G55" s="4">
        <v>0</v>
      </c>
      <c r="H55" s="4">
        <v>979.13</v>
      </c>
      <c r="I55" s="4">
        <v>1115317.01</v>
      </c>
      <c r="J55" s="4">
        <v>15.93</v>
      </c>
      <c r="K55" s="4">
        <v>546.25</v>
      </c>
      <c r="L55" s="4">
        <v>7136469.6699999999</v>
      </c>
      <c r="M55" s="4">
        <v>0</v>
      </c>
      <c r="N55" s="5">
        <v>8344184.5899999999</v>
      </c>
      <c r="O55" s="5">
        <f t="shared" si="0"/>
        <v>1207714.92</v>
      </c>
      <c r="P55" t="s">
        <v>527</v>
      </c>
    </row>
    <row r="56" spans="1:16" x14ac:dyDescent="0.35">
      <c r="A56" s="515"/>
      <c r="B56" t="s">
        <v>15</v>
      </c>
      <c r="C56" t="s">
        <v>48</v>
      </c>
      <c r="D56">
        <v>18230434</v>
      </c>
      <c r="E56" s="4">
        <v>63105.78</v>
      </c>
      <c r="F56" s="4">
        <v>55936.800000000003</v>
      </c>
      <c r="G56" s="4">
        <v>45778.87</v>
      </c>
      <c r="H56" s="4">
        <v>211.6</v>
      </c>
      <c r="I56" s="4">
        <v>77208.929999999993</v>
      </c>
      <c r="J56" s="4">
        <v>0</v>
      </c>
      <c r="K56" s="4">
        <v>0</v>
      </c>
      <c r="L56" s="4">
        <v>306033.40999999997</v>
      </c>
      <c r="M56" s="4">
        <v>0</v>
      </c>
      <c r="N56" s="5">
        <v>548275.39</v>
      </c>
      <c r="O56" s="5">
        <f t="shared" si="0"/>
        <v>242241.98000000004</v>
      </c>
      <c r="P56" t="s">
        <v>524</v>
      </c>
    </row>
    <row r="57" spans="1:16" x14ac:dyDescent="0.35">
      <c r="A57" s="515"/>
      <c r="B57" t="s">
        <v>15</v>
      </c>
      <c r="C57" t="s">
        <v>49</v>
      </c>
      <c r="D57">
        <v>18230435</v>
      </c>
      <c r="E57" s="4">
        <v>1876.9</v>
      </c>
      <c r="F57" s="4">
        <v>1687.32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-233.25</v>
      </c>
      <c r="M57" s="4">
        <v>0</v>
      </c>
      <c r="N57" s="5">
        <v>3330.9700000000003</v>
      </c>
      <c r="O57" s="5">
        <f t="shared" si="0"/>
        <v>3564.2200000000003</v>
      </c>
      <c r="P57" t="s">
        <v>524</v>
      </c>
    </row>
    <row r="58" spans="1:16" x14ac:dyDescent="0.35">
      <c r="A58" s="515"/>
      <c r="B58" t="s">
        <v>15</v>
      </c>
      <c r="C58" t="s">
        <v>50</v>
      </c>
      <c r="D58">
        <v>18230440</v>
      </c>
      <c r="E58" s="4">
        <v>57480.67</v>
      </c>
      <c r="F58" s="4">
        <v>50924.12</v>
      </c>
      <c r="G58" s="4">
        <v>79254.509999999995</v>
      </c>
      <c r="H58" s="4">
        <v>330.36</v>
      </c>
      <c r="I58" s="4">
        <v>69219.179999999993</v>
      </c>
      <c r="J58" s="4">
        <v>82.09</v>
      </c>
      <c r="K58" s="4">
        <v>0</v>
      </c>
      <c r="L58" s="4">
        <v>892065</v>
      </c>
      <c r="M58" s="4">
        <v>0</v>
      </c>
      <c r="N58" s="5">
        <v>1149355.93</v>
      </c>
      <c r="O58" s="5">
        <f t="shared" si="0"/>
        <v>257290.92999999993</v>
      </c>
      <c r="P58" t="s">
        <v>521</v>
      </c>
    </row>
    <row r="59" spans="1:16" x14ac:dyDescent="0.35">
      <c r="A59" s="515"/>
      <c r="B59" t="s">
        <v>15</v>
      </c>
      <c r="C59" t="s">
        <v>51</v>
      </c>
      <c r="D59">
        <v>18230461</v>
      </c>
      <c r="E59" s="4">
        <v>61108.61</v>
      </c>
      <c r="F59" s="4">
        <v>54135.67</v>
      </c>
      <c r="G59" s="4">
        <v>0</v>
      </c>
      <c r="H59" s="4">
        <v>44.03</v>
      </c>
      <c r="I59" s="4">
        <v>731082.53</v>
      </c>
      <c r="J59" s="4">
        <v>0</v>
      </c>
      <c r="K59" s="4">
        <v>0</v>
      </c>
      <c r="L59" s="4">
        <v>731082.58</v>
      </c>
      <c r="M59" s="4">
        <v>0</v>
      </c>
      <c r="N59" s="5">
        <v>1577453.42</v>
      </c>
      <c r="O59" s="5">
        <f t="shared" si="0"/>
        <v>846370.84</v>
      </c>
      <c r="P59" t="s">
        <v>521</v>
      </c>
    </row>
    <row r="60" spans="1:16" x14ac:dyDescent="0.35">
      <c r="A60" s="516"/>
      <c r="B60" t="s">
        <v>15</v>
      </c>
      <c r="C60" t="s">
        <v>75</v>
      </c>
      <c r="D60">
        <v>18230626</v>
      </c>
      <c r="E60" s="4">
        <v>83944.78</v>
      </c>
      <c r="F60" s="4">
        <v>74354.320000000007</v>
      </c>
      <c r="G60" s="4">
        <v>112435.8</v>
      </c>
      <c r="H60" s="4">
        <v>255.81</v>
      </c>
      <c r="I60" s="4">
        <v>38044.35</v>
      </c>
      <c r="J60" s="4">
        <v>68.94</v>
      </c>
      <c r="K60" s="4">
        <v>0</v>
      </c>
      <c r="L60" s="4">
        <v>396671.27</v>
      </c>
      <c r="M60" s="4">
        <v>0</v>
      </c>
      <c r="N60" s="5">
        <v>705775.27</v>
      </c>
      <c r="O60" s="5">
        <f t="shared" si="0"/>
        <v>309104</v>
      </c>
      <c r="P60" t="s">
        <v>520</v>
      </c>
    </row>
    <row r="61" spans="1:16" x14ac:dyDescent="0.35">
      <c r="A61" s="515"/>
      <c r="B61" t="s">
        <v>15</v>
      </c>
      <c r="C61" t="s">
        <v>76</v>
      </c>
      <c r="D61">
        <v>18230627</v>
      </c>
      <c r="E61" s="4">
        <v>61788.86</v>
      </c>
      <c r="F61" s="4">
        <v>54584.01</v>
      </c>
      <c r="G61" s="4">
        <v>118660.1</v>
      </c>
      <c r="H61" s="4">
        <v>293.26</v>
      </c>
      <c r="I61" s="4">
        <v>4.9400000000000004</v>
      </c>
      <c r="J61" s="4">
        <v>115.76</v>
      </c>
      <c r="K61" s="4">
        <v>0</v>
      </c>
      <c r="L61" s="4">
        <v>941150.6</v>
      </c>
      <c r="M61" s="4">
        <v>0</v>
      </c>
      <c r="N61" s="5">
        <v>1176597.53</v>
      </c>
      <c r="O61" s="5">
        <f t="shared" si="0"/>
        <v>235446.93000000005</v>
      </c>
      <c r="P61" t="s">
        <v>521</v>
      </c>
    </row>
    <row r="62" spans="1:16" x14ac:dyDescent="0.35">
      <c r="A62" s="515"/>
      <c r="B62" t="s">
        <v>15</v>
      </c>
      <c r="C62" t="s">
        <v>77</v>
      </c>
      <c r="D62">
        <v>18230628</v>
      </c>
      <c r="E62" s="4">
        <v>64343.040000000001</v>
      </c>
      <c r="F62" s="4">
        <v>57038.78</v>
      </c>
      <c r="G62" s="4">
        <v>209975.7</v>
      </c>
      <c r="H62" s="4">
        <v>227.56</v>
      </c>
      <c r="I62" s="4">
        <v>8847.73</v>
      </c>
      <c r="J62" s="4">
        <v>0</v>
      </c>
      <c r="K62" s="4">
        <v>0</v>
      </c>
      <c r="L62" s="4">
        <v>3502864.65</v>
      </c>
      <c r="M62" s="4">
        <v>0</v>
      </c>
      <c r="N62" s="5">
        <v>3843297.46</v>
      </c>
      <c r="O62" s="5">
        <f t="shared" si="0"/>
        <v>340432.81000000006</v>
      </c>
      <c r="P62" t="s">
        <v>525</v>
      </c>
    </row>
    <row r="63" spans="1:16" x14ac:dyDescent="0.35">
      <c r="A63" s="515"/>
      <c r="B63" t="s">
        <v>15</v>
      </c>
      <c r="C63" t="s">
        <v>545</v>
      </c>
      <c r="D63">
        <v>18230751</v>
      </c>
      <c r="E63" s="4">
        <v>22715.279999999999</v>
      </c>
      <c r="F63" s="4">
        <v>20132.34</v>
      </c>
      <c r="G63" s="4">
        <v>22933.08</v>
      </c>
      <c r="H63" s="4">
        <v>0</v>
      </c>
      <c r="I63" s="4">
        <v>1867</v>
      </c>
      <c r="J63" s="4">
        <v>0</v>
      </c>
      <c r="K63" s="4">
        <v>0</v>
      </c>
      <c r="L63" s="4">
        <v>0</v>
      </c>
      <c r="M63" s="4">
        <v>0</v>
      </c>
      <c r="N63" s="5">
        <v>67647.7</v>
      </c>
      <c r="O63" s="5">
        <f t="shared" si="0"/>
        <v>67647.7</v>
      </c>
      <c r="P63" t="s">
        <v>525</v>
      </c>
    </row>
    <row r="64" spans="1:16" x14ac:dyDescent="0.35">
      <c r="A64" s="515"/>
      <c r="B64" t="s">
        <v>17</v>
      </c>
      <c r="C64" t="s">
        <v>18</v>
      </c>
      <c r="D64">
        <v>18230071</v>
      </c>
      <c r="E64" s="4">
        <v>20360.580000000002</v>
      </c>
      <c r="F64" s="4">
        <v>18032.68</v>
      </c>
      <c r="G64" s="4">
        <v>4086.15</v>
      </c>
      <c r="H64" s="4">
        <v>10.84</v>
      </c>
      <c r="I64" s="4">
        <v>13102.37</v>
      </c>
      <c r="J64" s="4">
        <v>0</v>
      </c>
      <c r="K64" s="4">
        <v>0</v>
      </c>
      <c r="L64" s="4">
        <v>109448.08</v>
      </c>
      <c r="M64" s="4">
        <v>0</v>
      </c>
      <c r="N64" s="5">
        <v>165040.70000000001</v>
      </c>
      <c r="O64" s="5">
        <f t="shared" si="0"/>
        <v>55592.62000000001</v>
      </c>
      <c r="P64" t="s">
        <v>526</v>
      </c>
    </row>
    <row r="65" spans="1:16" x14ac:dyDescent="0.35">
      <c r="A65" s="515"/>
      <c r="B65" t="s">
        <v>17</v>
      </c>
      <c r="C65" t="s">
        <v>37</v>
      </c>
      <c r="D65">
        <v>18230405</v>
      </c>
      <c r="E65" s="4">
        <v>33926.49</v>
      </c>
      <c r="F65" s="4">
        <v>30042.720000000001</v>
      </c>
      <c r="G65" s="4">
        <v>9428.8799999999992</v>
      </c>
      <c r="H65" s="4">
        <v>931.21</v>
      </c>
      <c r="I65" s="4">
        <v>3479.85</v>
      </c>
      <c r="J65" s="4">
        <v>726.07</v>
      </c>
      <c r="K65" s="4">
        <v>4500</v>
      </c>
      <c r="L65" s="4">
        <v>56118.71</v>
      </c>
      <c r="M65" s="4">
        <v>0</v>
      </c>
      <c r="N65" s="5">
        <v>139153.93000000002</v>
      </c>
      <c r="O65" s="5">
        <f t="shared" si="0"/>
        <v>83035.22000000003</v>
      </c>
      <c r="P65" t="s">
        <v>526</v>
      </c>
    </row>
    <row r="66" spans="1:16" x14ac:dyDescent="0.35">
      <c r="A66" s="515"/>
      <c r="B66" t="s">
        <v>38</v>
      </c>
      <c r="C66" t="s">
        <v>39</v>
      </c>
      <c r="D66">
        <v>18230407</v>
      </c>
      <c r="E66" s="4">
        <v>134496.93</v>
      </c>
      <c r="F66" s="4">
        <v>119131.26</v>
      </c>
      <c r="G66" s="4">
        <v>38782.86</v>
      </c>
      <c r="H66" s="4">
        <v>1513.2</v>
      </c>
      <c r="I66" s="4">
        <v>751745.01</v>
      </c>
      <c r="J66" s="4">
        <v>1275.3699999999999</v>
      </c>
      <c r="K66" s="4">
        <v>1439.25</v>
      </c>
      <c r="L66" s="4">
        <v>4286145.32</v>
      </c>
      <c r="M66" s="4">
        <v>0</v>
      </c>
      <c r="N66" s="5">
        <v>5334529.2</v>
      </c>
      <c r="O66" s="5">
        <f t="shared" si="0"/>
        <v>1048383.8799999999</v>
      </c>
      <c r="P66" t="s">
        <v>521</v>
      </c>
    </row>
    <row r="67" spans="1:16" x14ac:dyDescent="0.35">
      <c r="B67" t="s">
        <v>38</v>
      </c>
      <c r="C67" t="s">
        <v>158</v>
      </c>
      <c r="D67">
        <v>18230747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5">
        <v>0</v>
      </c>
      <c r="O67" s="5">
        <f t="shared" ref="O67:O124" si="1">N67-L67</f>
        <v>0</v>
      </c>
      <c r="P67" t="s">
        <v>521</v>
      </c>
    </row>
    <row r="68" spans="1:16" x14ac:dyDescent="0.35">
      <c r="A68" s="515"/>
      <c r="B68" t="s">
        <v>56</v>
      </c>
      <c r="C68" t="s">
        <v>57</v>
      </c>
      <c r="D68">
        <v>18230486</v>
      </c>
      <c r="E68" s="4">
        <v>61134.74</v>
      </c>
      <c r="F68" s="4">
        <v>54156.1</v>
      </c>
      <c r="G68" s="4">
        <v>10678.48</v>
      </c>
      <c r="H68" s="4">
        <v>473.08</v>
      </c>
      <c r="I68" s="4">
        <v>289567.11</v>
      </c>
      <c r="J68" s="4">
        <v>0</v>
      </c>
      <c r="K68" s="4">
        <v>2000</v>
      </c>
      <c r="L68" s="4">
        <v>1013612.6</v>
      </c>
      <c r="M68" s="4">
        <v>0</v>
      </c>
      <c r="N68" s="5">
        <v>1431622.1099999999</v>
      </c>
      <c r="O68" s="5">
        <f t="shared" si="1"/>
        <v>418009.50999999989</v>
      </c>
      <c r="P68" t="s">
        <v>521</v>
      </c>
    </row>
    <row r="69" spans="1:16" x14ac:dyDescent="0.35">
      <c r="A69" s="515"/>
      <c r="B69" t="s">
        <v>134</v>
      </c>
      <c r="C69" t="s">
        <v>513</v>
      </c>
      <c r="D69">
        <v>18230220</v>
      </c>
      <c r="E69" s="4">
        <v>0</v>
      </c>
      <c r="F69" s="4">
        <v>0</v>
      </c>
      <c r="G69" s="4">
        <v>39.799999999999997</v>
      </c>
      <c r="H69" s="4">
        <v>0</v>
      </c>
      <c r="I69" s="4">
        <v>112687.5</v>
      </c>
      <c r="J69" s="4">
        <v>0</v>
      </c>
      <c r="K69" s="4">
        <v>0</v>
      </c>
      <c r="L69" s="4">
        <v>0</v>
      </c>
      <c r="M69" s="4">
        <v>0</v>
      </c>
      <c r="N69" s="5">
        <v>112727.3</v>
      </c>
      <c r="O69" s="5">
        <f t="shared" si="1"/>
        <v>112727.3</v>
      </c>
      <c r="P69" t="s">
        <v>521</v>
      </c>
    </row>
    <row r="70" spans="1:16" x14ac:dyDescent="0.35">
      <c r="B70" t="s">
        <v>134</v>
      </c>
      <c r="C70" t="s">
        <v>157</v>
      </c>
      <c r="D70">
        <v>18230223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5">
        <v>0</v>
      </c>
      <c r="O70" s="5">
        <f t="shared" si="1"/>
        <v>0</v>
      </c>
      <c r="P70" t="s">
        <v>521</v>
      </c>
    </row>
    <row r="71" spans="1:16" x14ac:dyDescent="0.35">
      <c r="A71" s="515"/>
      <c r="B71" t="s">
        <v>134</v>
      </c>
      <c r="C71" t="s">
        <v>135</v>
      </c>
      <c r="D71">
        <v>18230731</v>
      </c>
      <c r="E71" s="4">
        <v>317360.90999999997</v>
      </c>
      <c r="F71" s="4">
        <v>278370.96000000002</v>
      </c>
      <c r="G71" s="4">
        <v>818.37</v>
      </c>
      <c r="H71" s="4">
        <v>4902.43</v>
      </c>
      <c r="I71" s="4">
        <v>7066.11</v>
      </c>
      <c r="J71" s="4">
        <v>1099.6500000000001</v>
      </c>
      <c r="K71" s="4">
        <v>4538</v>
      </c>
      <c r="L71" s="4">
        <v>4312323</v>
      </c>
      <c r="M71" s="4">
        <v>0</v>
      </c>
      <c r="N71" s="5">
        <v>4926479.43</v>
      </c>
      <c r="O71" s="5">
        <f t="shared" si="1"/>
        <v>614156.4299999997</v>
      </c>
      <c r="P71" t="s">
        <v>521</v>
      </c>
    </row>
    <row r="72" spans="1:16" x14ac:dyDescent="0.35">
      <c r="A72" s="515"/>
      <c r="B72" t="s">
        <v>134</v>
      </c>
      <c r="C72" t="s">
        <v>159</v>
      </c>
      <c r="D72">
        <v>18231037</v>
      </c>
      <c r="E72" s="4">
        <v>1259.76</v>
      </c>
      <c r="F72" s="4">
        <v>1110.5</v>
      </c>
      <c r="G72" s="4">
        <v>0</v>
      </c>
      <c r="H72" s="4">
        <v>0</v>
      </c>
      <c r="I72" s="4">
        <v>3132.72</v>
      </c>
      <c r="J72" s="4">
        <v>0</v>
      </c>
      <c r="K72" s="4">
        <v>0</v>
      </c>
      <c r="L72" s="4">
        <v>60594.51</v>
      </c>
      <c r="M72" s="4">
        <v>0</v>
      </c>
      <c r="N72" s="5">
        <v>66097.490000000005</v>
      </c>
      <c r="O72" s="5">
        <f t="shared" si="1"/>
        <v>5502.9800000000032</v>
      </c>
      <c r="P72" t="s">
        <v>522</v>
      </c>
    </row>
    <row r="73" spans="1:16" x14ac:dyDescent="0.35">
      <c r="A73" s="515"/>
      <c r="B73" t="s">
        <v>117</v>
      </c>
      <c r="C73" t="s">
        <v>118</v>
      </c>
      <c r="D73">
        <v>18230706</v>
      </c>
      <c r="E73" s="4">
        <v>22506.18</v>
      </c>
      <c r="F73" s="4">
        <v>19925.18</v>
      </c>
      <c r="G73" s="4">
        <v>95.4</v>
      </c>
      <c r="H73" s="4">
        <v>11778.82</v>
      </c>
      <c r="I73" s="4">
        <v>12080.22</v>
      </c>
      <c r="J73" s="4">
        <v>153.78</v>
      </c>
      <c r="K73" s="4">
        <v>1200</v>
      </c>
      <c r="L73" s="4">
        <v>206348</v>
      </c>
      <c r="M73" s="4">
        <v>0</v>
      </c>
      <c r="N73" s="5">
        <v>274087.58</v>
      </c>
      <c r="O73" s="5">
        <f t="shared" si="1"/>
        <v>67739.580000000016</v>
      </c>
      <c r="P73" t="s">
        <v>431</v>
      </c>
    </row>
    <row r="74" spans="1:16" x14ac:dyDescent="0.35">
      <c r="A74" s="515"/>
      <c r="B74" t="s">
        <v>106</v>
      </c>
      <c r="C74" t="s">
        <v>107</v>
      </c>
      <c r="D74">
        <v>18230691</v>
      </c>
      <c r="E74" s="4">
        <v>224460.13</v>
      </c>
      <c r="F74" s="4">
        <v>198890.33</v>
      </c>
      <c r="G74" s="4">
        <v>31.33</v>
      </c>
      <c r="H74" s="4">
        <v>5101.13</v>
      </c>
      <c r="I74" s="4">
        <v>97204.29</v>
      </c>
      <c r="J74" s="4">
        <v>1802.35</v>
      </c>
      <c r="K74" s="4">
        <v>16</v>
      </c>
      <c r="L74" s="4">
        <v>58915</v>
      </c>
      <c r="M74" s="4">
        <v>0</v>
      </c>
      <c r="N74" s="5">
        <v>586420.55999999994</v>
      </c>
      <c r="O74" s="5">
        <f t="shared" si="1"/>
        <v>527505.55999999994</v>
      </c>
      <c r="P74" t="s">
        <v>522</v>
      </c>
    </row>
    <row r="75" spans="1:16" x14ac:dyDescent="0.35">
      <c r="B75" t="s">
        <v>106</v>
      </c>
      <c r="C75" t="s">
        <v>152</v>
      </c>
      <c r="D75">
        <v>18231033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5">
        <v>0</v>
      </c>
      <c r="O75" s="5">
        <f t="shared" si="1"/>
        <v>0</v>
      </c>
      <c r="P75" t="s">
        <v>524</v>
      </c>
    </row>
    <row r="76" spans="1:16" x14ac:dyDescent="0.35">
      <c r="A76" s="515"/>
      <c r="B76" t="s">
        <v>106</v>
      </c>
      <c r="C76" t="s">
        <v>323</v>
      </c>
      <c r="D76">
        <v>18231039</v>
      </c>
      <c r="E76" s="4">
        <v>4832.03</v>
      </c>
      <c r="F76" s="4">
        <v>4292.3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35470</v>
      </c>
      <c r="M76" s="4">
        <v>0</v>
      </c>
      <c r="N76" s="5">
        <v>44594.33</v>
      </c>
      <c r="O76" s="5">
        <f t="shared" si="1"/>
        <v>9124.3300000000017</v>
      </c>
      <c r="P76" t="s">
        <v>524</v>
      </c>
    </row>
    <row r="77" spans="1:16" x14ac:dyDescent="0.35">
      <c r="B77" t="s">
        <v>31</v>
      </c>
      <c r="C77" t="s">
        <v>514</v>
      </c>
      <c r="D77">
        <v>18230221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5">
        <v>0</v>
      </c>
      <c r="O77" s="5">
        <f t="shared" si="1"/>
        <v>0</v>
      </c>
      <c r="P77" t="s">
        <v>526</v>
      </c>
    </row>
    <row r="78" spans="1:16" x14ac:dyDescent="0.35">
      <c r="A78" s="515"/>
      <c r="B78" t="s">
        <v>31</v>
      </c>
      <c r="C78" t="s">
        <v>515</v>
      </c>
      <c r="D78">
        <v>18230248</v>
      </c>
      <c r="E78" s="4">
        <v>32799.9</v>
      </c>
      <c r="F78" s="4">
        <v>29050.41</v>
      </c>
      <c r="G78" s="4">
        <v>0</v>
      </c>
      <c r="H78" s="4">
        <v>145</v>
      </c>
      <c r="I78" s="4">
        <v>414116.8</v>
      </c>
      <c r="J78" s="4">
        <v>0</v>
      </c>
      <c r="K78" s="4">
        <v>0</v>
      </c>
      <c r="L78" s="4">
        <v>1861085.17</v>
      </c>
      <c r="M78" s="4">
        <v>0</v>
      </c>
      <c r="N78" s="5">
        <v>2337197.2799999998</v>
      </c>
      <c r="O78" s="5">
        <f t="shared" si="1"/>
        <v>476112.10999999987</v>
      </c>
      <c r="P78" t="s">
        <v>526</v>
      </c>
    </row>
    <row r="79" spans="1:16" x14ac:dyDescent="0.35">
      <c r="B79" t="s">
        <v>31</v>
      </c>
      <c r="C79" t="s">
        <v>556</v>
      </c>
      <c r="D79">
        <v>18230250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5">
        <v>0</v>
      </c>
      <c r="O79" s="5">
        <f t="shared" si="1"/>
        <v>0</v>
      </c>
      <c r="P79" t="s">
        <v>525</v>
      </c>
    </row>
    <row r="80" spans="1:16" x14ac:dyDescent="0.35">
      <c r="A80" s="515"/>
      <c r="B80" t="s">
        <v>31</v>
      </c>
      <c r="C80" t="s">
        <v>154</v>
      </c>
      <c r="D80">
        <v>18231022</v>
      </c>
      <c r="E80" s="4">
        <v>0</v>
      </c>
      <c r="F80" s="4">
        <v>0</v>
      </c>
      <c r="G80" s="4">
        <v>38.869999999999997</v>
      </c>
      <c r="H80" s="4">
        <v>0</v>
      </c>
      <c r="I80" s="4">
        <v>544.45000000000005</v>
      </c>
      <c r="J80" s="4">
        <v>0</v>
      </c>
      <c r="K80" s="4">
        <v>0</v>
      </c>
      <c r="L80" s="4">
        <v>26761.98</v>
      </c>
      <c r="M80" s="4">
        <v>0</v>
      </c>
      <c r="N80" s="5">
        <v>27345.3</v>
      </c>
      <c r="O80" s="5">
        <f t="shared" si="1"/>
        <v>583.31999999999971</v>
      </c>
      <c r="P80" t="s">
        <v>525</v>
      </c>
    </row>
    <row r="81" spans="1:16" x14ac:dyDescent="0.35">
      <c r="A81" s="515"/>
      <c r="B81" t="s">
        <v>31</v>
      </c>
      <c r="C81" t="s">
        <v>557</v>
      </c>
      <c r="D81">
        <v>18231027</v>
      </c>
      <c r="E81" s="4">
        <v>94894.080000000002</v>
      </c>
      <c r="F81" s="4">
        <v>84060.74</v>
      </c>
      <c r="G81" s="4">
        <v>27690</v>
      </c>
      <c r="H81" s="4">
        <v>2846.66</v>
      </c>
      <c r="I81" s="4">
        <v>103025.78</v>
      </c>
      <c r="J81" s="4">
        <v>143</v>
      </c>
      <c r="K81" s="4">
        <v>0</v>
      </c>
      <c r="L81" s="4">
        <v>815688.98</v>
      </c>
      <c r="M81" s="4">
        <v>0</v>
      </c>
      <c r="N81" s="5">
        <v>1128349.24</v>
      </c>
      <c r="O81" s="5">
        <f t="shared" si="1"/>
        <v>312660.26</v>
      </c>
      <c r="P81" t="s">
        <v>525</v>
      </c>
    </row>
    <row r="82" spans="1:16" x14ac:dyDescent="0.35">
      <c r="A82" s="515"/>
      <c r="B82" t="s">
        <v>31</v>
      </c>
      <c r="C82" t="s">
        <v>516</v>
      </c>
      <c r="D82">
        <v>18231029</v>
      </c>
      <c r="E82" s="4">
        <v>20649.66</v>
      </c>
      <c r="F82" s="4">
        <v>18311.38</v>
      </c>
      <c r="G82" s="4">
        <v>0</v>
      </c>
      <c r="H82" s="4">
        <v>0</v>
      </c>
      <c r="I82" s="4">
        <v>163.35</v>
      </c>
      <c r="J82" s="4">
        <v>0</v>
      </c>
      <c r="K82" s="4">
        <v>0</v>
      </c>
      <c r="L82" s="4">
        <v>0</v>
      </c>
      <c r="M82" s="4">
        <v>0</v>
      </c>
      <c r="N82" s="5">
        <v>39124.39</v>
      </c>
      <c r="O82" s="5">
        <f t="shared" si="1"/>
        <v>39124.39</v>
      </c>
      <c r="P82" t="s">
        <v>525</v>
      </c>
    </row>
    <row r="83" spans="1:16" x14ac:dyDescent="0.35">
      <c r="A83" s="515"/>
      <c r="B83" t="s">
        <v>60</v>
      </c>
      <c r="C83" t="s">
        <v>61</v>
      </c>
      <c r="D83">
        <v>18231005</v>
      </c>
      <c r="E83" s="4">
        <v>58714.32</v>
      </c>
      <c r="F83" s="4">
        <v>52017.279999999999</v>
      </c>
      <c r="G83" s="4">
        <v>0</v>
      </c>
      <c r="H83" s="4">
        <v>191.5</v>
      </c>
      <c r="I83" s="4">
        <v>35100</v>
      </c>
      <c r="J83" s="4">
        <v>0</v>
      </c>
      <c r="K83" s="4">
        <v>0</v>
      </c>
      <c r="L83" s="4">
        <v>0</v>
      </c>
      <c r="M83" s="4">
        <v>0</v>
      </c>
      <c r="N83" s="5">
        <f>SUM(E83:M83)</f>
        <v>146023.1</v>
      </c>
      <c r="O83" s="5">
        <f t="shared" si="1"/>
        <v>146023.1</v>
      </c>
      <c r="P83" t="s">
        <v>525</v>
      </c>
    </row>
    <row r="84" spans="1:16" x14ac:dyDescent="0.35">
      <c r="A84" s="515"/>
      <c r="B84" t="s">
        <v>147</v>
      </c>
      <c r="C84" t="s">
        <v>148</v>
      </c>
      <c r="D84">
        <v>18230659</v>
      </c>
      <c r="E84" s="4">
        <v>28566.05</v>
      </c>
      <c r="F84" s="4">
        <v>25366.97</v>
      </c>
      <c r="G84" s="4">
        <v>0</v>
      </c>
      <c r="H84" s="4">
        <v>0</v>
      </c>
      <c r="I84" s="4">
        <v>1170</v>
      </c>
      <c r="J84" s="4">
        <v>0</v>
      </c>
      <c r="K84" s="4">
        <v>0</v>
      </c>
      <c r="L84" s="4">
        <v>0</v>
      </c>
      <c r="M84" s="4">
        <v>0</v>
      </c>
      <c r="N84" s="5">
        <f t="shared" ref="N84:N124" si="2">SUM(E84:M84)</f>
        <v>55103.020000000004</v>
      </c>
      <c r="O84" s="5">
        <f t="shared" si="1"/>
        <v>55103.020000000004</v>
      </c>
      <c r="P84" t="s">
        <v>525</v>
      </c>
    </row>
    <row r="85" spans="1:16" x14ac:dyDescent="0.35">
      <c r="A85" s="515"/>
      <c r="B85" t="s">
        <v>69</v>
      </c>
      <c r="C85" t="s">
        <v>70</v>
      </c>
      <c r="D85">
        <v>18230668</v>
      </c>
      <c r="E85" s="4">
        <v>26374.49</v>
      </c>
      <c r="F85" s="4">
        <v>23379.96</v>
      </c>
      <c r="G85" s="4">
        <v>0</v>
      </c>
      <c r="H85" s="4">
        <v>0</v>
      </c>
      <c r="I85" s="4">
        <v>775</v>
      </c>
      <c r="J85" s="4">
        <v>0</v>
      </c>
      <c r="K85" s="4">
        <v>0</v>
      </c>
      <c r="L85" s="4">
        <v>0</v>
      </c>
      <c r="M85" s="4">
        <v>0</v>
      </c>
      <c r="N85" s="5">
        <f t="shared" si="2"/>
        <v>50529.45</v>
      </c>
      <c r="O85" s="5">
        <f t="shared" si="1"/>
        <v>50529.45</v>
      </c>
      <c r="P85" t="s">
        <v>521</v>
      </c>
    </row>
    <row r="86" spans="1:16" x14ac:dyDescent="0.35">
      <c r="A86" s="515"/>
      <c r="B86" t="s">
        <v>143</v>
      </c>
      <c r="C86" t="s">
        <v>144</v>
      </c>
      <c r="D86">
        <v>18230688</v>
      </c>
      <c r="E86" s="4">
        <v>39162.339999999997</v>
      </c>
      <c r="F86" s="4">
        <v>23853.62</v>
      </c>
      <c r="G86" s="4">
        <v>0</v>
      </c>
      <c r="H86" s="4">
        <v>118.75</v>
      </c>
      <c r="I86" s="4">
        <v>11461.84</v>
      </c>
      <c r="J86" s="4">
        <v>239.71</v>
      </c>
      <c r="K86" s="4">
        <v>0</v>
      </c>
      <c r="L86" s="4">
        <v>0</v>
      </c>
      <c r="M86" s="4">
        <v>0</v>
      </c>
      <c r="N86" s="5">
        <f t="shared" si="2"/>
        <v>74836.259999999995</v>
      </c>
      <c r="O86" s="5">
        <f t="shared" si="1"/>
        <v>74836.259999999995</v>
      </c>
      <c r="P86" t="s">
        <v>521</v>
      </c>
    </row>
    <row r="87" spans="1:16" x14ac:dyDescent="0.35">
      <c r="A87" s="515"/>
      <c r="B87" t="s">
        <v>173</v>
      </c>
      <c r="C87" t="s">
        <v>174</v>
      </c>
      <c r="D87">
        <v>18230698</v>
      </c>
      <c r="E87" s="4">
        <v>0</v>
      </c>
      <c r="F87" s="4">
        <v>0</v>
      </c>
      <c r="G87" s="4">
        <v>0</v>
      </c>
      <c r="H87" s="4">
        <v>0</v>
      </c>
      <c r="I87" s="4">
        <v>20657.95</v>
      </c>
      <c r="J87" s="4">
        <v>0</v>
      </c>
      <c r="K87" s="4">
        <v>9816.02</v>
      </c>
      <c r="L87" s="4">
        <v>0</v>
      </c>
      <c r="M87" s="4">
        <v>0</v>
      </c>
      <c r="N87" s="5">
        <f t="shared" si="2"/>
        <v>30473.97</v>
      </c>
      <c r="O87" s="5">
        <f t="shared" si="1"/>
        <v>30473.97</v>
      </c>
      <c r="P87" t="s">
        <v>521</v>
      </c>
    </row>
    <row r="88" spans="1:16" x14ac:dyDescent="0.35">
      <c r="A88" s="515"/>
      <c r="B88" t="s">
        <v>177</v>
      </c>
      <c r="C88" t="s">
        <v>178</v>
      </c>
      <c r="D88">
        <v>18231031</v>
      </c>
      <c r="E88" s="4">
        <v>42557.5</v>
      </c>
      <c r="F88" s="4">
        <v>37682.480000000003</v>
      </c>
      <c r="G88" s="4">
        <v>20060.259999999998</v>
      </c>
      <c r="H88" s="4">
        <v>60.76</v>
      </c>
      <c r="I88" s="4">
        <v>37500</v>
      </c>
      <c r="J88" s="4">
        <v>171.71</v>
      </c>
      <c r="K88" s="4">
        <v>0</v>
      </c>
      <c r="L88" s="4">
        <v>0</v>
      </c>
      <c r="M88" s="4">
        <v>-215134.47</v>
      </c>
      <c r="N88" s="5">
        <f t="shared" si="2"/>
        <v>-77101.760000000009</v>
      </c>
      <c r="O88" s="5">
        <f t="shared" si="1"/>
        <v>-77101.760000000009</v>
      </c>
      <c r="P88" t="s">
        <v>524</v>
      </c>
    </row>
    <row r="89" spans="1:16" x14ac:dyDescent="0.35">
      <c r="A89" s="515"/>
      <c r="B89" t="s">
        <v>23</v>
      </c>
      <c r="C89" t="s">
        <v>24</v>
      </c>
      <c r="D89">
        <v>18230667</v>
      </c>
      <c r="E89" s="4">
        <v>202076.23</v>
      </c>
      <c r="F89" s="4">
        <v>179065.74</v>
      </c>
      <c r="G89" s="4">
        <v>0</v>
      </c>
      <c r="H89" s="4">
        <v>0</v>
      </c>
      <c r="I89" s="4">
        <v>467355.23</v>
      </c>
      <c r="J89" s="4">
        <v>7008.48</v>
      </c>
      <c r="K89" s="4">
        <v>-158.65</v>
      </c>
      <c r="L89" s="4">
        <v>0</v>
      </c>
      <c r="M89" s="4">
        <v>0</v>
      </c>
      <c r="N89" s="5">
        <f t="shared" si="2"/>
        <v>855347.02999999991</v>
      </c>
      <c r="O89" s="5">
        <f t="shared" si="1"/>
        <v>855347.02999999991</v>
      </c>
      <c r="P89" t="s">
        <v>524</v>
      </c>
    </row>
    <row r="90" spans="1:16" x14ac:dyDescent="0.35">
      <c r="A90" s="515"/>
      <c r="B90" t="s">
        <v>82</v>
      </c>
      <c r="C90" t="s">
        <v>83</v>
      </c>
      <c r="D90">
        <v>18230704</v>
      </c>
      <c r="E90" s="4">
        <v>44192.2</v>
      </c>
      <c r="F90" s="4">
        <v>39137.06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5">
        <f t="shared" si="2"/>
        <v>83329.259999999995</v>
      </c>
      <c r="O90" s="5">
        <f t="shared" si="1"/>
        <v>83329.259999999995</v>
      </c>
      <c r="P90" t="s">
        <v>523</v>
      </c>
    </row>
    <row r="91" spans="1:16" x14ac:dyDescent="0.35">
      <c r="A91" s="515"/>
      <c r="B91" t="s">
        <v>86</v>
      </c>
      <c r="C91" t="s">
        <v>87</v>
      </c>
      <c r="D91">
        <v>18230657</v>
      </c>
      <c r="E91" s="4">
        <v>64507.13</v>
      </c>
      <c r="F91" s="4">
        <v>57117.22</v>
      </c>
      <c r="G91" s="4">
        <v>197.56</v>
      </c>
      <c r="H91" s="4">
        <v>185.72</v>
      </c>
      <c r="I91" s="4">
        <v>12999.17</v>
      </c>
      <c r="J91" s="4">
        <v>1028.81</v>
      </c>
      <c r="K91" s="4">
        <v>2370.1</v>
      </c>
      <c r="L91" s="4">
        <v>0</v>
      </c>
      <c r="M91" s="4">
        <v>0</v>
      </c>
      <c r="N91" s="5">
        <f t="shared" si="2"/>
        <v>138405.71000000002</v>
      </c>
      <c r="O91" s="5">
        <f t="shared" si="1"/>
        <v>138405.71000000002</v>
      </c>
      <c r="P91" t="s">
        <v>523</v>
      </c>
    </row>
    <row r="92" spans="1:16" x14ac:dyDescent="0.35">
      <c r="A92" s="515"/>
      <c r="B92" t="s">
        <v>52</v>
      </c>
      <c r="C92" t="s">
        <v>518</v>
      </c>
      <c r="D92">
        <v>18230662</v>
      </c>
      <c r="E92" s="4">
        <v>41385.14</v>
      </c>
      <c r="F92" s="4">
        <v>36597.980000000003</v>
      </c>
      <c r="G92" s="4">
        <v>53515.360000000001</v>
      </c>
      <c r="H92" s="4">
        <v>22.21</v>
      </c>
      <c r="I92" s="4">
        <v>4620</v>
      </c>
      <c r="J92" s="4">
        <v>0</v>
      </c>
      <c r="K92" s="4">
        <v>0</v>
      </c>
      <c r="L92" s="4">
        <v>0</v>
      </c>
      <c r="M92" s="4">
        <v>0</v>
      </c>
      <c r="N92" s="5">
        <f t="shared" si="2"/>
        <v>136140.68999999997</v>
      </c>
      <c r="O92" s="5">
        <f t="shared" si="1"/>
        <v>136140.68999999997</v>
      </c>
      <c r="P92" t="s">
        <v>521</v>
      </c>
    </row>
    <row r="93" spans="1:16" x14ac:dyDescent="0.35">
      <c r="A93" s="515"/>
      <c r="B93" t="s">
        <v>52</v>
      </c>
      <c r="C93" t="s">
        <v>64</v>
      </c>
      <c r="D93">
        <v>18230665</v>
      </c>
      <c r="E93" s="4">
        <v>30470.74</v>
      </c>
      <c r="F93" s="4">
        <v>26992.67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5">
        <f t="shared" si="2"/>
        <v>57463.41</v>
      </c>
      <c r="O93" s="5">
        <f t="shared" si="1"/>
        <v>57463.41</v>
      </c>
      <c r="P93" t="s">
        <v>521</v>
      </c>
    </row>
    <row r="94" spans="1:16" x14ac:dyDescent="0.35">
      <c r="A94" s="515"/>
      <c r="B94" t="s">
        <v>52</v>
      </c>
      <c r="C94" t="s">
        <v>53</v>
      </c>
      <c r="D94">
        <v>18230690</v>
      </c>
      <c r="E94" s="4">
        <v>20118.419999999998</v>
      </c>
      <c r="F94" s="4">
        <v>17812.330000000002</v>
      </c>
      <c r="G94" s="4">
        <v>0</v>
      </c>
      <c r="H94" s="4">
        <v>0</v>
      </c>
      <c r="I94" s="4">
        <v>109341.99</v>
      </c>
      <c r="J94" s="4">
        <v>0</v>
      </c>
      <c r="K94" s="4">
        <v>0</v>
      </c>
      <c r="L94" s="4">
        <v>0</v>
      </c>
      <c r="M94" s="4">
        <v>0</v>
      </c>
      <c r="N94" s="5">
        <f t="shared" si="2"/>
        <v>147272.74</v>
      </c>
      <c r="O94" s="5">
        <f t="shared" si="1"/>
        <v>147272.74</v>
      </c>
      <c r="P94" t="s">
        <v>521</v>
      </c>
    </row>
    <row r="95" spans="1:16" x14ac:dyDescent="0.35">
      <c r="A95" s="515"/>
      <c r="B95" t="s">
        <v>52</v>
      </c>
      <c r="C95" t="s">
        <v>55</v>
      </c>
      <c r="D95">
        <v>18230737</v>
      </c>
      <c r="E95" s="4">
        <v>10264.5</v>
      </c>
      <c r="F95" s="4">
        <v>9092.2099999999991</v>
      </c>
      <c r="G95" s="4">
        <v>0</v>
      </c>
      <c r="H95" s="4">
        <v>0</v>
      </c>
      <c r="I95" s="4">
        <v>56739.38</v>
      </c>
      <c r="J95" s="4">
        <v>0</v>
      </c>
      <c r="K95" s="4">
        <v>0</v>
      </c>
      <c r="L95" s="4">
        <v>0</v>
      </c>
      <c r="M95" s="4">
        <v>0</v>
      </c>
      <c r="N95" s="5">
        <f t="shared" si="2"/>
        <v>76096.09</v>
      </c>
      <c r="O95" s="5">
        <f t="shared" si="1"/>
        <v>76096.09</v>
      </c>
      <c r="P95" t="s">
        <v>521</v>
      </c>
    </row>
    <row r="96" spans="1:16" x14ac:dyDescent="0.35">
      <c r="A96" s="515"/>
      <c r="B96" t="s">
        <v>108</v>
      </c>
      <c r="C96" t="s">
        <v>109</v>
      </c>
      <c r="D96">
        <v>18230732</v>
      </c>
      <c r="E96" s="4">
        <v>32801.79</v>
      </c>
      <c r="F96" s="4">
        <v>29058.880000000001</v>
      </c>
      <c r="G96" s="4">
        <v>101474.85</v>
      </c>
      <c r="H96" s="4">
        <v>0</v>
      </c>
      <c r="I96" s="4">
        <v>6250</v>
      </c>
      <c r="J96" s="4">
        <v>4717.1499999999996</v>
      </c>
      <c r="K96" s="4">
        <v>0</v>
      </c>
      <c r="L96" s="4">
        <v>0</v>
      </c>
      <c r="M96" s="4">
        <v>0</v>
      </c>
      <c r="N96" s="5">
        <f t="shared" si="2"/>
        <v>174302.67</v>
      </c>
      <c r="O96" s="5">
        <f t="shared" si="1"/>
        <v>174302.67</v>
      </c>
      <c r="P96" t="s">
        <v>521</v>
      </c>
    </row>
    <row r="97" spans="1:16" x14ac:dyDescent="0.35">
      <c r="A97" s="515"/>
      <c r="B97" t="s">
        <v>90</v>
      </c>
      <c r="C97" t="s">
        <v>91</v>
      </c>
      <c r="D97">
        <v>18230675</v>
      </c>
      <c r="E97" s="4">
        <v>53740.27</v>
      </c>
      <c r="F97" s="4">
        <v>47619</v>
      </c>
      <c r="G97" s="4">
        <v>2109.8000000000002</v>
      </c>
      <c r="H97" s="4">
        <v>598.65</v>
      </c>
      <c r="I97" s="4">
        <v>19130.3</v>
      </c>
      <c r="J97" s="4">
        <v>4481.5200000000004</v>
      </c>
      <c r="K97" s="4">
        <v>175.2</v>
      </c>
      <c r="L97" s="4">
        <v>0</v>
      </c>
      <c r="M97" s="4">
        <v>0</v>
      </c>
      <c r="N97" s="5">
        <f t="shared" si="2"/>
        <v>127854.73999999999</v>
      </c>
      <c r="O97" s="5">
        <f t="shared" si="1"/>
        <v>127854.73999999999</v>
      </c>
      <c r="P97" t="s">
        <v>521</v>
      </c>
    </row>
    <row r="98" spans="1:16" x14ac:dyDescent="0.35">
      <c r="A98" s="515"/>
      <c r="B98" t="s">
        <v>42</v>
      </c>
      <c r="C98" t="s">
        <v>43</v>
      </c>
      <c r="D98">
        <v>18230703</v>
      </c>
      <c r="E98" s="4">
        <v>12991.5</v>
      </c>
      <c r="F98" s="4">
        <v>11506.73</v>
      </c>
      <c r="G98" s="4">
        <v>0</v>
      </c>
      <c r="H98" s="4">
        <v>0</v>
      </c>
      <c r="I98" s="4">
        <v>74998.2</v>
      </c>
      <c r="J98" s="4">
        <v>0</v>
      </c>
      <c r="K98" s="4">
        <v>0</v>
      </c>
      <c r="L98" s="4">
        <v>0</v>
      </c>
      <c r="M98" s="4">
        <v>0</v>
      </c>
      <c r="N98" s="5">
        <f t="shared" si="2"/>
        <v>99496.43</v>
      </c>
      <c r="O98" s="5">
        <f t="shared" si="1"/>
        <v>99496.43</v>
      </c>
      <c r="P98" t="s">
        <v>523</v>
      </c>
    </row>
    <row r="99" spans="1:16" x14ac:dyDescent="0.35">
      <c r="A99" s="515"/>
      <c r="B99" t="s">
        <v>162</v>
      </c>
      <c r="C99" t="s">
        <v>163</v>
      </c>
      <c r="D99">
        <v>18230679</v>
      </c>
      <c r="E99" s="4">
        <v>37189.65</v>
      </c>
      <c r="F99" s="4">
        <v>32949.57</v>
      </c>
      <c r="G99" s="4">
        <v>0</v>
      </c>
      <c r="H99" s="4">
        <v>1272.8499999999999</v>
      </c>
      <c r="I99" s="4">
        <v>0</v>
      </c>
      <c r="J99" s="4">
        <v>6.45</v>
      </c>
      <c r="K99" s="4">
        <v>0</v>
      </c>
      <c r="L99" s="4">
        <v>0</v>
      </c>
      <c r="M99" s="4">
        <v>0</v>
      </c>
      <c r="N99" s="5">
        <f t="shared" si="2"/>
        <v>71418.52</v>
      </c>
      <c r="O99" s="5">
        <f t="shared" si="1"/>
        <v>71418.52</v>
      </c>
      <c r="P99" t="s">
        <v>521</v>
      </c>
    </row>
    <row r="100" spans="1:16" x14ac:dyDescent="0.35">
      <c r="A100" s="515"/>
      <c r="B100" t="s">
        <v>113</v>
      </c>
      <c r="C100" t="s">
        <v>114</v>
      </c>
      <c r="D100">
        <v>18230669</v>
      </c>
      <c r="E100" s="4">
        <v>12966.86</v>
      </c>
      <c r="F100" s="4">
        <v>11490.47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5">
        <f t="shared" si="2"/>
        <v>24457.33</v>
      </c>
      <c r="O100" s="5">
        <f t="shared" si="1"/>
        <v>24457.33</v>
      </c>
      <c r="P100" t="s">
        <v>521</v>
      </c>
    </row>
    <row r="101" spans="1:16" x14ac:dyDescent="0.35">
      <c r="A101" s="515"/>
      <c r="B101" t="s">
        <v>136</v>
      </c>
      <c r="C101" t="s">
        <v>137</v>
      </c>
      <c r="D101">
        <v>18230699</v>
      </c>
      <c r="E101" s="4">
        <v>24793.759999999998</v>
      </c>
      <c r="F101" s="4">
        <v>21963.39</v>
      </c>
      <c r="G101" s="4">
        <v>0</v>
      </c>
      <c r="H101" s="4">
        <v>667.26</v>
      </c>
      <c r="I101" s="4">
        <v>133437.42000000001</v>
      </c>
      <c r="J101" s="4">
        <v>0</v>
      </c>
      <c r="K101" s="4">
        <v>46683</v>
      </c>
      <c r="L101" s="4">
        <v>0</v>
      </c>
      <c r="M101" s="4">
        <v>0</v>
      </c>
      <c r="N101" s="5">
        <f t="shared" si="2"/>
        <v>227544.83000000002</v>
      </c>
      <c r="O101" s="5">
        <f t="shared" si="1"/>
        <v>227544.83000000002</v>
      </c>
      <c r="P101" t="s">
        <v>524</v>
      </c>
    </row>
    <row r="102" spans="1:16" x14ac:dyDescent="0.35">
      <c r="B102" t="s">
        <v>27</v>
      </c>
      <c r="C102" t="s">
        <v>28</v>
      </c>
      <c r="D102">
        <v>18230217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5100</v>
      </c>
      <c r="M102" s="4">
        <v>0</v>
      </c>
      <c r="N102" s="5">
        <f t="shared" si="2"/>
        <v>5100</v>
      </c>
      <c r="O102" s="5">
        <f>N102-L102</f>
        <v>0</v>
      </c>
      <c r="P102" t="s">
        <v>524</v>
      </c>
    </row>
    <row r="103" spans="1:16" x14ac:dyDescent="0.35">
      <c r="B103" t="s">
        <v>80</v>
      </c>
      <c r="C103" t="s">
        <v>81</v>
      </c>
      <c r="D103">
        <v>18230640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5">
        <f t="shared" si="2"/>
        <v>0</v>
      </c>
      <c r="O103" s="5">
        <f t="shared" si="1"/>
        <v>0</v>
      </c>
      <c r="P103" t="s">
        <v>521</v>
      </c>
    </row>
    <row r="104" spans="1:16" x14ac:dyDescent="0.35">
      <c r="A104" s="515"/>
      <c r="B104" t="s">
        <v>80</v>
      </c>
      <c r="C104" t="s">
        <v>558</v>
      </c>
      <c r="D104">
        <v>18231038</v>
      </c>
      <c r="E104" s="4">
        <v>81.510000000000005</v>
      </c>
      <c r="F104" s="4">
        <v>70.010000000000005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5">
        <f t="shared" si="2"/>
        <v>151.52000000000001</v>
      </c>
      <c r="O104" s="5">
        <f t="shared" si="1"/>
        <v>151.52000000000001</v>
      </c>
      <c r="P104" t="s">
        <v>521</v>
      </c>
    </row>
    <row r="105" spans="1:16" x14ac:dyDescent="0.35">
      <c r="B105" t="s">
        <v>35</v>
      </c>
      <c r="C105" t="s">
        <v>559</v>
      </c>
      <c r="D105">
        <v>18230222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2"/>
        <v>0</v>
      </c>
      <c r="O105" s="5">
        <f t="shared" si="1"/>
        <v>0</v>
      </c>
      <c r="P105" t="s">
        <v>523</v>
      </c>
    </row>
    <row r="106" spans="1:16" x14ac:dyDescent="0.35">
      <c r="B106" t="s">
        <v>35</v>
      </c>
      <c r="C106" t="s">
        <v>36</v>
      </c>
      <c r="D106">
        <v>18230256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2"/>
        <v>0</v>
      </c>
      <c r="O106" s="5">
        <f t="shared" si="1"/>
        <v>0</v>
      </c>
      <c r="P106" t="s">
        <v>523</v>
      </c>
    </row>
    <row r="107" spans="1:16" x14ac:dyDescent="0.35">
      <c r="A107" s="515"/>
      <c r="B107" t="s">
        <v>168</v>
      </c>
      <c r="C107" t="s">
        <v>169</v>
      </c>
      <c r="D107">
        <v>18230218</v>
      </c>
      <c r="E107" s="4">
        <v>42561.1</v>
      </c>
      <c r="F107" s="4">
        <v>37695.94</v>
      </c>
      <c r="G107" s="4">
        <v>1648.45</v>
      </c>
      <c r="H107" s="4">
        <v>1145.96</v>
      </c>
      <c r="I107" s="4">
        <v>28670.06</v>
      </c>
      <c r="J107" s="4">
        <v>102.6</v>
      </c>
      <c r="K107" s="4">
        <v>0</v>
      </c>
      <c r="L107" s="4">
        <v>0</v>
      </c>
      <c r="M107" s="4">
        <v>0</v>
      </c>
      <c r="N107" s="5">
        <f t="shared" si="2"/>
        <v>111824.11000000002</v>
      </c>
      <c r="O107" s="5">
        <f t="shared" si="1"/>
        <v>111824.11000000002</v>
      </c>
      <c r="P107" t="s">
        <v>521</v>
      </c>
    </row>
    <row r="108" spans="1:16" x14ac:dyDescent="0.35">
      <c r="A108" s="515"/>
      <c r="B108" t="s">
        <v>115</v>
      </c>
      <c r="C108" t="s">
        <v>116</v>
      </c>
      <c r="D108">
        <v>18230660</v>
      </c>
      <c r="E108" s="4">
        <v>288.7</v>
      </c>
      <c r="F108" s="4">
        <v>259.52999999999997</v>
      </c>
      <c r="G108" s="4">
        <v>0</v>
      </c>
      <c r="H108" s="4">
        <v>0</v>
      </c>
      <c r="I108" s="4">
        <v>329869.06</v>
      </c>
      <c r="J108" s="4">
        <v>0</v>
      </c>
      <c r="K108" s="4">
        <v>0</v>
      </c>
      <c r="L108" s="4">
        <v>769694.44</v>
      </c>
      <c r="M108" s="4">
        <v>0</v>
      </c>
      <c r="N108" s="5">
        <f t="shared" si="2"/>
        <v>1100111.73</v>
      </c>
      <c r="O108" s="5">
        <f t="shared" si="1"/>
        <v>330417.29000000004</v>
      </c>
      <c r="P108" t="s">
        <v>526</v>
      </c>
    </row>
    <row r="109" spans="1:16" x14ac:dyDescent="0.35">
      <c r="A109" s="515"/>
      <c r="B109" t="s">
        <v>102</v>
      </c>
      <c r="C109" t="s">
        <v>103</v>
      </c>
      <c r="D109">
        <v>18230661</v>
      </c>
      <c r="E109" s="4">
        <v>36578.97</v>
      </c>
      <c r="F109" s="4">
        <v>32395.74</v>
      </c>
      <c r="G109" s="4">
        <v>1985.5</v>
      </c>
      <c r="H109" s="4">
        <v>47.03</v>
      </c>
      <c r="I109" s="4">
        <v>707.06</v>
      </c>
      <c r="J109" s="4">
        <v>0</v>
      </c>
      <c r="K109" s="4">
        <v>0</v>
      </c>
      <c r="L109" s="4">
        <v>1282467.5</v>
      </c>
      <c r="M109" s="4">
        <v>0</v>
      </c>
      <c r="N109" s="5">
        <f t="shared" si="2"/>
        <v>1354181.8</v>
      </c>
      <c r="O109" s="5">
        <f t="shared" si="1"/>
        <v>71714.300000000047</v>
      </c>
      <c r="P109" t="s">
        <v>526</v>
      </c>
    </row>
    <row r="110" spans="1:16" x14ac:dyDescent="0.35">
      <c r="B110" t="s">
        <v>33</v>
      </c>
      <c r="C110" t="s">
        <v>560</v>
      </c>
      <c r="D110">
        <v>18230161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2"/>
        <v>0</v>
      </c>
      <c r="O110" s="5">
        <f t="shared" si="1"/>
        <v>0</v>
      </c>
      <c r="P110" t="s">
        <v>431</v>
      </c>
    </row>
    <row r="111" spans="1:16" x14ac:dyDescent="0.35">
      <c r="A111" s="515"/>
      <c r="B111" t="s">
        <v>33</v>
      </c>
      <c r="C111" t="s">
        <v>34</v>
      </c>
      <c r="D111">
        <v>18230249</v>
      </c>
      <c r="E111" s="4">
        <v>39053.089999999997</v>
      </c>
      <c r="F111" s="4">
        <v>34595</v>
      </c>
      <c r="G111" s="4">
        <v>35910.89</v>
      </c>
      <c r="H111" s="4">
        <v>3.43</v>
      </c>
      <c r="I111" s="4">
        <v>0</v>
      </c>
      <c r="J111" s="4">
        <v>0</v>
      </c>
      <c r="K111" s="4">
        <v>0</v>
      </c>
      <c r="L111" s="4">
        <v>255300</v>
      </c>
      <c r="M111" s="4">
        <v>0</v>
      </c>
      <c r="N111" s="5">
        <f t="shared" si="2"/>
        <v>364862.41</v>
      </c>
      <c r="O111" s="5">
        <f t="shared" si="1"/>
        <v>109562.40999999997</v>
      </c>
      <c r="P111" t="s">
        <v>431</v>
      </c>
    </row>
    <row r="112" spans="1:16" x14ac:dyDescent="0.35">
      <c r="A112" s="515"/>
      <c r="B112" t="s">
        <v>33</v>
      </c>
      <c r="C112" t="s">
        <v>546</v>
      </c>
      <c r="D112">
        <v>18230254</v>
      </c>
      <c r="E112" s="4">
        <v>25936.75</v>
      </c>
      <c r="F112" s="4">
        <v>22984.36</v>
      </c>
      <c r="G112" s="4">
        <v>10612.07</v>
      </c>
      <c r="H112" s="4">
        <v>0</v>
      </c>
      <c r="I112" s="4">
        <v>786.75</v>
      </c>
      <c r="J112" s="4">
        <v>0</v>
      </c>
      <c r="K112" s="4">
        <v>0</v>
      </c>
      <c r="L112" s="4">
        <v>0</v>
      </c>
      <c r="M112" s="4">
        <v>0</v>
      </c>
      <c r="N112" s="5">
        <f t="shared" si="2"/>
        <v>60319.93</v>
      </c>
      <c r="O112" s="5">
        <f t="shared" si="1"/>
        <v>60319.93</v>
      </c>
      <c r="P112" t="s">
        <v>522</v>
      </c>
    </row>
    <row r="113" spans="1:16" x14ac:dyDescent="0.35">
      <c r="A113" s="515"/>
      <c r="B113" t="s">
        <v>33</v>
      </c>
      <c r="C113" t="s">
        <v>78</v>
      </c>
      <c r="D113">
        <v>18230637</v>
      </c>
      <c r="E113" s="4">
        <v>72830.44</v>
      </c>
      <c r="F113" s="4">
        <v>64355.7</v>
      </c>
      <c r="G113" s="4">
        <v>42514.69</v>
      </c>
      <c r="H113" s="4">
        <v>61.69</v>
      </c>
      <c r="I113" s="4">
        <v>1.64</v>
      </c>
      <c r="J113" s="4">
        <v>115.75</v>
      </c>
      <c r="K113" s="4">
        <v>0</v>
      </c>
      <c r="L113" s="4">
        <v>2428509.48</v>
      </c>
      <c r="M113" s="4">
        <v>0</v>
      </c>
      <c r="N113" s="5">
        <f t="shared" si="2"/>
        <v>2608389.39</v>
      </c>
      <c r="O113" s="5">
        <f t="shared" si="1"/>
        <v>179879.91000000015</v>
      </c>
      <c r="P113" t="s">
        <v>522</v>
      </c>
    </row>
    <row r="114" spans="1:16" x14ac:dyDescent="0.35">
      <c r="A114" s="515"/>
      <c r="B114" t="s">
        <v>33</v>
      </c>
      <c r="C114" t="s">
        <v>79</v>
      </c>
      <c r="D114">
        <v>18230638</v>
      </c>
      <c r="E114" s="4">
        <v>44050.57</v>
      </c>
      <c r="F114" s="4">
        <v>39029.760000000002</v>
      </c>
      <c r="G114" s="4">
        <v>205784.05</v>
      </c>
      <c r="H114" s="4">
        <v>378.1</v>
      </c>
      <c r="I114" s="4">
        <v>0</v>
      </c>
      <c r="J114" s="4">
        <v>0</v>
      </c>
      <c r="K114" s="4">
        <v>0</v>
      </c>
      <c r="L114" s="4">
        <v>3054600</v>
      </c>
      <c r="M114" s="4">
        <v>0</v>
      </c>
      <c r="N114" s="5">
        <f t="shared" si="2"/>
        <v>3343842.48</v>
      </c>
      <c r="O114" s="5">
        <f t="shared" si="1"/>
        <v>289242.48</v>
      </c>
      <c r="P114" t="s">
        <v>525</v>
      </c>
    </row>
    <row r="115" spans="1:16" x14ac:dyDescent="0.35">
      <c r="A115" s="515"/>
      <c r="B115" t="s">
        <v>33</v>
      </c>
      <c r="C115" t="s">
        <v>101</v>
      </c>
      <c r="D115">
        <v>18230687</v>
      </c>
      <c r="E115" s="4">
        <v>71847.89</v>
      </c>
      <c r="F115" s="4">
        <v>63631.86</v>
      </c>
      <c r="G115" s="4">
        <v>79238.8</v>
      </c>
      <c r="H115" s="4">
        <v>219.56</v>
      </c>
      <c r="I115" s="4">
        <v>168602.51</v>
      </c>
      <c r="J115" s="4">
        <v>0</v>
      </c>
      <c r="K115" s="4">
        <v>16738.53</v>
      </c>
      <c r="L115" s="4">
        <v>1156208.98</v>
      </c>
      <c r="M115" s="4">
        <v>0</v>
      </c>
      <c r="N115" s="5">
        <f t="shared" si="2"/>
        <v>1556488.13</v>
      </c>
      <c r="O115" s="5">
        <f t="shared" si="1"/>
        <v>400279.14999999991</v>
      </c>
      <c r="P115" t="s">
        <v>525</v>
      </c>
    </row>
    <row r="116" spans="1:16" x14ac:dyDescent="0.35">
      <c r="A116" s="515"/>
      <c r="B116" t="s">
        <v>33</v>
      </c>
      <c r="C116" t="s">
        <v>112</v>
      </c>
      <c r="D116">
        <v>18230700</v>
      </c>
      <c r="E116" s="4">
        <v>684.3</v>
      </c>
      <c r="F116" s="4">
        <v>615.19000000000005</v>
      </c>
      <c r="G116" s="4">
        <v>0</v>
      </c>
      <c r="H116" s="4">
        <v>0</v>
      </c>
      <c r="I116" s="4">
        <v>0</v>
      </c>
      <c r="J116" s="4">
        <v>0</v>
      </c>
      <c r="K116" s="4">
        <v>-16738.53</v>
      </c>
      <c r="L116" s="4">
        <v>16469.28</v>
      </c>
      <c r="M116" s="4">
        <v>0</v>
      </c>
      <c r="N116" s="5">
        <f t="shared" si="2"/>
        <v>1030.2399999999998</v>
      </c>
      <c r="O116" s="5">
        <f t="shared" si="1"/>
        <v>-15439.039999999999</v>
      </c>
      <c r="P116" t="s">
        <v>525</v>
      </c>
    </row>
    <row r="117" spans="1:16" x14ac:dyDescent="0.35">
      <c r="A117" s="515"/>
      <c r="B117" t="s">
        <v>33</v>
      </c>
      <c r="C117" t="s">
        <v>142</v>
      </c>
      <c r="D117">
        <v>18230738</v>
      </c>
      <c r="E117" s="4">
        <v>28034.82</v>
      </c>
      <c r="F117" s="4">
        <v>24832.61</v>
      </c>
      <c r="G117" s="4">
        <v>0</v>
      </c>
      <c r="H117" s="4">
        <v>44.03</v>
      </c>
      <c r="I117" s="4">
        <v>662516</v>
      </c>
      <c r="J117" s="4">
        <v>0</v>
      </c>
      <c r="K117" s="4">
        <v>0</v>
      </c>
      <c r="L117" s="4">
        <v>662516</v>
      </c>
      <c r="M117" s="4">
        <v>0</v>
      </c>
      <c r="N117" s="5">
        <f t="shared" si="2"/>
        <v>1377943.46</v>
      </c>
      <c r="O117" s="5">
        <f t="shared" si="1"/>
        <v>715427.46</v>
      </c>
      <c r="P117" t="s">
        <v>525</v>
      </c>
    </row>
    <row r="118" spans="1:16" x14ac:dyDescent="0.35">
      <c r="A118" s="515"/>
      <c r="B118" t="s">
        <v>99</v>
      </c>
      <c r="C118" t="s">
        <v>100</v>
      </c>
      <c r="D118">
        <v>18230684</v>
      </c>
      <c r="E118">
        <v>9539.2000000000007</v>
      </c>
      <c r="F118">
        <v>8448.6</v>
      </c>
      <c r="G118">
        <v>0</v>
      </c>
      <c r="H118">
        <v>5.4</v>
      </c>
      <c r="I118">
        <v>180</v>
      </c>
      <c r="J118">
        <v>0</v>
      </c>
      <c r="K118">
        <v>4000</v>
      </c>
      <c r="L118">
        <v>26500</v>
      </c>
      <c r="M118">
        <v>0</v>
      </c>
      <c r="N118" s="5">
        <f t="shared" si="2"/>
        <v>48673.200000000004</v>
      </c>
      <c r="O118" s="5">
        <f t="shared" si="1"/>
        <v>22173.200000000004</v>
      </c>
      <c r="P118" t="s">
        <v>521</v>
      </c>
    </row>
    <row r="119" spans="1:16" x14ac:dyDescent="0.35">
      <c r="A119" s="515"/>
      <c r="B119" t="s">
        <v>99</v>
      </c>
      <c r="C119" t="s">
        <v>321</v>
      </c>
      <c r="D119">
        <v>18230752</v>
      </c>
      <c r="E119">
        <v>11180.73</v>
      </c>
      <c r="F119">
        <v>9898.0400000000009</v>
      </c>
      <c r="G119">
        <v>0</v>
      </c>
      <c r="H119">
        <v>5.4</v>
      </c>
      <c r="I119">
        <v>0</v>
      </c>
      <c r="J119">
        <v>0</v>
      </c>
      <c r="K119">
        <v>0</v>
      </c>
      <c r="L119">
        <v>1000</v>
      </c>
      <c r="M119">
        <v>0</v>
      </c>
      <c r="N119" s="5">
        <f t="shared" si="2"/>
        <v>22084.170000000002</v>
      </c>
      <c r="O119" s="5">
        <f t="shared" si="1"/>
        <v>21084.170000000002</v>
      </c>
      <c r="P119" t="s">
        <v>521</v>
      </c>
    </row>
    <row r="120" spans="1:16" x14ac:dyDescent="0.35">
      <c r="A120" s="515"/>
      <c r="B120" t="s">
        <v>138</v>
      </c>
      <c r="C120" t="s">
        <v>139</v>
      </c>
      <c r="D120">
        <v>18230736</v>
      </c>
      <c r="E120">
        <v>27756.71</v>
      </c>
      <c r="F120">
        <v>24622.14</v>
      </c>
      <c r="G120">
        <v>2609.35</v>
      </c>
      <c r="H120">
        <v>125.36</v>
      </c>
      <c r="I120">
        <v>23653.34</v>
      </c>
      <c r="J120">
        <v>62.4</v>
      </c>
      <c r="K120">
        <v>104.5</v>
      </c>
      <c r="L120">
        <v>245517.75</v>
      </c>
      <c r="M120">
        <v>0</v>
      </c>
      <c r="N120" s="5">
        <f t="shared" si="2"/>
        <v>324451.55</v>
      </c>
      <c r="O120" s="5">
        <f t="shared" si="1"/>
        <v>78933.799999999988</v>
      </c>
      <c r="P120" t="s">
        <v>521</v>
      </c>
    </row>
    <row r="121" spans="1:16" x14ac:dyDescent="0.35">
      <c r="A121" s="515"/>
      <c r="B121" t="s">
        <v>97</v>
      </c>
      <c r="C121" t="s">
        <v>98</v>
      </c>
      <c r="D121">
        <v>18230673</v>
      </c>
      <c r="E121">
        <v>21349.95</v>
      </c>
      <c r="F121">
        <v>18913.169999999998</v>
      </c>
      <c r="G121">
        <v>5724.55</v>
      </c>
      <c r="H121">
        <v>50.18</v>
      </c>
      <c r="I121">
        <v>41551.82</v>
      </c>
      <c r="J121">
        <v>0</v>
      </c>
      <c r="K121">
        <v>2000</v>
      </c>
      <c r="L121">
        <v>96767</v>
      </c>
      <c r="M121">
        <v>0</v>
      </c>
      <c r="N121" s="5">
        <f t="shared" si="2"/>
        <v>186356.66999999998</v>
      </c>
      <c r="O121" s="5">
        <f t="shared" si="1"/>
        <v>89589.669999999984</v>
      </c>
      <c r="P121" t="s">
        <v>521</v>
      </c>
    </row>
    <row r="122" spans="1:16" x14ac:dyDescent="0.35">
      <c r="B122" t="s">
        <v>95</v>
      </c>
      <c r="C122" t="s">
        <v>170</v>
      </c>
      <c r="D122">
        <v>42650195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381790.12</v>
      </c>
      <c r="M122">
        <v>0</v>
      </c>
      <c r="N122" s="5">
        <f t="shared" si="2"/>
        <v>381790.12</v>
      </c>
      <c r="O122" s="5">
        <f t="shared" si="1"/>
        <v>0</v>
      </c>
      <c r="P122" t="s">
        <v>520</v>
      </c>
    </row>
    <row r="123" spans="1:16" x14ac:dyDescent="0.35">
      <c r="B123" t="s">
        <v>95</v>
      </c>
      <c r="C123" t="s">
        <v>96</v>
      </c>
      <c r="D123">
        <v>42650207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448107.8</v>
      </c>
      <c r="M123">
        <v>0</v>
      </c>
      <c r="N123" s="5">
        <f t="shared" si="2"/>
        <v>448107.8</v>
      </c>
      <c r="O123" s="5">
        <f t="shared" si="1"/>
        <v>0</v>
      </c>
      <c r="P123" t="s">
        <v>520</v>
      </c>
    </row>
    <row r="124" spans="1:16" x14ac:dyDescent="0.35">
      <c r="B124" t="s">
        <v>95</v>
      </c>
      <c r="C124" t="s">
        <v>561</v>
      </c>
      <c r="D124">
        <v>42651700</v>
      </c>
      <c r="E124">
        <v>0</v>
      </c>
      <c r="F124">
        <v>0</v>
      </c>
      <c r="G124">
        <v>0</v>
      </c>
      <c r="H124">
        <v>0</v>
      </c>
      <c r="I124">
        <v>300000</v>
      </c>
      <c r="J124">
        <v>0</v>
      </c>
      <c r="K124">
        <v>0</v>
      </c>
      <c r="L124">
        <v>0</v>
      </c>
      <c r="M124">
        <v>0</v>
      </c>
      <c r="N124" s="5">
        <f t="shared" si="2"/>
        <v>300000</v>
      </c>
      <c r="O124" s="5">
        <f t="shared" si="1"/>
        <v>300000</v>
      </c>
      <c r="P124" t="s">
        <v>520</v>
      </c>
    </row>
  </sheetData>
  <autoFilter ref="A1:P12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8" sqref="D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18230134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164</v>
      </c>
      <c r="C5" s="98">
        <v>18230134</v>
      </c>
      <c r="D5" s="61" t="s">
        <v>165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243127.72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243127.72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243127.72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H13" sqref="H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0.179687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3" max="23" width="10.816406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18230421</v>
      </c>
      <c r="D2" s="20" t="s">
        <v>47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18230421</v>
      </c>
      <c r="D5" s="61" t="s">
        <v>47</v>
      </c>
      <c r="E5" s="38" t="s">
        <v>2172</v>
      </c>
      <c r="F5" s="39" t="s">
        <v>2173</v>
      </c>
      <c r="G5" s="39">
        <v>5</v>
      </c>
      <c r="H5" s="39"/>
      <c r="I5" s="40" t="s">
        <v>261</v>
      </c>
      <c r="J5" s="41">
        <v>1</v>
      </c>
      <c r="K5" s="43">
        <v>14310718.605800306</v>
      </c>
      <c r="L5" s="41"/>
      <c r="M5" s="42">
        <v>0</v>
      </c>
      <c r="N5" s="42">
        <v>0</v>
      </c>
      <c r="O5" s="43">
        <v>14310718.605800306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1072519.4100000001</v>
      </c>
      <c r="Y5" s="44">
        <f t="shared" ref="Y5:Y24" si="5">Q5-P5</f>
        <v>0</v>
      </c>
      <c r="Z5" s="44">
        <f t="shared" ref="Z5:Z24" si="6">X5+(A$6*W5)</f>
        <v>4276053.2</v>
      </c>
      <c r="AA5" s="50">
        <f t="shared" ref="AA5:AA24" si="7">Q5+X5</f>
        <v>1072519.4100000001</v>
      </c>
      <c r="AB5" s="51">
        <f t="shared" ref="AB5:AC20" si="8">Z5/(1+ElecDiscountRate)^1</f>
        <v>4003795.1310861423</v>
      </c>
      <c r="AC5" s="44">
        <f t="shared" si="8"/>
        <v>1004231.6573033709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0.39886803421791017</v>
      </c>
      <c r="AG5" s="44">
        <f t="shared" ref="AG5:AG24" si="10">AF5*J5*K5</f>
        <v>5708088.1985412408</v>
      </c>
      <c r="AH5" s="52">
        <f>HLOOKUP(I5,ElecAvoidedCostsWOCC!$A$5:$Q$50,T5+1,FALSE)</f>
        <v>0.39886803421791017</v>
      </c>
      <c r="AI5" s="44">
        <f t="shared" ref="AI5:AI24" si="11">AH5*J5*L5</f>
        <v>0</v>
      </c>
      <c r="AJ5" s="44">
        <f>AG5+AI5</f>
        <v>5708088.1985412408</v>
      </c>
      <c r="AK5" s="44">
        <f>HLOOKUP(I5,ElecAvoidedCostsWOCC!$A$5:$Q$50,G5+1,FALSE)*J5*L5</f>
        <v>0</v>
      </c>
      <c r="AL5" s="44">
        <f>AG5+AI5-AK5</f>
        <v>5708088.1985412408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5708088.1985412408</v>
      </c>
      <c r="AN5" s="48">
        <f>AM5*1.1+AD5+AE5</f>
        <v>6278897.0183953652</v>
      </c>
      <c r="AO5" s="47">
        <f>IFERROR(AM5/AB5,0)</f>
        <v>1.4256693990715656</v>
      </c>
      <c r="AP5" s="47">
        <f>AN5/AC5</f>
        <v>6.2524388399145607</v>
      </c>
    </row>
    <row r="6" spans="1:42" ht="13.5" customHeight="1" x14ac:dyDescent="0.35">
      <c r="A6" s="53">
        <f>SUMIF('Program Costs'!C:C,D2,'Program Costs'!L:L)</f>
        <v>3203533.79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Costs'!C:C,D2,'Program Costs'!O:O)</f>
        <v>1072519.4100000001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14310718.605800306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4276053.2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1072519.4100000001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1.4256693990715656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6.2524388399145607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6:L24 J5 L5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K5" sqref="K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4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18230713</v>
      </c>
      <c r="D2" s="20" t="s">
        <v>93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92</v>
      </c>
      <c r="C5" s="98">
        <v>18230713</v>
      </c>
      <c r="D5" s="61" t="s">
        <v>93</v>
      </c>
      <c r="E5" s="38" t="s">
        <v>2174</v>
      </c>
      <c r="F5" s="39" t="s">
        <v>2175</v>
      </c>
      <c r="G5" s="39">
        <v>15</v>
      </c>
      <c r="H5" s="39"/>
      <c r="I5" s="40" t="s">
        <v>261</v>
      </c>
      <c r="J5" s="41">
        <v>1</v>
      </c>
      <c r="K5" s="41">
        <v>2980966</v>
      </c>
      <c r="L5" s="41"/>
      <c r="M5" s="42"/>
      <c r="N5" s="42"/>
      <c r="O5" s="43">
        <v>2980966</v>
      </c>
      <c r="P5" s="44">
        <v>0</v>
      </c>
      <c r="Q5" s="44">
        <v>182814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0</v>
      </c>
      <c r="Y5" s="44">
        <f t="shared" ref="Y5:Y24" si="5">Q5-P5</f>
        <v>182814</v>
      </c>
      <c r="Z5" s="44">
        <f t="shared" ref="Z5:Z24" si="6">X5+(A$6*W5)</f>
        <v>0</v>
      </c>
      <c r="AA5" s="50">
        <f t="shared" ref="AA5:AA24" si="7">Q5+X5</f>
        <v>182814</v>
      </c>
      <c r="AB5" s="51">
        <f t="shared" ref="AB5:AC20" si="8">Z5/(1+ElecDiscountRate)^1</f>
        <v>0</v>
      </c>
      <c r="AC5" s="44">
        <f t="shared" si="8"/>
        <v>171174.15730337077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1.0763668537425979</v>
      </c>
      <c r="AG5" s="44">
        <f t="shared" ref="AG5:AG24" si="10">AF5*J5*K5</f>
        <v>3208612.9945336571</v>
      </c>
      <c r="AH5" s="52">
        <f>HLOOKUP(I5,ElecAvoidedCostsWOCC!$A$5:$Q$50,T5+1,FALSE)</f>
        <v>1.0763668537425979</v>
      </c>
      <c r="AI5" s="44">
        <f t="shared" ref="AI5:AI24" si="11">AH5*J5*L5</f>
        <v>0</v>
      </c>
      <c r="AJ5" s="44">
        <f>AG5+AI5</f>
        <v>3208612.9945336571</v>
      </c>
      <c r="AK5" s="44">
        <f>HLOOKUP(I5,ElecAvoidedCostsWOCC!$A$5:$Q$50,G5+1,FALSE)*J5*L5</f>
        <v>0</v>
      </c>
      <c r="AL5" s="44">
        <f>AG5+AI5-AK5</f>
        <v>3208612.9945336571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3208612.9945336571</v>
      </c>
      <c r="AN5" s="48">
        <f>AM5*1.1+AD5+AE5</f>
        <v>3529474.2939870232</v>
      </c>
      <c r="AO5" s="47">
        <f>IFERROR(AM5/AB5,0)</f>
        <v>0</v>
      </c>
      <c r="AP5" s="47">
        <f>AN5/AC5</f>
        <v>20.619200640969186</v>
      </c>
    </row>
    <row r="6" spans="1:42" ht="13.5" customHeight="1" x14ac:dyDescent="0.35">
      <c r="A6" s="53">
        <f>SUMIF('Program Costs'!C:C,D2,'Program Costs'!L:L)</f>
        <v>0</v>
      </c>
      <c r="B6" s="97" t="s">
        <v>92</v>
      </c>
      <c r="C6" s="98">
        <v>18230713</v>
      </c>
      <c r="D6" s="61" t="s">
        <v>93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2980966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182814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182814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(SUM(AN5:AN110)/SUM(AC5:AC110))</f>
        <v>20.619200640969186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zoomScale="85" zoomScaleNormal="85" workbookViewId="0">
      <selection activeCell="F101" sqref="F101"/>
    </sheetView>
  </sheetViews>
  <sheetFormatPr defaultRowHeight="14.5" x14ac:dyDescent="0.35"/>
  <cols>
    <col min="1" max="1" width="26.1796875" customWidth="1"/>
    <col min="3" max="3" width="13.26953125" customWidth="1"/>
    <col min="4" max="4" width="30.6328125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98">
        <v>18230661</v>
      </c>
      <c r="D2" s="61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102</v>
      </c>
      <c r="C5" s="98">
        <v>18230661</v>
      </c>
      <c r="D5" s="61" t="s">
        <v>103</v>
      </c>
      <c r="E5" s="38"/>
      <c r="F5" s="39" t="s">
        <v>327</v>
      </c>
      <c r="G5" s="39"/>
      <c r="H5" s="39"/>
      <c r="I5" s="40"/>
      <c r="J5" s="41" t="s">
        <v>328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 x14ac:dyDescent="0.35">
      <c r="A6" s="53">
        <f>SUMIF('Program Costs'!D:D,C2,'Program Costs'!L:L)</f>
        <v>1282467.5</v>
      </c>
      <c r="B6" s="97" t="s">
        <v>102</v>
      </c>
      <c r="C6" s="98">
        <v>18230661</v>
      </c>
      <c r="D6" s="61" t="s">
        <v>103</v>
      </c>
      <c r="E6" s="38" t="s">
        <v>1731</v>
      </c>
      <c r="F6" s="39" t="s">
        <v>1732</v>
      </c>
      <c r="G6" s="39"/>
      <c r="H6" s="39"/>
      <c r="I6" s="40"/>
      <c r="J6" s="41">
        <v>6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v>3569.49</v>
      </c>
      <c r="R6" s="45">
        <v>0</v>
      </c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3569.49</v>
      </c>
      <c r="Z6" s="44">
        <f t="shared" si="6"/>
        <v>0</v>
      </c>
      <c r="AA6" s="50">
        <f t="shared" si="7"/>
        <v>3569.49</v>
      </c>
      <c r="AB6" s="51">
        <f t="shared" si="8"/>
        <v>0</v>
      </c>
      <c r="AC6" s="44">
        <f t="shared" si="8"/>
        <v>3342.219101123595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1" si="12">AG6+AI6</f>
        <v>#N/A</v>
      </c>
      <c r="AK6" s="44" t="e">
        <f>HLOOKUP(I6,GasAvoidedCostsWOCC!$A$5:$Q$50,G6+1,FALSE)*J6*L6</f>
        <v>#N/A</v>
      </c>
      <c r="AL6" s="44" t="e">
        <f t="shared" ref="AL6:AL21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1" si="14">AM6*1.1+AD6+AE6</f>
        <v>0</v>
      </c>
      <c r="AO6" s="47">
        <f t="shared" ref="AO6:AO21" si="15">IFERROR(AM6/AB6,0)</f>
        <v>0</v>
      </c>
      <c r="AP6" s="47">
        <f t="shared" ref="AP6:AP21" si="16">AN6/AC6</f>
        <v>0</v>
      </c>
    </row>
    <row r="7" spans="1:42" ht="13.5" customHeight="1" x14ac:dyDescent="0.35">
      <c r="A7" s="36" t="s">
        <v>240</v>
      </c>
      <c r="B7" s="97" t="s">
        <v>102</v>
      </c>
      <c r="C7" s="98">
        <v>18230661</v>
      </c>
      <c r="D7" s="61" t="s">
        <v>103</v>
      </c>
      <c r="E7" s="38" t="s">
        <v>1739</v>
      </c>
      <c r="F7" s="39" t="s">
        <v>1740</v>
      </c>
      <c r="G7" s="39"/>
      <c r="H7" s="39"/>
      <c r="I7" s="40"/>
      <c r="J7" s="41">
        <v>4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744.49</v>
      </c>
      <c r="R7" s="45">
        <v>0</v>
      </c>
      <c r="S7" s="46">
        <v>0</v>
      </c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744.49</v>
      </c>
      <c r="Z7" s="44">
        <f t="shared" si="6"/>
        <v>0</v>
      </c>
      <c r="AA7" s="50">
        <f t="shared" si="7"/>
        <v>744.49</v>
      </c>
      <c r="AB7" s="51">
        <f t="shared" si="8"/>
        <v>0</v>
      </c>
      <c r="AC7" s="44">
        <f t="shared" si="8"/>
        <v>697.08801498127343</v>
      </c>
      <c r="AD7" s="44">
        <f t="shared" si="9"/>
        <v>0</v>
      </c>
      <c r="AE7" s="44">
        <f t="shared" ref="AE7:AE21" si="17">-PV(GasDiscountRate,T7,S7)*J7</f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 x14ac:dyDescent="0.35">
      <c r="A8" s="53">
        <f>SUMIF('Program Costs'!D:D,C2,'Program Costs'!O:O)</f>
        <v>71714.300000000047</v>
      </c>
      <c r="B8" s="97" t="s">
        <v>102</v>
      </c>
      <c r="C8" s="98">
        <v>18230661</v>
      </c>
      <c r="D8" s="61" t="s">
        <v>103</v>
      </c>
      <c r="E8" s="38" t="s">
        <v>1745</v>
      </c>
      <c r="F8" s="39" t="s">
        <v>1746</v>
      </c>
      <c r="G8" s="39"/>
      <c r="H8" s="39"/>
      <c r="I8" s="40"/>
      <c r="J8" s="41">
        <v>3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509.33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509.33</v>
      </c>
      <c r="Z8" s="44">
        <f t="shared" si="6"/>
        <v>0</v>
      </c>
      <c r="AA8" s="50">
        <f t="shared" si="7"/>
        <v>509.33</v>
      </c>
      <c r="AB8" s="51">
        <f t="shared" si="8"/>
        <v>0</v>
      </c>
      <c r="AC8" s="44">
        <f t="shared" si="8"/>
        <v>476.90074906367039</v>
      </c>
      <c r="AD8" s="44">
        <f t="shared" si="9"/>
        <v>0</v>
      </c>
      <c r="AE8" s="44">
        <f t="shared" si="17"/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305</v>
      </c>
      <c r="B9" s="97" t="s">
        <v>102</v>
      </c>
      <c r="C9" s="98">
        <v>18230661</v>
      </c>
      <c r="D9" s="61" t="s">
        <v>103</v>
      </c>
      <c r="E9" s="38" t="s">
        <v>1749</v>
      </c>
      <c r="F9" s="39" t="s">
        <v>1750</v>
      </c>
      <c r="G9" s="39">
        <v>0</v>
      </c>
      <c r="H9" s="39"/>
      <c r="I9" s="40"/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SUM(O5:O997)</f>
        <v>27669.98</v>
      </c>
      <c r="B10" s="97" t="s">
        <v>102</v>
      </c>
      <c r="C10" s="98">
        <v>18230661</v>
      </c>
      <c r="D10" s="61" t="s">
        <v>103</v>
      </c>
      <c r="E10" s="38" t="s">
        <v>1753</v>
      </c>
      <c r="F10" s="39" t="s">
        <v>1754</v>
      </c>
      <c r="G10" s="39">
        <v>18</v>
      </c>
      <c r="H10" s="39"/>
      <c r="I10" s="40" t="s">
        <v>274</v>
      </c>
      <c r="J10" s="41">
        <v>4</v>
      </c>
      <c r="K10" s="41">
        <v>18.96</v>
      </c>
      <c r="L10" s="41"/>
      <c r="M10" s="42">
        <v>549</v>
      </c>
      <c r="N10" s="42">
        <v>549</v>
      </c>
      <c r="O10" s="43">
        <v>75.84</v>
      </c>
      <c r="P10" s="44">
        <v>2854.8</v>
      </c>
      <c r="Q10" s="44">
        <v>2854.8</v>
      </c>
      <c r="R10" s="45">
        <v>7.4</v>
      </c>
      <c r="S10" s="46">
        <v>0</v>
      </c>
      <c r="T10" s="39">
        <f t="shared" si="0"/>
        <v>18</v>
      </c>
      <c r="U10" s="47">
        <f t="shared" si="1"/>
        <v>4.9335778341726304E-2</v>
      </c>
      <c r="V10" s="48">
        <f t="shared" si="2"/>
        <v>0</v>
      </c>
      <c r="W10" s="49">
        <f t="shared" si="3"/>
        <v>2.7408765745403504E-3</v>
      </c>
      <c r="X10" s="44">
        <f t="shared" si="4"/>
        <v>196.56004492955918</v>
      </c>
      <c r="Y10" s="44">
        <f t="shared" si="5"/>
        <v>0</v>
      </c>
      <c r="Z10" s="44">
        <f t="shared" si="6"/>
        <v>3711.6451732888863</v>
      </c>
      <c r="AA10" s="50">
        <f t="shared" si="7"/>
        <v>3051.3600449295595</v>
      </c>
      <c r="AB10" s="51">
        <f t="shared" si="8"/>
        <v>3475.3231959633763</v>
      </c>
      <c r="AC10" s="44">
        <f t="shared" si="8"/>
        <v>2857.0786937542689</v>
      </c>
      <c r="AD10" s="44">
        <f t="shared" si="9"/>
        <v>302.09533677503248</v>
      </c>
      <c r="AE10" s="44">
        <f t="shared" si="17"/>
        <v>0</v>
      </c>
      <c r="AF10" s="52">
        <f>HLOOKUP(I10,GasAvoidedCostsWOCC!$A$5:$G$50,G10+1,FALSE)</f>
        <v>12.633757357366104</v>
      </c>
      <c r="AG10" s="44">
        <f t="shared" si="10"/>
        <v>958.14415798264531</v>
      </c>
      <c r="AH10" s="52">
        <f>HLOOKUP(I10,GasAvoidedCostsWOCC!$A$5:$Q$50,T10+1,FALSE)</f>
        <v>12.633757357366104</v>
      </c>
      <c r="AI10" s="44">
        <f t="shared" si="11"/>
        <v>0</v>
      </c>
      <c r="AJ10" s="44">
        <f t="shared" si="12"/>
        <v>958.14415798264531</v>
      </c>
      <c r="AK10" s="44">
        <f>HLOOKUP(I10,GasAvoidedCostsWOCC!$A$5:$Q$50,G10+1,FALSE)*J10*L10</f>
        <v>0</v>
      </c>
      <c r="AL10" s="44">
        <f t="shared" si="13"/>
        <v>958.14415798264531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958.14415798264531</v>
      </c>
      <c r="AN10" s="48">
        <f t="shared" si="14"/>
        <v>1356.0539105559424</v>
      </c>
      <c r="AO10" s="47">
        <f t="shared" si="15"/>
        <v>0.27569929585125769</v>
      </c>
      <c r="AP10" s="47">
        <f t="shared" si="16"/>
        <v>0.47462952753816362</v>
      </c>
    </row>
    <row r="11" spans="1:42" ht="13.5" customHeight="1" x14ac:dyDescent="0.35">
      <c r="A11" s="36" t="s">
        <v>243</v>
      </c>
      <c r="B11" s="97" t="s">
        <v>102</v>
      </c>
      <c r="C11" s="98">
        <v>18230661</v>
      </c>
      <c r="D11" s="61" t="s">
        <v>103</v>
      </c>
      <c r="E11" s="38" t="s">
        <v>1755</v>
      </c>
      <c r="F11" s="39" t="s">
        <v>1756</v>
      </c>
      <c r="G11" s="39">
        <v>0</v>
      </c>
      <c r="H11" s="39"/>
      <c r="I11" s="40"/>
      <c r="J11" s="41">
        <v>10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4120.13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4120.13</v>
      </c>
      <c r="Z11" s="44">
        <f t="shared" si="6"/>
        <v>0</v>
      </c>
      <c r="AA11" s="50">
        <f t="shared" si="7"/>
        <v>4120.13</v>
      </c>
      <c r="AB11" s="51">
        <f t="shared" si="8"/>
        <v>0</v>
      </c>
      <c r="AC11" s="44">
        <f t="shared" si="8"/>
        <v>3857.7996254681648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 x14ac:dyDescent="0.35">
      <c r="A12" s="55">
        <f>SUM(P5:P998)</f>
        <v>1282467.5</v>
      </c>
      <c r="B12" s="97" t="s">
        <v>102</v>
      </c>
      <c r="C12" s="98">
        <v>18230661</v>
      </c>
      <c r="D12" s="61" t="s">
        <v>103</v>
      </c>
      <c r="E12" s="38" t="s">
        <v>1759</v>
      </c>
      <c r="F12" s="39" t="s">
        <v>1760</v>
      </c>
      <c r="G12" s="39">
        <v>20</v>
      </c>
      <c r="H12" s="39"/>
      <c r="I12" s="40" t="s">
        <v>274</v>
      </c>
      <c r="J12" s="41">
        <v>61</v>
      </c>
      <c r="K12" s="41">
        <v>50.8</v>
      </c>
      <c r="L12" s="41"/>
      <c r="M12" s="42">
        <v>631.5</v>
      </c>
      <c r="N12" s="42">
        <v>631.5</v>
      </c>
      <c r="O12" s="43">
        <v>3098.8</v>
      </c>
      <c r="P12" s="44">
        <v>49923.66</v>
      </c>
      <c r="Q12" s="44">
        <v>49923.66</v>
      </c>
      <c r="R12" s="45">
        <v>24.05</v>
      </c>
      <c r="S12" s="46">
        <v>0</v>
      </c>
      <c r="T12" s="39">
        <f t="shared" si="0"/>
        <v>20</v>
      </c>
      <c r="U12" s="47">
        <f t="shared" si="1"/>
        <v>2.2398281458822886</v>
      </c>
      <c r="V12" s="48">
        <f t="shared" si="2"/>
        <v>0</v>
      </c>
      <c r="W12" s="49">
        <f t="shared" si="3"/>
        <v>0.11199140729411443</v>
      </c>
      <c r="X12" s="44">
        <f t="shared" si="4"/>
        <v>8031.3853801123159</v>
      </c>
      <c r="Y12" s="44">
        <f t="shared" si="5"/>
        <v>0</v>
      </c>
      <c r="Z12" s="44">
        <f t="shared" si="6"/>
        <v>151656.725514077</v>
      </c>
      <c r="AA12" s="50">
        <f t="shared" si="7"/>
        <v>57955.045380112322</v>
      </c>
      <c r="AB12" s="51">
        <f t="shared" si="8"/>
        <v>142000.6793202968</v>
      </c>
      <c r="AC12" s="44">
        <f t="shared" si="8"/>
        <v>54265.023764150108</v>
      </c>
      <c r="AD12" s="44">
        <f t="shared" si="9"/>
        <v>15786.498906662096</v>
      </c>
      <c r="AE12" s="44">
        <f t="shared" si="17"/>
        <v>0</v>
      </c>
      <c r="AF12" s="52">
        <f>HLOOKUP(I12,GasAvoidedCostsWOCC!$A$5:$G$50,G12+1,FALSE)</f>
        <v>13.713759429231397</v>
      </c>
      <c r="AG12" s="44">
        <f t="shared" si="10"/>
        <v>42496.197719302254</v>
      </c>
      <c r="AH12" s="52">
        <f>HLOOKUP(I12,GasAvoidedCostsWOCC!$A$5:$Q$50,T12+1,FALSE)</f>
        <v>13.713759429231397</v>
      </c>
      <c r="AI12" s="44">
        <f t="shared" si="11"/>
        <v>0</v>
      </c>
      <c r="AJ12" s="44">
        <f t="shared" si="12"/>
        <v>42496.197719302254</v>
      </c>
      <c r="AK12" s="44">
        <f>HLOOKUP(I12,GasAvoidedCostsWOCC!$A$5:$Q$50,G12+1,FALSE)*J12*L12</f>
        <v>0</v>
      </c>
      <c r="AL12" s="44">
        <f t="shared" si="13"/>
        <v>42496.197719302254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42496.197719302247</v>
      </c>
      <c r="AN12" s="48">
        <f t="shared" si="14"/>
        <v>62532.316397894574</v>
      </c>
      <c r="AO12" s="47">
        <f t="shared" si="15"/>
        <v>0.29926756634345253</v>
      </c>
      <c r="AP12" s="47">
        <f t="shared" si="16"/>
        <v>1.1523502997008952</v>
      </c>
    </row>
    <row r="13" spans="1:42" ht="13.5" customHeight="1" x14ac:dyDescent="0.35">
      <c r="A13" s="56" t="s">
        <v>246</v>
      </c>
      <c r="B13" s="97" t="s">
        <v>102</v>
      </c>
      <c r="C13" s="98">
        <v>18230661</v>
      </c>
      <c r="D13" s="61" t="s">
        <v>103</v>
      </c>
      <c r="E13" s="38" t="s">
        <v>1761</v>
      </c>
      <c r="F13" s="39" t="s">
        <v>1762</v>
      </c>
      <c r="G13" s="39">
        <v>0</v>
      </c>
      <c r="H13" s="39"/>
      <c r="I13" s="40"/>
      <c r="J13" s="41">
        <v>38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SUM(Y5:Y998)</f>
        <v>383620.14999999997</v>
      </c>
      <c r="B14" s="97" t="s">
        <v>102</v>
      </c>
      <c r="C14" s="98">
        <v>18230661</v>
      </c>
      <c r="D14" s="61" t="s">
        <v>103</v>
      </c>
      <c r="E14" s="38" t="s">
        <v>1765</v>
      </c>
      <c r="F14" s="39" t="s">
        <v>1766</v>
      </c>
      <c r="G14" s="39"/>
      <c r="H14" s="39"/>
      <c r="I14" s="40"/>
      <c r="J14" s="41">
        <v>13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102</v>
      </c>
      <c r="C15" s="98">
        <v>18230661</v>
      </c>
      <c r="D15" s="61" t="s">
        <v>103</v>
      </c>
      <c r="E15" s="38" t="s">
        <v>1769</v>
      </c>
      <c r="F15" s="39" t="s">
        <v>1770</v>
      </c>
      <c r="G15" s="39">
        <v>20</v>
      </c>
      <c r="H15" s="39"/>
      <c r="I15" s="40" t="s">
        <v>274</v>
      </c>
      <c r="J15" s="41">
        <v>2</v>
      </c>
      <c r="K15" s="41">
        <v>104</v>
      </c>
      <c r="L15" s="41"/>
      <c r="M15" s="42">
        <v>5485</v>
      </c>
      <c r="N15" s="42">
        <v>5485</v>
      </c>
      <c r="O15" s="43">
        <v>208</v>
      </c>
      <c r="P15" s="44">
        <v>14261</v>
      </c>
      <c r="Q15" s="44">
        <v>14261</v>
      </c>
      <c r="R15" s="45">
        <v>16.510000000000002</v>
      </c>
      <c r="S15" s="46">
        <v>0</v>
      </c>
      <c r="T15" s="39">
        <f t="shared" si="0"/>
        <v>20</v>
      </c>
      <c r="U15" s="47">
        <f t="shared" si="1"/>
        <v>0.15034344079757195</v>
      </c>
      <c r="V15" s="48">
        <f t="shared" si="2"/>
        <v>0</v>
      </c>
      <c r="W15" s="49">
        <f t="shared" si="3"/>
        <v>7.5171720398785977E-3</v>
      </c>
      <c r="X15" s="44">
        <f t="shared" si="4"/>
        <v>539.08873081946604</v>
      </c>
      <c r="Y15" s="44">
        <f t="shared" si="5"/>
        <v>0</v>
      </c>
      <c r="Z15" s="44">
        <f t="shared" si="6"/>
        <v>10179.617563872471</v>
      </c>
      <c r="AA15" s="50">
        <f t="shared" si="7"/>
        <v>14800.088730819465</v>
      </c>
      <c r="AB15" s="51">
        <f t="shared" si="8"/>
        <v>9531.4771197307782</v>
      </c>
      <c r="AC15" s="44">
        <f t="shared" si="8"/>
        <v>13857.760983913357</v>
      </c>
      <c r="AD15" s="44">
        <f t="shared" si="9"/>
        <v>355.3186284707287</v>
      </c>
      <c r="AE15" s="44">
        <f t="shared" si="17"/>
        <v>0</v>
      </c>
      <c r="AF15" s="52">
        <f>HLOOKUP(I15,GasAvoidedCostsWOCC!$A$5:$G$50,G15+1,FALSE)</f>
        <v>13.713759429231397</v>
      </c>
      <c r="AG15" s="44">
        <f t="shared" si="10"/>
        <v>2852.4619612801307</v>
      </c>
      <c r="AH15" s="52">
        <f>HLOOKUP(I15,GasAvoidedCostsWOCC!$A$5:$Q$50,T15+1,FALSE)</f>
        <v>13.713759429231397</v>
      </c>
      <c r="AI15" s="44">
        <f t="shared" si="11"/>
        <v>0</v>
      </c>
      <c r="AJ15" s="44">
        <f t="shared" si="12"/>
        <v>2852.4619612801307</v>
      </c>
      <c r="AK15" s="44">
        <f>HLOOKUP(I15,GasAvoidedCostsWOCC!$A$5:$Q$50,G15+1,FALSE)*J15*L15</f>
        <v>0</v>
      </c>
      <c r="AL15" s="44">
        <f t="shared" si="13"/>
        <v>2852.4619612801307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2852.4619612801307</v>
      </c>
      <c r="AN15" s="48">
        <f t="shared" si="14"/>
        <v>3493.0267858788725</v>
      </c>
      <c r="AO15" s="47">
        <f t="shared" si="15"/>
        <v>0.29926756634345253</v>
      </c>
      <c r="AP15" s="47">
        <f t="shared" si="16"/>
        <v>0.25206285416047497</v>
      </c>
    </row>
    <row r="16" spans="1:42" ht="13.5" customHeight="1" x14ac:dyDescent="0.35">
      <c r="A16" s="54">
        <f>SUM(U5:U997)</f>
        <v>28.533725720076411</v>
      </c>
      <c r="B16" s="97" t="s">
        <v>102</v>
      </c>
      <c r="C16" s="98">
        <v>18230661</v>
      </c>
      <c r="D16" s="61" t="s">
        <v>103</v>
      </c>
      <c r="E16" s="38" t="s">
        <v>1773</v>
      </c>
      <c r="F16" s="39" t="s">
        <v>1774</v>
      </c>
      <c r="G16" s="39"/>
      <c r="H16" s="39"/>
      <c r="I16" s="40"/>
      <c r="J16" s="41">
        <v>1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0</v>
      </c>
      <c r="Q16" s="44">
        <v>1266.78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1266.78</v>
      </c>
      <c r="Z16" s="44">
        <f t="shared" si="6"/>
        <v>0</v>
      </c>
      <c r="AA16" s="50">
        <f t="shared" si="7"/>
        <v>1266.78</v>
      </c>
      <c r="AB16" s="51">
        <f t="shared" si="8"/>
        <v>0</v>
      </c>
      <c r="AC16" s="44">
        <f t="shared" si="8"/>
        <v>1186.1235955056179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97" t="s">
        <v>102</v>
      </c>
      <c r="C17" s="98">
        <v>18230661</v>
      </c>
      <c r="D17" s="61" t="s">
        <v>103</v>
      </c>
      <c r="E17" s="38" t="s">
        <v>1775</v>
      </c>
      <c r="F17" s="39" t="s">
        <v>1776</v>
      </c>
      <c r="G17" s="39"/>
      <c r="H17" s="39"/>
      <c r="I17" s="40"/>
      <c r="J17" s="41">
        <v>1</v>
      </c>
      <c r="K17" s="41">
        <v>0</v>
      </c>
      <c r="L17" s="41"/>
      <c r="M17" s="42">
        <v>0</v>
      </c>
      <c r="N17" s="42">
        <v>0</v>
      </c>
      <c r="O17" s="43">
        <v>0</v>
      </c>
      <c r="P17" s="44">
        <v>0</v>
      </c>
      <c r="Q17" s="44">
        <v>6068.32</v>
      </c>
      <c r="R17" s="45">
        <v>0</v>
      </c>
      <c r="S17" s="46">
        <v>0</v>
      </c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6068.32</v>
      </c>
      <c r="Z17" s="44">
        <f t="shared" si="6"/>
        <v>0</v>
      </c>
      <c r="AA17" s="50">
        <f t="shared" si="7"/>
        <v>6068.32</v>
      </c>
      <c r="AB17" s="51">
        <f t="shared" si="8"/>
        <v>0</v>
      </c>
      <c r="AC17" s="44">
        <f t="shared" si="8"/>
        <v>5681.9475655430706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 x14ac:dyDescent="0.35">
      <c r="A18" s="59">
        <f>A6+A8</f>
        <v>1354181.8</v>
      </c>
      <c r="B18" s="97" t="s">
        <v>102</v>
      </c>
      <c r="C18" s="98">
        <v>18230661</v>
      </c>
      <c r="D18" s="61" t="s">
        <v>103</v>
      </c>
      <c r="E18" s="38" t="s">
        <v>1777</v>
      </c>
      <c r="F18" s="39" t="s">
        <v>1778</v>
      </c>
      <c r="G18" s="39">
        <v>0</v>
      </c>
      <c r="H18" s="39"/>
      <c r="I18" s="40"/>
      <c r="J18" s="41">
        <v>11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27639.86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27639.86</v>
      </c>
      <c r="Z18" s="44">
        <f t="shared" si="6"/>
        <v>0</v>
      </c>
      <c r="AA18" s="50">
        <f t="shared" si="7"/>
        <v>27639.86</v>
      </c>
      <c r="AB18" s="51">
        <f t="shared" si="8"/>
        <v>0</v>
      </c>
      <c r="AC18" s="44">
        <f t="shared" si="8"/>
        <v>25880.018726591759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 x14ac:dyDescent="0.35">
      <c r="A19" s="58" t="s">
        <v>222</v>
      </c>
      <c r="B19" s="97" t="s">
        <v>102</v>
      </c>
      <c r="C19" s="98">
        <v>18230661</v>
      </c>
      <c r="D19" s="61" t="s">
        <v>103</v>
      </c>
      <c r="E19" s="38" t="s">
        <v>1779</v>
      </c>
      <c r="F19" s="39" t="s">
        <v>1780</v>
      </c>
      <c r="G19" s="39">
        <v>20</v>
      </c>
      <c r="H19" s="39"/>
      <c r="I19" s="40" t="s">
        <v>274</v>
      </c>
      <c r="J19" s="41">
        <v>34</v>
      </c>
      <c r="K19" s="41">
        <v>105.31</v>
      </c>
      <c r="L19" s="41"/>
      <c r="M19" s="42">
        <v>4290</v>
      </c>
      <c r="N19" s="42">
        <v>4290</v>
      </c>
      <c r="O19" s="43">
        <v>3580.54</v>
      </c>
      <c r="P19" s="44">
        <v>189618</v>
      </c>
      <c r="Q19" s="44">
        <v>189618</v>
      </c>
      <c r="R19" s="45">
        <v>52.16</v>
      </c>
      <c r="S19" s="46">
        <v>0</v>
      </c>
      <c r="T19" s="39">
        <f t="shared" si="0"/>
        <v>20</v>
      </c>
      <c r="U19" s="47">
        <f t="shared" si="1"/>
        <v>2.588032228429511</v>
      </c>
      <c r="V19" s="48">
        <f t="shared" si="2"/>
        <v>0</v>
      </c>
      <c r="W19" s="49">
        <f t="shared" si="3"/>
        <v>0.12940161142147555</v>
      </c>
      <c r="X19" s="44">
        <f t="shared" si="4"/>
        <v>9279.9459819631302</v>
      </c>
      <c r="Y19" s="44">
        <f t="shared" si="5"/>
        <v>0</v>
      </c>
      <c r="Z19" s="44">
        <f t="shared" si="6"/>
        <v>175233.30707763432</v>
      </c>
      <c r="AA19" s="50">
        <f t="shared" si="7"/>
        <v>198897.94598196313</v>
      </c>
      <c r="AB19" s="51">
        <f t="shared" si="8"/>
        <v>164076.13022250403</v>
      </c>
      <c r="AC19" s="44">
        <f t="shared" si="8"/>
        <v>186234.03181831754</v>
      </c>
      <c r="AD19" s="44">
        <f t="shared" si="9"/>
        <v>19083.472697611418</v>
      </c>
      <c r="AE19" s="44">
        <f t="shared" si="17"/>
        <v>0</v>
      </c>
      <c r="AF19" s="52">
        <f>HLOOKUP(I19,GasAvoidedCostsWOCC!$A$5:$G$50,G19+1,FALSE)</f>
        <v>13.713759429231397</v>
      </c>
      <c r="AG19" s="44">
        <f t="shared" si="10"/>
        <v>49102.664186740185</v>
      </c>
      <c r="AH19" s="52">
        <f>HLOOKUP(I19,GasAvoidedCostsWOCC!$A$5:$Q$50,T19+1,FALSE)</f>
        <v>13.713759429231397</v>
      </c>
      <c r="AI19" s="44">
        <f t="shared" si="11"/>
        <v>0</v>
      </c>
      <c r="AJ19" s="44">
        <f t="shared" si="12"/>
        <v>49102.664186740185</v>
      </c>
      <c r="AK19" s="44">
        <f>HLOOKUP(I19,GasAvoidedCostsWOCC!$A$5:$Q$50,G19+1,FALSE)*J19*L19</f>
        <v>0</v>
      </c>
      <c r="AL19" s="44">
        <f t="shared" si="13"/>
        <v>49102.664186740185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49102.664186740185</v>
      </c>
      <c r="AN19" s="48">
        <f t="shared" si="14"/>
        <v>73096.403303025625</v>
      </c>
      <c r="AO19" s="47">
        <f t="shared" si="15"/>
        <v>0.29926756634345253</v>
      </c>
      <c r="AP19" s="47">
        <f t="shared" si="16"/>
        <v>0.39249756121016349</v>
      </c>
    </row>
    <row r="20" spans="1:42" ht="13.5" customHeight="1" x14ac:dyDescent="0.35">
      <c r="A20" s="59">
        <f>A8+SUM(Q5:Q904)</f>
        <v>1737801.9500000002</v>
      </c>
      <c r="B20" s="97" t="s">
        <v>102</v>
      </c>
      <c r="C20" s="98">
        <v>18230661</v>
      </c>
      <c r="D20" s="61" t="s">
        <v>103</v>
      </c>
      <c r="E20" s="38" t="s">
        <v>1783</v>
      </c>
      <c r="F20" s="39" t="s">
        <v>1784</v>
      </c>
      <c r="G20" s="39">
        <v>0</v>
      </c>
      <c r="H20" s="39"/>
      <c r="I20" s="40"/>
      <c r="J20" s="41">
        <v>7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3633.71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3633.71</v>
      </c>
      <c r="Z20" s="44">
        <f t="shared" si="6"/>
        <v>0</v>
      </c>
      <c r="AA20" s="50">
        <f t="shared" si="7"/>
        <v>3633.71</v>
      </c>
      <c r="AB20" s="51">
        <f t="shared" si="8"/>
        <v>0</v>
      </c>
      <c r="AC20" s="44">
        <f t="shared" si="8"/>
        <v>3402.3501872659176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 x14ac:dyDescent="0.35">
      <c r="A21" s="58" t="s">
        <v>236</v>
      </c>
      <c r="B21" s="97" t="s">
        <v>102</v>
      </c>
      <c r="C21" s="98">
        <v>18230661</v>
      </c>
      <c r="D21" s="61" t="s">
        <v>103</v>
      </c>
      <c r="E21" s="38" t="s">
        <v>1787</v>
      </c>
      <c r="F21" s="39" t="s">
        <v>1788</v>
      </c>
      <c r="G21" s="39"/>
      <c r="H21" s="39"/>
      <c r="I21" s="40"/>
      <c r="J21" s="41">
        <v>150</v>
      </c>
      <c r="K21" s="41">
        <v>0</v>
      </c>
      <c r="L21" s="41"/>
      <c r="M21" s="42">
        <v>0</v>
      </c>
      <c r="N21" s="42">
        <v>0</v>
      </c>
      <c r="O21" s="43">
        <v>0</v>
      </c>
      <c r="P21" s="44">
        <v>0</v>
      </c>
      <c r="Q21" s="44">
        <v>251.46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251.46</v>
      </c>
      <c r="Z21" s="44">
        <f t="shared" si="6"/>
        <v>0</v>
      </c>
      <c r="AA21" s="50">
        <f t="shared" si="7"/>
        <v>251.46</v>
      </c>
      <c r="AB21" s="51">
        <f t="shared" si="8"/>
        <v>0</v>
      </c>
      <c r="AC21" s="44">
        <f t="shared" si="8"/>
        <v>235.44943820224719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 x14ac:dyDescent="0.35">
      <c r="A22" s="60">
        <f>(SUM(AM6:AM998)/(SUM(AB6:AB998)))</f>
        <v>0.39206923777934838</v>
      </c>
      <c r="B22" s="97" t="s">
        <v>102</v>
      </c>
      <c r="C22" s="98">
        <v>18230661</v>
      </c>
      <c r="D22" s="61" t="s">
        <v>103</v>
      </c>
      <c r="E22" s="38" t="s">
        <v>1791</v>
      </c>
      <c r="F22" s="39" t="s">
        <v>1792</v>
      </c>
      <c r="G22" s="39">
        <v>20</v>
      </c>
      <c r="H22" s="39"/>
      <c r="I22" s="40" t="s">
        <v>274</v>
      </c>
      <c r="J22" s="41">
        <v>9453</v>
      </c>
      <c r="K22" s="41">
        <v>0.2</v>
      </c>
      <c r="L22" s="41"/>
      <c r="M22" s="42">
        <v>6.46</v>
      </c>
      <c r="N22" s="42">
        <v>6.46</v>
      </c>
      <c r="O22" s="43">
        <v>1890.6</v>
      </c>
      <c r="P22" s="44">
        <v>71847.06</v>
      </c>
      <c r="Q22" s="44">
        <v>71847.06</v>
      </c>
      <c r="R22" s="45">
        <v>0.5</v>
      </c>
      <c r="S22" s="46">
        <v>0</v>
      </c>
      <c r="T22" s="39">
        <f t="shared" ref="T22:T85" si="18">G22+H22</f>
        <v>20</v>
      </c>
      <c r="U22" s="47">
        <f t="shared" ref="U22:U85" si="19">(O22/$A$10)*T22</f>
        <v>1.3665351402494688</v>
      </c>
      <c r="V22" s="48">
        <f t="shared" ref="V22:V85" si="20">N22-M22</f>
        <v>0</v>
      </c>
      <c r="W22" s="49">
        <f t="shared" ref="W22:W85" si="21">(O22/A$10)</f>
        <v>6.8326757012473441E-2</v>
      </c>
      <c r="X22" s="44">
        <f t="shared" ref="X22:X85" si="22">W22*A$8</f>
        <v>4900.0055504196271</v>
      </c>
      <c r="Y22" s="44">
        <f t="shared" ref="Y22:Y85" si="23">Q22-P22</f>
        <v>0</v>
      </c>
      <c r="Z22" s="44">
        <f t="shared" ref="Z22:Z85" si="24">X22+(A$6*W22)</f>
        <v>92526.850799313906</v>
      </c>
      <c r="AA22" s="50">
        <f t="shared" ref="AA22:AA85" si="25">Q22+X22</f>
        <v>76747.065550419618</v>
      </c>
      <c r="AB22" s="51">
        <f t="shared" ref="AB22:AB85" si="26">Z22/(1+GasDiscountRate)^1</f>
        <v>86635.62808924522</v>
      </c>
      <c r="AC22" s="44">
        <f t="shared" ref="AC22:AC85" si="27">AA22/(1+GasDiscountRate)^1</f>
        <v>71860.548268183164</v>
      </c>
      <c r="AD22" s="44">
        <f t="shared" ref="AD22:AD85" si="28">-PV(GasDiscountRate,T22,R22)*J22</f>
        <v>50860.493563503907</v>
      </c>
      <c r="AE22" s="44">
        <f t="shared" ref="AE22:AE85" si="29">-PV(GasDiscountRate,T22,S22)*J22</f>
        <v>0</v>
      </c>
      <c r="AF22" s="52">
        <f>HLOOKUP(I22,GasAvoidedCostsWOCC!$A$5:$G$50,G22+1,FALSE)</f>
        <v>13.713759429231397</v>
      </c>
      <c r="AG22" s="44">
        <f t="shared" ref="AG22:AG85" si="30">AF22*J22*K22</f>
        <v>25927.23357690488</v>
      </c>
      <c r="AH22" s="52">
        <f>HLOOKUP(I22,GasAvoidedCostsWOCC!$A$5:$Q$50,T22+1,FALSE)</f>
        <v>13.713759429231397</v>
      </c>
      <c r="AI22" s="44">
        <f t="shared" ref="AI22:AI85" si="31">AH22*J22*L22</f>
        <v>0</v>
      </c>
      <c r="AJ22" s="44">
        <f t="shared" ref="AJ22:AJ85" si="32">AG22+AI22</f>
        <v>25927.23357690488</v>
      </c>
      <c r="AK22" s="44">
        <f>HLOOKUP(I22,GasAvoidedCostsWOCC!$A$5:$Q$50,G22+1,FALSE)*J22*L22</f>
        <v>0</v>
      </c>
      <c r="AL22" s="44">
        <f t="shared" ref="AL22:AL85" si="33">AG22+AI22-AK22</f>
        <v>25927.23357690488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25927.23357690488</v>
      </c>
      <c r="AN22" s="48">
        <f t="shared" ref="AN22:AN85" si="34">AM22*1.1+AD22+AE22</f>
        <v>79380.450498099279</v>
      </c>
      <c r="AO22" s="47">
        <f t="shared" ref="AO22:AO85" si="35">IFERROR(AM22/AB22,0)</f>
        <v>0.29926756634345264</v>
      </c>
      <c r="AP22" s="47">
        <f t="shared" ref="AP22:AP85" si="36">AN22/AC22</f>
        <v>1.1046457675476102</v>
      </c>
    </row>
    <row r="23" spans="1:42" ht="13.5" customHeight="1" x14ac:dyDescent="0.35">
      <c r="A23" s="58" t="s">
        <v>237</v>
      </c>
      <c r="B23" s="97" t="s">
        <v>102</v>
      </c>
      <c r="C23" s="98">
        <v>18230661</v>
      </c>
      <c r="D23" s="61" t="s">
        <v>103</v>
      </c>
      <c r="E23" s="38" t="s">
        <v>1793</v>
      </c>
      <c r="F23" s="39" t="s">
        <v>1794</v>
      </c>
      <c r="G23" s="39"/>
      <c r="H23" s="39"/>
      <c r="I23" s="40"/>
      <c r="J23" s="41">
        <v>1282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0</v>
      </c>
      <c r="W23" s="49">
        <f t="shared" si="21"/>
        <v>0</v>
      </c>
      <c r="X23" s="44">
        <f t="shared" si="22"/>
        <v>0</v>
      </c>
      <c r="Y23" s="44">
        <f t="shared" si="23"/>
        <v>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HLOOKUP(I23,GasAvoidedCostsWOCC!$A$5:$G$50,G23+1,FALSE)</f>
        <v>#N/A</v>
      </c>
      <c r="AG23" s="44" t="e">
        <f t="shared" si="30"/>
        <v>#N/A</v>
      </c>
      <c r="AH23" s="52" t="e">
        <f>HLOOKUP(I23,GasAvoidedCostsWOCC!$A$5:$Q$50,T23+1,FALSE)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HLOOKUP(I23,GasAvoidedCostsWOCC!$A$5:$Q$50,G23+1,FALSE)*J23*L23</f>
        <v>#N/A</v>
      </c>
      <c r="AL23" s="44" t="e">
        <f t="shared" si="3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 x14ac:dyDescent="0.35">
      <c r="A24" s="60">
        <f>(SUM(AN6:AN998)/SUM(AC6:AC998))</f>
        <v>0.52894397837606699</v>
      </c>
      <c r="B24" s="97" t="s">
        <v>102</v>
      </c>
      <c r="C24" s="98">
        <v>18230661</v>
      </c>
      <c r="D24" s="61" t="s">
        <v>103</v>
      </c>
      <c r="E24" s="38" t="s">
        <v>1797</v>
      </c>
      <c r="F24" s="39" t="s">
        <v>1798</v>
      </c>
      <c r="G24" s="39"/>
      <c r="H24" s="39"/>
      <c r="I24" s="40"/>
      <c r="J24" s="41">
        <v>840</v>
      </c>
      <c r="K24" s="41">
        <v>0</v>
      </c>
      <c r="L24" s="41"/>
      <c r="M24" s="42">
        <v>0</v>
      </c>
      <c r="N24" s="42">
        <v>0</v>
      </c>
      <c r="O24" s="43">
        <v>0</v>
      </c>
      <c r="P24" s="44">
        <v>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 x14ac:dyDescent="0.35">
      <c r="B25" s="97" t="s">
        <v>102</v>
      </c>
      <c r="C25" s="98">
        <v>18230661</v>
      </c>
      <c r="D25" s="61" t="s">
        <v>103</v>
      </c>
      <c r="E25" s="38" t="s">
        <v>1801</v>
      </c>
      <c r="F25" s="39" t="s">
        <v>1802</v>
      </c>
      <c r="G25" s="39">
        <v>25</v>
      </c>
      <c r="H25" s="39"/>
      <c r="I25" s="40" t="s">
        <v>274</v>
      </c>
      <c r="J25" s="41">
        <v>2992</v>
      </c>
      <c r="K25" s="41">
        <v>0.04</v>
      </c>
      <c r="L25" s="41"/>
      <c r="M25" s="42">
        <v>2.37</v>
      </c>
      <c r="N25" s="42">
        <v>2.37</v>
      </c>
      <c r="O25" s="43">
        <v>119.68</v>
      </c>
      <c r="P25" s="44">
        <v>9218.35</v>
      </c>
      <c r="Q25" s="44">
        <v>9218.35</v>
      </c>
      <c r="R25" s="45">
        <v>0.15</v>
      </c>
      <c r="S25" s="46">
        <v>0</v>
      </c>
      <c r="T25" s="39">
        <f t="shared" si="18"/>
        <v>25</v>
      </c>
      <c r="U25" s="47">
        <f t="shared" si="19"/>
        <v>0.10813162857363831</v>
      </c>
      <c r="V25" s="48">
        <f t="shared" si="20"/>
        <v>0</v>
      </c>
      <c r="W25" s="49">
        <f t="shared" si="21"/>
        <v>4.3252651429455322E-3</v>
      </c>
      <c r="X25" s="44">
        <f t="shared" si="22"/>
        <v>310.18336204073898</v>
      </c>
      <c r="Y25" s="44">
        <f t="shared" si="23"/>
        <v>0</v>
      </c>
      <c r="Z25" s="44">
        <f t="shared" si="24"/>
        <v>5857.1953367512378</v>
      </c>
      <c r="AA25" s="50">
        <f t="shared" si="25"/>
        <v>9528.53336204074</v>
      </c>
      <c r="AB25" s="51">
        <f t="shared" si="26"/>
        <v>5484.2652965835559</v>
      </c>
      <c r="AC25" s="44">
        <f t="shared" si="27"/>
        <v>8921.8477172666098</v>
      </c>
      <c r="AD25" s="44">
        <f t="shared" si="28"/>
        <v>5325.726597745148</v>
      </c>
      <c r="AE25" s="44">
        <f t="shared" si="29"/>
        <v>0</v>
      </c>
      <c r="AF25" s="52">
        <f>HLOOKUP(I25,GasAvoidedCostsWOCC!$A$5:$G$50,G25+1,FALSE)</f>
        <v>16.143326773708047</v>
      </c>
      <c r="AG25" s="44">
        <f t="shared" si="30"/>
        <v>1932.0333482773792</v>
      </c>
      <c r="AH25" s="52">
        <f>HLOOKUP(I25,GasAvoidedCostsWOCC!$A$5:$Q$50,T25+1,FALSE)</f>
        <v>16.143326773708047</v>
      </c>
      <c r="AI25" s="44">
        <f t="shared" si="31"/>
        <v>0</v>
      </c>
      <c r="AJ25" s="44">
        <f t="shared" si="32"/>
        <v>1932.0333482773792</v>
      </c>
      <c r="AK25" s="44">
        <f>HLOOKUP(I25,GasAvoidedCostsWOCC!$A$5:$Q$50,G25+1,FALSE)*J25*L25</f>
        <v>0</v>
      </c>
      <c r="AL25" s="44">
        <f t="shared" si="33"/>
        <v>1932.0333482773792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1932.033348277379</v>
      </c>
      <c r="AN25" s="48">
        <f t="shared" si="34"/>
        <v>7450.9632808502647</v>
      </c>
      <c r="AO25" s="47">
        <f t="shared" si="35"/>
        <v>0.35228663162610796</v>
      </c>
      <c r="AP25" s="47">
        <f t="shared" si="36"/>
        <v>0.83513679194840817</v>
      </c>
    </row>
    <row r="26" spans="1:42" ht="13.5" customHeight="1" x14ac:dyDescent="0.35">
      <c r="B26" s="97" t="s">
        <v>102</v>
      </c>
      <c r="C26" s="98">
        <v>18230661</v>
      </c>
      <c r="D26" s="61" t="s">
        <v>103</v>
      </c>
      <c r="E26" s="38" t="s">
        <v>1805</v>
      </c>
      <c r="F26" s="39" t="s">
        <v>1806</v>
      </c>
      <c r="G26" s="39"/>
      <c r="H26" s="39"/>
      <c r="I26" s="40"/>
      <c r="J26" s="41">
        <v>594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0</v>
      </c>
      <c r="Q26" s="44">
        <v>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0</v>
      </c>
      <c r="AB26" s="51">
        <f t="shared" si="26"/>
        <v>0</v>
      </c>
      <c r="AC26" s="44">
        <f t="shared" si="27"/>
        <v>0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 t="e">
        <f t="shared" si="36"/>
        <v>#DIV/0!</v>
      </c>
    </row>
    <row r="27" spans="1:42" ht="13.5" customHeight="1" x14ac:dyDescent="0.35">
      <c r="A27" s="396"/>
      <c r="B27" s="97" t="s">
        <v>102</v>
      </c>
      <c r="C27" s="98">
        <v>18230661</v>
      </c>
      <c r="D27" s="61" t="s">
        <v>103</v>
      </c>
      <c r="E27" s="38" t="s">
        <v>1809</v>
      </c>
      <c r="F27" s="39" t="s">
        <v>1810</v>
      </c>
      <c r="G27" s="39">
        <v>45</v>
      </c>
      <c r="H27" s="39"/>
      <c r="I27" s="40" t="s">
        <v>274</v>
      </c>
      <c r="J27" s="41">
        <v>13520</v>
      </c>
      <c r="K27" s="41">
        <v>1.2781065088757397E-3</v>
      </c>
      <c r="L27" s="41"/>
      <c r="M27" s="42">
        <v>0</v>
      </c>
      <c r="N27" s="42">
        <v>0</v>
      </c>
      <c r="O27" s="43">
        <v>17.28</v>
      </c>
      <c r="P27" s="44">
        <v>0</v>
      </c>
      <c r="Q27" s="44">
        <v>15482.46</v>
      </c>
      <c r="R27" s="45">
        <v>0</v>
      </c>
      <c r="S27" s="46">
        <v>0</v>
      </c>
      <c r="T27" s="39">
        <f t="shared" si="18"/>
        <v>45</v>
      </c>
      <c r="U27" s="47">
        <f t="shared" si="19"/>
        <v>2.8102658549084607E-2</v>
      </c>
      <c r="V27" s="48">
        <f t="shared" si="20"/>
        <v>0</v>
      </c>
      <c r="W27" s="49">
        <f t="shared" si="21"/>
        <v>6.2450352331299124E-4</v>
      </c>
      <c r="X27" s="44">
        <f t="shared" si="22"/>
        <v>44.78583302192488</v>
      </c>
      <c r="Y27" s="44">
        <f t="shared" si="23"/>
        <v>15482.46</v>
      </c>
      <c r="Z27" s="44">
        <f t="shared" si="24"/>
        <v>845.69130530632845</v>
      </c>
      <c r="AA27" s="50">
        <f t="shared" si="25"/>
        <v>15527.245833021923</v>
      </c>
      <c r="AB27" s="51">
        <f t="shared" si="26"/>
        <v>791.84579148532623</v>
      </c>
      <c r="AC27" s="44">
        <f t="shared" si="27"/>
        <v>14538.619693840752</v>
      </c>
      <c r="AD27" s="44">
        <f t="shared" si="28"/>
        <v>0</v>
      </c>
      <c r="AE27" s="44">
        <f t="shared" si="29"/>
        <v>0</v>
      </c>
      <c r="AF27" s="52">
        <f>HLOOKUP(I27,GasAvoidedCostsWOCC!$A$5:$G$50,G27+1,FALSE)</f>
        <v>26.281560892700742</v>
      </c>
      <c r="AG27" s="44">
        <f t="shared" si="30"/>
        <v>454.14537222586881</v>
      </c>
      <c r="AH27" s="52">
        <f>HLOOKUP(I27,GasAvoidedCostsWOCC!$A$5:$Q$50,T27+1,FALSE)</f>
        <v>26.281560892700742</v>
      </c>
      <c r="AI27" s="44">
        <f t="shared" si="31"/>
        <v>0</v>
      </c>
      <c r="AJ27" s="44">
        <f t="shared" si="32"/>
        <v>454.14537222586881</v>
      </c>
      <c r="AK27" s="44">
        <f>HLOOKUP(I27,GasAvoidedCostsWOCC!$A$5:$Q$50,G27+1,FALSE)*J27*L27</f>
        <v>0</v>
      </c>
      <c r="AL27" s="44">
        <f t="shared" si="33"/>
        <v>454.14537222586881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454.14537222586881</v>
      </c>
      <c r="AN27" s="48">
        <f t="shared" si="34"/>
        <v>499.55990944845576</v>
      </c>
      <c r="AO27" s="47">
        <f t="shared" si="35"/>
        <v>0.57352754426337649</v>
      </c>
      <c r="AP27" s="47">
        <f t="shared" si="36"/>
        <v>3.4360889820929358E-2</v>
      </c>
    </row>
    <row r="28" spans="1:42" ht="13.5" customHeight="1" x14ac:dyDescent="0.35">
      <c r="B28" s="97" t="s">
        <v>102</v>
      </c>
      <c r="C28" s="98">
        <v>18230661</v>
      </c>
      <c r="D28" s="61" t="s">
        <v>103</v>
      </c>
      <c r="E28" s="38" t="s">
        <v>1813</v>
      </c>
      <c r="F28" s="39" t="s">
        <v>1814</v>
      </c>
      <c r="G28" s="39">
        <v>45</v>
      </c>
      <c r="H28" s="39"/>
      <c r="I28" s="40" t="s">
        <v>274</v>
      </c>
      <c r="J28" s="41">
        <v>46579</v>
      </c>
      <c r="K28" s="41">
        <v>0.03</v>
      </c>
      <c r="L28" s="41"/>
      <c r="M28" s="42">
        <v>2.14</v>
      </c>
      <c r="N28" s="42">
        <v>2.14</v>
      </c>
      <c r="O28" s="43">
        <v>1397.37</v>
      </c>
      <c r="P28" s="44">
        <v>128525.83</v>
      </c>
      <c r="Q28" s="44">
        <v>128525.83</v>
      </c>
      <c r="R28" s="45">
        <v>0</v>
      </c>
      <c r="S28" s="46">
        <v>0</v>
      </c>
      <c r="T28" s="39">
        <f t="shared" si="18"/>
        <v>45</v>
      </c>
      <c r="U28" s="47">
        <f t="shared" si="19"/>
        <v>2.2725585634684231</v>
      </c>
      <c r="V28" s="48">
        <f t="shared" si="20"/>
        <v>0</v>
      </c>
      <c r="W28" s="49">
        <f t="shared" si="21"/>
        <v>5.0501301410409399E-2</v>
      </c>
      <c r="X28" s="44">
        <f t="shared" si="22"/>
        <v>3621.665479736525</v>
      </c>
      <c r="Y28" s="44">
        <f t="shared" si="23"/>
        <v>0</v>
      </c>
      <c r="Z28" s="44">
        <f t="shared" si="24"/>
        <v>68387.943246290743</v>
      </c>
      <c r="AA28" s="50">
        <f t="shared" si="25"/>
        <v>132147.49547973654</v>
      </c>
      <c r="AB28" s="51">
        <f t="shared" si="26"/>
        <v>64033.654724991327</v>
      </c>
      <c r="AC28" s="44">
        <f t="shared" si="27"/>
        <v>123733.6099997533</v>
      </c>
      <c r="AD28" s="44">
        <f t="shared" si="28"/>
        <v>0</v>
      </c>
      <c r="AE28" s="44">
        <f t="shared" si="29"/>
        <v>0</v>
      </c>
      <c r="AF28" s="52">
        <f>HLOOKUP(I28,GasAvoidedCostsWOCC!$A$5:$G$50,G28+1,FALSE)</f>
        <v>26.281560892700742</v>
      </c>
      <c r="AG28" s="44">
        <f t="shared" si="30"/>
        <v>36725.06474463323</v>
      </c>
      <c r="AH28" s="52">
        <f>HLOOKUP(I28,GasAvoidedCostsWOCC!$A$5:$Q$50,T28+1,FALSE)</f>
        <v>26.281560892700742</v>
      </c>
      <c r="AI28" s="44">
        <f t="shared" si="31"/>
        <v>0</v>
      </c>
      <c r="AJ28" s="44">
        <f t="shared" si="32"/>
        <v>36725.06474463323</v>
      </c>
      <c r="AK28" s="44">
        <f>HLOOKUP(I28,GasAvoidedCostsWOCC!$A$5:$Q$50,G28+1,FALSE)*J28*L28</f>
        <v>0</v>
      </c>
      <c r="AL28" s="44">
        <f t="shared" si="33"/>
        <v>36725.06474463323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36725.064744633237</v>
      </c>
      <c r="AN28" s="48">
        <f t="shared" si="34"/>
        <v>40397.571219096564</v>
      </c>
      <c r="AO28" s="47">
        <f t="shared" si="35"/>
        <v>0.5735275442633766</v>
      </c>
      <c r="AP28" s="47">
        <f t="shared" si="36"/>
        <v>0.32648826150935956</v>
      </c>
    </row>
    <row r="29" spans="1:42" x14ac:dyDescent="0.35">
      <c r="B29" s="97" t="s">
        <v>102</v>
      </c>
      <c r="C29" s="98">
        <v>18230661</v>
      </c>
      <c r="D29" s="61" t="s">
        <v>103</v>
      </c>
      <c r="E29" s="38" t="s">
        <v>1819</v>
      </c>
      <c r="F29" s="39" t="s">
        <v>1820</v>
      </c>
      <c r="G29" s="39"/>
      <c r="H29" s="39"/>
      <c r="I29" s="40"/>
      <c r="J29" s="41">
        <v>16607</v>
      </c>
      <c r="K29" s="41">
        <v>0</v>
      </c>
      <c r="L29" s="41"/>
      <c r="M29" s="42">
        <v>0</v>
      </c>
      <c r="N29" s="42">
        <v>0</v>
      </c>
      <c r="O29" s="43">
        <v>0</v>
      </c>
      <c r="P29" s="44">
        <v>0</v>
      </c>
      <c r="Q29" s="44">
        <v>15504.72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15504.72</v>
      </c>
      <c r="Z29" s="44">
        <f t="shared" si="24"/>
        <v>0</v>
      </c>
      <c r="AA29" s="50">
        <f t="shared" si="25"/>
        <v>15504.72</v>
      </c>
      <c r="AB29" s="51">
        <f t="shared" si="26"/>
        <v>0</v>
      </c>
      <c r="AC29" s="44">
        <f t="shared" si="27"/>
        <v>14517.528089887639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</row>
    <row r="30" spans="1:42" x14ac:dyDescent="0.35">
      <c r="B30" s="97" t="s">
        <v>102</v>
      </c>
      <c r="C30" s="98">
        <v>18230661</v>
      </c>
      <c r="D30" s="61" t="s">
        <v>103</v>
      </c>
      <c r="E30" s="38" t="s">
        <v>1823</v>
      </c>
      <c r="F30" s="39" t="s">
        <v>1824</v>
      </c>
      <c r="G30" s="39">
        <v>45</v>
      </c>
      <c r="H30" s="39"/>
      <c r="I30" s="40" t="s">
        <v>274</v>
      </c>
      <c r="J30" s="41">
        <v>16607</v>
      </c>
      <c r="K30" s="41">
        <v>9.9000000000000005E-2</v>
      </c>
      <c r="L30" s="41"/>
      <c r="M30" s="42">
        <v>2.2000000000000002</v>
      </c>
      <c r="N30" s="42">
        <v>2.2000000000000002</v>
      </c>
      <c r="O30" s="43">
        <v>1644.09</v>
      </c>
      <c r="P30" s="44">
        <v>47496.02</v>
      </c>
      <c r="Q30" s="44">
        <v>47496.02</v>
      </c>
      <c r="R30" s="45">
        <v>0.01</v>
      </c>
      <c r="S30" s="46">
        <v>0</v>
      </c>
      <c r="T30" s="39">
        <f t="shared" si="18"/>
        <v>45</v>
      </c>
      <c r="U30" s="47">
        <f t="shared" si="19"/>
        <v>2.6738020771970201</v>
      </c>
      <c r="V30" s="48">
        <f t="shared" si="20"/>
        <v>0</v>
      </c>
      <c r="W30" s="49">
        <f t="shared" si="21"/>
        <v>5.9417823937711556E-2</v>
      </c>
      <c r="X30" s="44">
        <f t="shared" si="22"/>
        <v>4261.1076512162308</v>
      </c>
      <c r="Y30" s="44">
        <f t="shared" si="23"/>
        <v>0</v>
      </c>
      <c r="Z30" s="44">
        <f t="shared" si="24"/>
        <v>80462.535772053321</v>
      </c>
      <c r="AA30" s="50">
        <f t="shared" si="25"/>
        <v>51757.127651216229</v>
      </c>
      <c r="AB30" s="51">
        <f t="shared" si="26"/>
        <v>75339.452970087368</v>
      </c>
      <c r="AC30" s="44">
        <f t="shared" si="27"/>
        <v>48461.730010502084</v>
      </c>
      <c r="AD30" s="44">
        <f t="shared" si="28"/>
        <v>2315.7101418338848</v>
      </c>
      <c r="AE30" s="44">
        <f t="shared" si="29"/>
        <v>0</v>
      </c>
      <c r="AF30" s="52">
        <f>HLOOKUP(I30,GasAvoidedCostsWOCC!$A$5:$G$50,G30+1,FALSE)</f>
        <v>26.281560892700742</v>
      </c>
      <c r="AG30" s="44">
        <f t="shared" si="30"/>
        <v>43209.330292763043</v>
      </c>
      <c r="AH30" s="52">
        <f>HLOOKUP(I30,GasAvoidedCostsWOCC!$A$5:$Q$50,T30+1,FALSE)</f>
        <v>26.281560892700742</v>
      </c>
      <c r="AI30" s="44">
        <f t="shared" si="31"/>
        <v>0</v>
      </c>
      <c r="AJ30" s="44">
        <f t="shared" si="32"/>
        <v>43209.330292763043</v>
      </c>
      <c r="AK30" s="44">
        <f>HLOOKUP(I30,GasAvoidedCostsWOCC!$A$5:$Q$50,G30+1,FALSE)*J30*L30</f>
        <v>0</v>
      </c>
      <c r="AL30" s="44">
        <f t="shared" si="33"/>
        <v>43209.330292763043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43209.330292763043</v>
      </c>
      <c r="AN30" s="48">
        <f t="shared" si="34"/>
        <v>49845.973463873241</v>
      </c>
      <c r="AO30" s="47">
        <f t="shared" si="35"/>
        <v>0.57352859078919505</v>
      </c>
      <c r="AP30" s="47">
        <f t="shared" si="36"/>
        <v>1.0285636408991421</v>
      </c>
    </row>
    <row r="31" spans="1:42" x14ac:dyDescent="0.35">
      <c r="B31" s="97" t="s">
        <v>102</v>
      </c>
      <c r="C31" s="98">
        <v>18230661</v>
      </c>
      <c r="D31" s="61" t="s">
        <v>103</v>
      </c>
      <c r="E31" s="38" t="s">
        <v>1827</v>
      </c>
      <c r="F31" s="39" t="s">
        <v>1828</v>
      </c>
      <c r="G31" s="39">
        <v>45</v>
      </c>
      <c r="H31" s="39"/>
      <c r="I31" s="40" t="s">
        <v>274</v>
      </c>
      <c r="J31" s="41">
        <v>13364</v>
      </c>
      <c r="K31" s="41">
        <v>3.0170607602514219E-3</v>
      </c>
      <c r="L31" s="41"/>
      <c r="M31" s="42">
        <v>0</v>
      </c>
      <c r="N31" s="42">
        <v>0</v>
      </c>
      <c r="O31" s="43">
        <v>40.32</v>
      </c>
      <c r="P31" s="44">
        <v>0</v>
      </c>
      <c r="Q31" s="44">
        <v>15324.02</v>
      </c>
      <c r="R31" s="45">
        <v>0</v>
      </c>
      <c r="S31" s="46">
        <v>0</v>
      </c>
      <c r="T31" s="39">
        <f t="shared" si="18"/>
        <v>45</v>
      </c>
      <c r="U31" s="47">
        <f t="shared" si="19"/>
        <v>6.5572869947864071E-2</v>
      </c>
      <c r="V31" s="48">
        <f t="shared" si="20"/>
        <v>0</v>
      </c>
      <c r="W31" s="49">
        <f t="shared" si="21"/>
        <v>1.4571748877303128E-3</v>
      </c>
      <c r="X31" s="44">
        <f t="shared" si="22"/>
        <v>104.50027705115804</v>
      </c>
      <c r="Y31" s="44">
        <f t="shared" si="23"/>
        <v>15324.02</v>
      </c>
      <c r="Z31" s="44">
        <f t="shared" si="24"/>
        <v>1973.279712381433</v>
      </c>
      <c r="AA31" s="50">
        <f t="shared" si="25"/>
        <v>15428.520277051159</v>
      </c>
      <c r="AB31" s="51">
        <f t="shared" si="26"/>
        <v>1847.6401801324278</v>
      </c>
      <c r="AC31" s="44">
        <f t="shared" si="27"/>
        <v>14446.180034692095</v>
      </c>
      <c r="AD31" s="44">
        <f t="shared" si="28"/>
        <v>0</v>
      </c>
      <c r="AE31" s="44">
        <f t="shared" si="29"/>
        <v>0</v>
      </c>
      <c r="AF31" s="52">
        <f>HLOOKUP(I31,GasAvoidedCostsWOCC!$A$5:$G$50,G31+1,FALSE)</f>
        <v>26.281560892700742</v>
      </c>
      <c r="AG31" s="44">
        <f t="shared" si="30"/>
        <v>1059.6725351936939</v>
      </c>
      <c r="AH31" s="52">
        <f>HLOOKUP(I31,GasAvoidedCostsWOCC!$A$5:$Q$50,T31+1,FALSE)</f>
        <v>26.281560892700742</v>
      </c>
      <c r="AI31" s="44">
        <f t="shared" si="31"/>
        <v>0</v>
      </c>
      <c r="AJ31" s="44">
        <f t="shared" si="32"/>
        <v>1059.6725351936939</v>
      </c>
      <c r="AK31" s="44">
        <f>HLOOKUP(I31,GasAvoidedCostsWOCC!$A$5:$Q$50,G31+1,FALSE)*J31*L31</f>
        <v>0</v>
      </c>
      <c r="AL31" s="44">
        <f t="shared" si="33"/>
        <v>1059.6725351936939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1059.6725351936941</v>
      </c>
      <c r="AN31" s="48">
        <f t="shared" si="34"/>
        <v>1165.6397887130636</v>
      </c>
      <c r="AO31" s="47">
        <f t="shared" si="35"/>
        <v>0.5735275442633766</v>
      </c>
      <c r="AP31" s="47">
        <f t="shared" si="36"/>
        <v>8.0688443997915874E-2</v>
      </c>
    </row>
    <row r="32" spans="1:42" x14ac:dyDescent="0.35">
      <c r="B32" s="97" t="s">
        <v>102</v>
      </c>
      <c r="C32" s="98">
        <v>18230661</v>
      </c>
      <c r="D32" s="61" t="s">
        <v>103</v>
      </c>
      <c r="E32" s="38" t="s">
        <v>1831</v>
      </c>
      <c r="F32" s="39" t="s">
        <v>1832</v>
      </c>
      <c r="G32" s="39">
        <v>45</v>
      </c>
      <c r="H32" s="39"/>
      <c r="I32" s="40" t="s">
        <v>274</v>
      </c>
      <c r="J32" s="41">
        <v>26816</v>
      </c>
      <c r="K32" s="41">
        <v>7.0000000000000007E-2</v>
      </c>
      <c r="L32" s="41"/>
      <c r="M32" s="42">
        <v>2.75</v>
      </c>
      <c r="N32" s="42">
        <v>2.75</v>
      </c>
      <c r="O32" s="43">
        <v>1877.12</v>
      </c>
      <c r="P32" s="44">
        <v>93884.43</v>
      </c>
      <c r="Q32" s="44">
        <v>93884.43</v>
      </c>
      <c r="R32" s="45">
        <v>0.1</v>
      </c>
      <c r="S32" s="46">
        <v>0</v>
      </c>
      <c r="T32" s="39">
        <f t="shared" si="18"/>
        <v>45</v>
      </c>
      <c r="U32" s="47">
        <f t="shared" si="19"/>
        <v>3.0527813897950051</v>
      </c>
      <c r="V32" s="48">
        <f t="shared" si="20"/>
        <v>0</v>
      </c>
      <c r="W32" s="49">
        <f t="shared" si="21"/>
        <v>6.7839586439889007E-2</v>
      </c>
      <c r="X32" s="44">
        <f t="shared" si="22"/>
        <v>4865.0684538261357</v>
      </c>
      <c r="Y32" s="44">
        <f t="shared" si="23"/>
        <v>0</v>
      </c>
      <c r="Z32" s="44">
        <f t="shared" si="24"/>
        <v>91867.133276424502</v>
      </c>
      <c r="AA32" s="50">
        <f t="shared" si="25"/>
        <v>98749.498453826134</v>
      </c>
      <c r="AB32" s="51">
        <f t="shared" si="26"/>
        <v>86017.91505283193</v>
      </c>
      <c r="AC32" s="44">
        <f t="shared" si="27"/>
        <v>92462.077203957044</v>
      </c>
      <c r="AD32" s="44">
        <f t="shared" si="28"/>
        <v>37392.715820688536</v>
      </c>
      <c r="AE32" s="44">
        <f t="shared" si="29"/>
        <v>0</v>
      </c>
      <c r="AF32" s="52">
        <f>HLOOKUP(I32,GasAvoidedCostsWOCC!$A$5:$G$50,G32+1,FALSE)</f>
        <v>26.281560892700742</v>
      </c>
      <c r="AG32" s="44">
        <f t="shared" si="30"/>
        <v>49333.643582906421</v>
      </c>
      <c r="AH32" s="52">
        <f>HLOOKUP(I32,GasAvoidedCostsWOCC!$A$5:$Q$50,T32+1,FALSE)</f>
        <v>26.281560892700742</v>
      </c>
      <c r="AI32" s="44">
        <f t="shared" si="31"/>
        <v>0</v>
      </c>
      <c r="AJ32" s="44">
        <f t="shared" si="32"/>
        <v>49333.643582906421</v>
      </c>
      <c r="AK32" s="44">
        <f>HLOOKUP(I32,GasAvoidedCostsWOCC!$A$5:$Q$50,G32+1,FALSE)*J32*L32</f>
        <v>0</v>
      </c>
      <c r="AL32" s="44">
        <f t="shared" si="33"/>
        <v>49333.643582906421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49333.643582906421</v>
      </c>
      <c r="AN32" s="48">
        <f t="shared" si="34"/>
        <v>91659.723761885602</v>
      </c>
      <c r="AO32" s="47">
        <f t="shared" si="35"/>
        <v>0.57352754426337649</v>
      </c>
      <c r="AP32" s="47">
        <f t="shared" si="36"/>
        <v>0.99132235110507438</v>
      </c>
    </row>
    <row r="33" spans="2:42" x14ac:dyDescent="0.35">
      <c r="B33" s="97" t="s">
        <v>102</v>
      </c>
      <c r="C33" s="98">
        <v>18230661</v>
      </c>
      <c r="D33" s="61" t="s">
        <v>103</v>
      </c>
      <c r="E33" s="38" t="s">
        <v>1833</v>
      </c>
      <c r="F33" s="39" t="s">
        <v>1834</v>
      </c>
      <c r="G33" s="39"/>
      <c r="H33" s="39"/>
      <c r="I33" s="40"/>
      <c r="J33" s="41">
        <v>2985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14716.51</v>
      </c>
      <c r="R33" s="45">
        <v>0</v>
      </c>
      <c r="S33" s="46">
        <v>0</v>
      </c>
      <c r="T33" s="39">
        <f t="shared" si="18"/>
        <v>0</v>
      </c>
      <c r="U33" s="47">
        <f t="shared" si="19"/>
        <v>0</v>
      </c>
      <c r="V33" s="48">
        <f t="shared" si="20"/>
        <v>0</v>
      </c>
      <c r="W33" s="49">
        <f t="shared" si="21"/>
        <v>0</v>
      </c>
      <c r="X33" s="44">
        <f t="shared" si="22"/>
        <v>0</v>
      </c>
      <c r="Y33" s="44">
        <f t="shared" si="23"/>
        <v>14716.51</v>
      </c>
      <c r="Z33" s="44">
        <f t="shared" si="24"/>
        <v>0</v>
      </c>
      <c r="AA33" s="50">
        <f t="shared" si="25"/>
        <v>14716.51</v>
      </c>
      <c r="AB33" s="51">
        <f t="shared" si="26"/>
        <v>0</v>
      </c>
      <c r="AC33" s="44">
        <f t="shared" si="27"/>
        <v>13779.503745318352</v>
      </c>
      <c r="AD33" s="44">
        <f t="shared" si="28"/>
        <v>0</v>
      </c>
      <c r="AE33" s="44">
        <f t="shared" si="29"/>
        <v>0</v>
      </c>
      <c r="AF33" s="52" t="e">
        <f>HLOOKUP(I33,GasAvoidedCostsWOCC!$A$5:$G$50,G33+1,FALSE)</f>
        <v>#N/A</v>
      </c>
      <c r="AG33" s="44" t="e">
        <f t="shared" si="30"/>
        <v>#N/A</v>
      </c>
      <c r="AH33" s="52" t="e">
        <f>HLOOKUP(I33,GasAvoidedCostsWOCC!$A$5:$Q$50,T33+1,FALSE)</f>
        <v>#N/A</v>
      </c>
      <c r="AI33" s="44" t="e">
        <f t="shared" si="31"/>
        <v>#N/A</v>
      </c>
      <c r="AJ33" s="44" t="e">
        <f t="shared" si="32"/>
        <v>#N/A</v>
      </c>
      <c r="AK33" s="44" t="e">
        <f>HLOOKUP(I33,GasAvoidedCostsWOCC!$A$5:$Q$50,G33+1,FALSE)*J33*L33</f>
        <v>#N/A</v>
      </c>
      <c r="AL33" s="44" t="e">
        <f t="shared" si="3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4"/>
        <v>0</v>
      </c>
      <c r="AO33" s="47">
        <f t="shared" si="35"/>
        <v>0</v>
      </c>
      <c r="AP33" s="47">
        <f t="shared" si="36"/>
        <v>0</v>
      </c>
    </row>
    <row r="34" spans="2:42" x14ac:dyDescent="0.35">
      <c r="B34" s="97" t="s">
        <v>102</v>
      </c>
      <c r="C34" s="98">
        <v>18230661</v>
      </c>
      <c r="D34" s="61" t="s">
        <v>103</v>
      </c>
      <c r="E34" s="38" t="s">
        <v>1837</v>
      </c>
      <c r="F34" s="39" t="s">
        <v>1838</v>
      </c>
      <c r="G34" s="39">
        <v>25</v>
      </c>
      <c r="H34" s="39"/>
      <c r="I34" s="40" t="s">
        <v>274</v>
      </c>
      <c r="J34" s="41">
        <v>2440</v>
      </c>
      <c r="K34" s="41">
        <v>0.04</v>
      </c>
      <c r="L34" s="41"/>
      <c r="M34" s="42">
        <v>2.0299999999999998</v>
      </c>
      <c r="N34" s="42">
        <v>2.0299999999999998</v>
      </c>
      <c r="O34" s="43">
        <v>97.6</v>
      </c>
      <c r="P34" s="44">
        <v>6439.16</v>
      </c>
      <c r="Q34" s="44">
        <v>6439.16</v>
      </c>
      <c r="R34" s="45">
        <v>0.24</v>
      </c>
      <c r="S34" s="46">
        <v>0</v>
      </c>
      <c r="T34" s="39">
        <f t="shared" si="18"/>
        <v>25</v>
      </c>
      <c r="U34" s="47">
        <f t="shared" si="19"/>
        <v>8.8182210467806624E-2</v>
      </c>
      <c r="V34" s="48">
        <f t="shared" si="20"/>
        <v>0</v>
      </c>
      <c r="W34" s="49">
        <f t="shared" si="21"/>
        <v>3.5272884187122649E-3</v>
      </c>
      <c r="X34" s="44">
        <f t="shared" si="22"/>
        <v>252.95701984605714</v>
      </c>
      <c r="Y34" s="44">
        <f t="shared" si="23"/>
        <v>0</v>
      </c>
      <c r="Z34" s="44">
        <f t="shared" si="24"/>
        <v>4776.5897799709282</v>
      </c>
      <c r="AA34" s="50">
        <f t="shared" si="25"/>
        <v>6692.1170198460568</v>
      </c>
      <c r="AB34" s="51">
        <f t="shared" si="26"/>
        <v>4472.4623407967492</v>
      </c>
      <c r="AC34" s="44">
        <f t="shared" si="27"/>
        <v>6266.0271721405024</v>
      </c>
      <c r="AD34" s="44">
        <f t="shared" si="28"/>
        <v>6949.0764163091762</v>
      </c>
      <c r="AE34" s="44">
        <f t="shared" si="29"/>
        <v>0</v>
      </c>
      <c r="AF34" s="52">
        <f>HLOOKUP(I34,GasAvoidedCostsWOCC!$A$5:$G$50,G34+1,FALSE)</f>
        <v>16.143326773708047</v>
      </c>
      <c r="AG34" s="44">
        <f t="shared" si="30"/>
        <v>1575.5886931139053</v>
      </c>
      <c r="AH34" s="52">
        <f>HLOOKUP(I34,GasAvoidedCostsWOCC!$A$5:$Q$50,T34+1,FALSE)</f>
        <v>16.143326773708047</v>
      </c>
      <c r="AI34" s="44">
        <f t="shared" si="31"/>
        <v>0</v>
      </c>
      <c r="AJ34" s="44">
        <f t="shared" si="32"/>
        <v>1575.5886931139053</v>
      </c>
      <c r="AK34" s="44">
        <f>HLOOKUP(I34,GasAvoidedCostsWOCC!$A$5:$Q$50,G34+1,FALSE)*J34*L34</f>
        <v>0</v>
      </c>
      <c r="AL34" s="44">
        <f t="shared" si="33"/>
        <v>1575.5886931139053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1575.5886931139055</v>
      </c>
      <c r="AN34" s="48">
        <f t="shared" si="34"/>
        <v>8682.2239787344733</v>
      </c>
      <c r="AO34" s="47">
        <f t="shared" si="35"/>
        <v>0.35228663162610807</v>
      </c>
      <c r="AP34" s="47">
        <f t="shared" si="36"/>
        <v>1.3856026697963693</v>
      </c>
    </row>
    <row r="35" spans="2:42" x14ac:dyDescent="0.35">
      <c r="B35" s="97" t="s">
        <v>102</v>
      </c>
      <c r="C35" s="98">
        <v>18230661</v>
      </c>
      <c r="D35" s="61" t="s">
        <v>103</v>
      </c>
      <c r="E35" s="38" t="s">
        <v>1839</v>
      </c>
      <c r="F35" s="39" t="s">
        <v>1840</v>
      </c>
      <c r="G35" s="39"/>
      <c r="H35" s="39"/>
      <c r="I35" s="40"/>
      <c r="J35" s="41">
        <v>2089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2605.3000000000002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2605.3000000000002</v>
      </c>
      <c r="Z35" s="44">
        <f t="shared" si="24"/>
        <v>0</v>
      </c>
      <c r="AA35" s="50">
        <f t="shared" si="25"/>
        <v>2605.3000000000002</v>
      </c>
      <c r="AB35" s="51">
        <f t="shared" si="26"/>
        <v>0</v>
      </c>
      <c r="AC35" s="44">
        <f t="shared" si="27"/>
        <v>2439.4194756554307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</row>
    <row r="36" spans="2:42" x14ac:dyDescent="0.35">
      <c r="B36" s="97" t="s">
        <v>102</v>
      </c>
      <c r="C36" s="98">
        <v>18230661</v>
      </c>
      <c r="D36" s="61" t="s">
        <v>103</v>
      </c>
      <c r="E36" s="38" t="s">
        <v>1843</v>
      </c>
      <c r="F36" s="39" t="s">
        <v>1844</v>
      </c>
      <c r="G36" s="39">
        <v>45</v>
      </c>
      <c r="H36" s="39"/>
      <c r="I36" s="40" t="s">
        <v>274</v>
      </c>
      <c r="J36" s="41">
        <v>18831</v>
      </c>
      <c r="K36" s="41">
        <v>0.09</v>
      </c>
      <c r="L36" s="41"/>
      <c r="M36" s="42">
        <v>2.4300000000000002</v>
      </c>
      <c r="N36" s="42">
        <v>2.4300000000000002</v>
      </c>
      <c r="O36" s="43">
        <v>1694.79</v>
      </c>
      <c r="P36" s="44">
        <v>57145.99</v>
      </c>
      <c r="Q36" s="44">
        <v>57145.99</v>
      </c>
      <c r="R36" s="45">
        <v>0.14000000000000001</v>
      </c>
      <c r="S36" s="46">
        <v>0</v>
      </c>
      <c r="T36" s="39">
        <f t="shared" si="18"/>
        <v>45</v>
      </c>
      <c r="U36" s="47">
        <f t="shared" si="19"/>
        <v>2.7562560580094386</v>
      </c>
      <c r="V36" s="48">
        <f t="shared" si="20"/>
        <v>0</v>
      </c>
      <c r="W36" s="49">
        <f t="shared" si="21"/>
        <v>6.1250134622431965E-2</v>
      </c>
      <c r="X36" s="44">
        <f t="shared" si="22"/>
        <v>4392.5105293534752</v>
      </c>
      <c r="Y36" s="44">
        <f t="shared" si="23"/>
        <v>0</v>
      </c>
      <c r="Z36" s="44">
        <f t="shared" si="24"/>
        <v>82943.817553247238</v>
      </c>
      <c r="AA36" s="50">
        <f t="shared" si="25"/>
        <v>61538.50052935347</v>
      </c>
      <c r="AB36" s="51">
        <f t="shared" si="26"/>
        <v>77662.750518021756</v>
      </c>
      <c r="AC36" s="44">
        <f t="shared" si="27"/>
        <v>57620.318847709241</v>
      </c>
      <c r="AD36" s="44">
        <f t="shared" si="28"/>
        <v>36761.602187766264</v>
      </c>
      <c r="AE36" s="44">
        <f t="shared" si="29"/>
        <v>0</v>
      </c>
      <c r="AF36" s="52">
        <f>HLOOKUP(I36,GasAvoidedCostsWOCC!$A$5:$G$50,G36+1,FALSE)</f>
        <v>26.281560892700742</v>
      </c>
      <c r="AG36" s="44">
        <f t="shared" si="30"/>
        <v>44541.726585340286</v>
      </c>
      <c r="AH36" s="52">
        <f>HLOOKUP(I36,GasAvoidedCostsWOCC!$A$5:$Q$50,T36+1,FALSE)</f>
        <v>26.281560892700742</v>
      </c>
      <c r="AI36" s="44">
        <f t="shared" si="31"/>
        <v>0</v>
      </c>
      <c r="AJ36" s="44">
        <f t="shared" si="32"/>
        <v>44541.726585340286</v>
      </c>
      <c r="AK36" s="44">
        <f>HLOOKUP(I36,GasAvoidedCostsWOCC!$A$5:$Q$50,G36+1,FALSE)*J36*L36</f>
        <v>0</v>
      </c>
      <c r="AL36" s="44">
        <f t="shared" si="33"/>
        <v>44541.726585340286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44541.726585340293</v>
      </c>
      <c r="AN36" s="48">
        <f t="shared" si="34"/>
        <v>85757.501431640587</v>
      </c>
      <c r="AO36" s="47">
        <f t="shared" si="35"/>
        <v>0.5735275442633766</v>
      </c>
      <c r="AP36" s="47">
        <f t="shared" si="36"/>
        <v>1.4883204943432897</v>
      </c>
    </row>
    <row r="37" spans="2:42" x14ac:dyDescent="0.35">
      <c r="B37" s="97" t="s">
        <v>102</v>
      </c>
      <c r="C37" s="98">
        <v>18230661</v>
      </c>
      <c r="D37" s="61" t="s">
        <v>103</v>
      </c>
      <c r="E37" s="38" t="s">
        <v>1845</v>
      </c>
      <c r="F37" s="39" t="s">
        <v>1846</v>
      </c>
      <c r="G37" s="39"/>
      <c r="H37" s="39"/>
      <c r="I37" s="40"/>
      <c r="J37" s="41">
        <v>5471</v>
      </c>
      <c r="K37" s="41">
        <v>0</v>
      </c>
      <c r="L37" s="41"/>
      <c r="M37" s="42">
        <v>0</v>
      </c>
      <c r="N37" s="42">
        <v>0</v>
      </c>
      <c r="O37" s="43">
        <v>0</v>
      </c>
      <c r="P37" s="44">
        <v>0</v>
      </c>
      <c r="Q37" s="44">
        <v>6718.01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0</v>
      </c>
      <c r="W37" s="49">
        <f t="shared" si="21"/>
        <v>0</v>
      </c>
      <c r="X37" s="44">
        <f t="shared" si="22"/>
        <v>0</v>
      </c>
      <c r="Y37" s="44">
        <f t="shared" si="23"/>
        <v>6718.01</v>
      </c>
      <c r="Z37" s="44">
        <f t="shared" si="24"/>
        <v>0</v>
      </c>
      <c r="AA37" s="50">
        <f t="shared" si="25"/>
        <v>6718.01</v>
      </c>
      <c r="AB37" s="51">
        <f t="shared" si="26"/>
        <v>0</v>
      </c>
      <c r="AC37" s="44">
        <f t="shared" si="27"/>
        <v>6290.271535580524</v>
      </c>
      <c r="AD37" s="44">
        <f t="shared" si="28"/>
        <v>0</v>
      </c>
      <c r="AE37" s="44">
        <f t="shared" si="29"/>
        <v>0</v>
      </c>
      <c r="AF37" s="52" t="e">
        <f>HLOOKUP(I37,GasAvoidedCostsWOCC!$A$5:$G$50,G37+1,FALSE)</f>
        <v>#N/A</v>
      </c>
      <c r="AG37" s="44" t="e">
        <f t="shared" si="30"/>
        <v>#N/A</v>
      </c>
      <c r="AH37" s="52" t="e">
        <f>HLOOKUP(I37,GasAvoidedCostsWOCC!$A$5:$Q$50,T37+1,FALSE)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HLOOKUP(I37,GasAvoidedCostsWOCC!$A$5:$Q$50,G37+1,FALSE)*J37*L37</f>
        <v>#N/A</v>
      </c>
      <c r="AL37" s="44" t="e">
        <f t="shared" si="3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4"/>
        <v>0</v>
      </c>
      <c r="AO37" s="47">
        <f t="shared" si="35"/>
        <v>0</v>
      </c>
      <c r="AP37" s="47">
        <f t="shared" si="36"/>
        <v>0</v>
      </c>
    </row>
    <row r="38" spans="2:42" x14ac:dyDescent="0.35">
      <c r="B38" s="97" t="s">
        <v>102</v>
      </c>
      <c r="C38" s="98">
        <v>18230661</v>
      </c>
      <c r="D38" s="61" t="s">
        <v>103</v>
      </c>
      <c r="E38" s="38" t="s">
        <v>1849</v>
      </c>
      <c r="F38" s="39" t="s">
        <v>1850</v>
      </c>
      <c r="G38" s="39">
        <v>45</v>
      </c>
      <c r="H38" s="39"/>
      <c r="I38" s="40" t="s">
        <v>274</v>
      </c>
      <c r="J38" s="41">
        <v>9414</v>
      </c>
      <c r="K38" s="41">
        <v>0.03</v>
      </c>
      <c r="L38" s="41"/>
      <c r="M38" s="42">
        <v>1.59</v>
      </c>
      <c r="N38" s="42">
        <v>1.59</v>
      </c>
      <c r="O38" s="43">
        <v>282.42</v>
      </c>
      <c r="P38" s="44">
        <v>19458.740000000002</v>
      </c>
      <c r="Q38" s="44">
        <v>19458.740000000002</v>
      </c>
      <c r="R38" s="45">
        <v>0.12</v>
      </c>
      <c r="S38" s="46">
        <v>0</v>
      </c>
      <c r="T38" s="39">
        <f t="shared" si="18"/>
        <v>45</v>
      </c>
      <c r="U38" s="47">
        <f t="shared" si="19"/>
        <v>0.45930282566160152</v>
      </c>
      <c r="V38" s="48">
        <f t="shared" si="20"/>
        <v>0</v>
      </c>
      <c r="W38" s="49">
        <f t="shared" si="21"/>
        <v>1.0206729459146701E-2</v>
      </c>
      <c r="X38" s="44">
        <f t="shared" si="22"/>
        <v>731.96845845208475</v>
      </c>
      <c r="Y38" s="44">
        <f t="shared" si="23"/>
        <v>0</v>
      </c>
      <c r="Z38" s="44">
        <f t="shared" si="24"/>
        <v>13821.767271100307</v>
      </c>
      <c r="AA38" s="50">
        <f t="shared" si="25"/>
        <v>20190.708458452085</v>
      </c>
      <c r="AB38" s="51">
        <f t="shared" si="26"/>
        <v>12941.729654588302</v>
      </c>
      <c r="AC38" s="44">
        <f t="shared" si="27"/>
        <v>18905.157732633037</v>
      </c>
      <c r="AD38" s="44">
        <f t="shared" si="28"/>
        <v>15752.462413602112</v>
      </c>
      <c r="AE38" s="44">
        <f t="shared" si="29"/>
        <v>0</v>
      </c>
      <c r="AF38" s="52">
        <f>HLOOKUP(I38,GasAvoidedCostsWOCC!$A$5:$G$50,G38+1,FALSE)</f>
        <v>26.281560892700742</v>
      </c>
      <c r="AG38" s="44">
        <f t="shared" si="30"/>
        <v>7422.4384273165442</v>
      </c>
      <c r="AH38" s="52">
        <f>HLOOKUP(I38,GasAvoidedCostsWOCC!$A$5:$Q$50,T38+1,FALSE)</f>
        <v>26.281560892700742</v>
      </c>
      <c r="AI38" s="44">
        <f t="shared" si="31"/>
        <v>0</v>
      </c>
      <c r="AJ38" s="44">
        <f t="shared" si="32"/>
        <v>7422.4384273165442</v>
      </c>
      <c r="AK38" s="44">
        <f>HLOOKUP(I38,GasAvoidedCostsWOCC!$A$5:$Q$50,G38+1,FALSE)*J38*L38</f>
        <v>0</v>
      </c>
      <c r="AL38" s="44">
        <f t="shared" si="33"/>
        <v>7422.4384273165442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7422.4384273165442</v>
      </c>
      <c r="AN38" s="48">
        <f t="shared" si="34"/>
        <v>23917.144683650309</v>
      </c>
      <c r="AO38" s="47">
        <f t="shared" si="35"/>
        <v>0.57352754426337649</v>
      </c>
      <c r="AP38" s="47">
        <f t="shared" si="36"/>
        <v>1.2651121467432063</v>
      </c>
    </row>
    <row r="39" spans="2:42" x14ac:dyDescent="0.35">
      <c r="B39" s="97" t="s">
        <v>102</v>
      </c>
      <c r="C39" s="98">
        <v>18230661</v>
      </c>
      <c r="D39" s="61" t="s">
        <v>103</v>
      </c>
      <c r="E39" s="38" t="s">
        <v>1853</v>
      </c>
      <c r="F39" s="39" t="s">
        <v>1854</v>
      </c>
      <c r="G39" s="39"/>
      <c r="H39" s="39"/>
      <c r="I39" s="40"/>
      <c r="J39" s="41">
        <v>10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8"/>
        <v>0</v>
      </c>
      <c r="U39" s="47">
        <f t="shared" si="19"/>
        <v>0</v>
      </c>
      <c r="V39" s="48">
        <f t="shared" si="20"/>
        <v>0</v>
      </c>
      <c r="W39" s="49">
        <f t="shared" si="21"/>
        <v>0</v>
      </c>
      <c r="X39" s="44">
        <f t="shared" si="22"/>
        <v>0</v>
      </c>
      <c r="Y39" s="44">
        <f t="shared" si="23"/>
        <v>0</v>
      </c>
      <c r="Z39" s="44">
        <f t="shared" si="24"/>
        <v>0</v>
      </c>
      <c r="AA39" s="50">
        <f t="shared" si="25"/>
        <v>0</v>
      </c>
      <c r="AB39" s="51">
        <f t="shared" si="26"/>
        <v>0</v>
      </c>
      <c r="AC39" s="44">
        <f t="shared" si="27"/>
        <v>0</v>
      </c>
      <c r="AD39" s="44">
        <f t="shared" si="28"/>
        <v>0</v>
      </c>
      <c r="AE39" s="44">
        <f t="shared" si="29"/>
        <v>0</v>
      </c>
      <c r="AF39" s="52" t="e">
        <f>HLOOKUP(I39,GasAvoidedCostsWOCC!$A$5:$G$50,G39+1,FALSE)</f>
        <v>#N/A</v>
      </c>
      <c r="AG39" s="44" t="e">
        <f t="shared" si="30"/>
        <v>#N/A</v>
      </c>
      <c r="AH39" s="52" t="e">
        <f>HLOOKUP(I39,GasAvoidedCostsWOCC!$A$5:$Q$50,T39+1,FALSE)</f>
        <v>#N/A</v>
      </c>
      <c r="AI39" s="44" t="e">
        <f t="shared" si="31"/>
        <v>#N/A</v>
      </c>
      <c r="AJ39" s="44" t="e">
        <f t="shared" si="32"/>
        <v>#N/A</v>
      </c>
      <c r="AK39" s="44" t="e">
        <f>HLOOKUP(I39,GasAvoidedCostsWOCC!$A$5:$Q$50,G39+1,FALSE)*J39*L39</f>
        <v>#N/A</v>
      </c>
      <c r="AL39" s="44" t="e">
        <f t="shared" si="3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4"/>
        <v>0</v>
      </c>
      <c r="AO39" s="47">
        <f t="shared" si="35"/>
        <v>0</v>
      </c>
      <c r="AP39" s="47" t="e">
        <f t="shared" si="36"/>
        <v>#DIV/0!</v>
      </c>
    </row>
    <row r="40" spans="2:42" x14ac:dyDescent="0.35">
      <c r="B40" s="97" t="s">
        <v>102</v>
      </c>
      <c r="C40" s="98">
        <v>18230661</v>
      </c>
      <c r="D40" s="61" t="s">
        <v>103</v>
      </c>
      <c r="E40" s="38" t="s">
        <v>1857</v>
      </c>
      <c r="F40" s="39" t="s">
        <v>1858</v>
      </c>
      <c r="G40" s="39"/>
      <c r="H40" s="39"/>
      <c r="I40" s="40"/>
      <c r="J40" s="41">
        <v>10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0</v>
      </c>
      <c r="Q40" s="44">
        <v>0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0</v>
      </c>
      <c r="AB40" s="51">
        <f t="shared" si="26"/>
        <v>0</v>
      </c>
      <c r="AC40" s="44">
        <f t="shared" si="27"/>
        <v>0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</row>
    <row r="41" spans="2:42" x14ac:dyDescent="0.35">
      <c r="B41" s="97" t="s">
        <v>102</v>
      </c>
      <c r="C41" s="98">
        <v>18230661</v>
      </c>
      <c r="D41" s="61" t="s">
        <v>103</v>
      </c>
      <c r="E41" s="38" t="s">
        <v>1865</v>
      </c>
      <c r="F41" s="39" t="s">
        <v>1866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0</v>
      </c>
      <c r="Q41" s="44">
        <v>214.56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214.56</v>
      </c>
      <c r="Z41" s="44">
        <f t="shared" si="24"/>
        <v>0</v>
      </c>
      <c r="AA41" s="50">
        <f t="shared" si="25"/>
        <v>214.56</v>
      </c>
      <c r="AB41" s="51">
        <f t="shared" si="26"/>
        <v>0</v>
      </c>
      <c r="AC41" s="44">
        <f t="shared" si="27"/>
        <v>200.89887640449436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</row>
    <row r="42" spans="2:42" x14ac:dyDescent="0.35">
      <c r="B42" s="97" t="s">
        <v>102</v>
      </c>
      <c r="C42" s="98">
        <v>18230661</v>
      </c>
      <c r="D42" s="61" t="s">
        <v>103</v>
      </c>
      <c r="E42" s="38" t="s">
        <v>1871</v>
      </c>
      <c r="F42" s="39" t="s">
        <v>1872</v>
      </c>
      <c r="G42" s="39"/>
      <c r="H42" s="39"/>
      <c r="I42" s="40"/>
      <c r="J42" s="41">
        <v>5</v>
      </c>
      <c r="K42" s="41">
        <v>0</v>
      </c>
      <c r="L42" s="41"/>
      <c r="M42" s="42">
        <v>0</v>
      </c>
      <c r="N42" s="42">
        <v>0</v>
      </c>
      <c r="O42" s="43">
        <v>0</v>
      </c>
      <c r="P42" s="44">
        <v>0</v>
      </c>
      <c r="Q42" s="44">
        <v>935.26</v>
      </c>
      <c r="R42" s="45">
        <v>0</v>
      </c>
      <c r="S42" s="46">
        <v>0</v>
      </c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935.26</v>
      </c>
      <c r="Z42" s="44">
        <f t="shared" si="24"/>
        <v>0</v>
      </c>
      <c r="AA42" s="50">
        <f t="shared" si="25"/>
        <v>935.26</v>
      </c>
      <c r="AB42" s="51">
        <f t="shared" si="26"/>
        <v>0</v>
      </c>
      <c r="AC42" s="44">
        <f t="shared" si="27"/>
        <v>875.71161048689135</v>
      </c>
      <c r="AD42" s="44">
        <f t="shared" si="28"/>
        <v>0</v>
      </c>
      <c r="AE42" s="44">
        <f t="shared" si="29"/>
        <v>0</v>
      </c>
      <c r="AF42" s="52" t="e">
        <f>HLOOKUP(I42,GasAvoidedCostsWOCC!$A$5:$G$50,G42+1,FALSE)</f>
        <v>#N/A</v>
      </c>
      <c r="AG42" s="44" t="e">
        <f t="shared" si="30"/>
        <v>#N/A</v>
      </c>
      <c r="AH42" s="52" t="e">
        <f>HLOOKUP(I42,GasAvoidedCostsWOCC!$A$5:$Q$50,T42+1,FALSE)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HLOOKUP(I42,GasAvoidedCostsWOCC!$A$5:$Q$50,G42+1,FALSE)*J42*L42</f>
        <v>#N/A</v>
      </c>
      <c r="AL42" s="44" t="e">
        <f t="shared" si="3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4"/>
        <v>0</v>
      </c>
      <c r="AO42" s="47">
        <f t="shared" si="35"/>
        <v>0</v>
      </c>
      <c r="AP42" s="47">
        <f t="shared" si="36"/>
        <v>0</v>
      </c>
    </row>
    <row r="43" spans="2:42" x14ac:dyDescent="0.35">
      <c r="B43" s="97" t="s">
        <v>102</v>
      </c>
      <c r="C43" s="98">
        <v>18230661</v>
      </c>
      <c r="D43" s="61" t="s">
        <v>103</v>
      </c>
      <c r="E43" s="38" t="s">
        <v>1879</v>
      </c>
      <c r="F43" s="39" t="s">
        <v>1880</v>
      </c>
      <c r="G43" s="39"/>
      <c r="H43" s="39"/>
      <c r="I43" s="40"/>
      <c r="J43" s="41">
        <v>2</v>
      </c>
      <c r="K43" s="41">
        <v>0</v>
      </c>
      <c r="L43" s="41"/>
      <c r="M43" s="42">
        <v>0</v>
      </c>
      <c r="N43" s="42">
        <v>0</v>
      </c>
      <c r="O43" s="43">
        <v>0</v>
      </c>
      <c r="P43" s="44">
        <v>0</v>
      </c>
      <c r="Q43" s="44">
        <v>2361.94</v>
      </c>
      <c r="R43" s="45">
        <v>0</v>
      </c>
      <c r="S43" s="46">
        <v>0</v>
      </c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2361.94</v>
      </c>
      <c r="Z43" s="44">
        <f t="shared" si="24"/>
        <v>0</v>
      </c>
      <c r="AA43" s="50">
        <f t="shared" si="25"/>
        <v>2361.94</v>
      </c>
      <c r="AB43" s="51">
        <f t="shared" si="26"/>
        <v>0</v>
      </c>
      <c r="AC43" s="44">
        <f t="shared" si="27"/>
        <v>2211.5543071161046</v>
      </c>
      <c r="AD43" s="44">
        <f t="shared" si="28"/>
        <v>0</v>
      </c>
      <c r="AE43" s="44">
        <f t="shared" si="29"/>
        <v>0</v>
      </c>
      <c r="AF43" s="52" t="e">
        <f>HLOOKUP(I43,GasAvoidedCostsWOCC!$A$5:$G$50,G43+1,FALSE)</f>
        <v>#N/A</v>
      </c>
      <c r="AG43" s="44" t="e">
        <f t="shared" si="30"/>
        <v>#N/A</v>
      </c>
      <c r="AH43" s="52" t="e">
        <f>HLOOKUP(I43,GasAvoidedCostsWOCC!$A$5:$Q$50,T43+1,FALSE)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HLOOKUP(I43,GasAvoidedCostsWOCC!$A$5:$Q$50,G43+1,FALSE)*J43*L43</f>
        <v>#N/A</v>
      </c>
      <c r="AL43" s="44" t="e">
        <f t="shared" si="3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4"/>
        <v>0</v>
      </c>
      <c r="AO43" s="47">
        <f t="shared" si="35"/>
        <v>0</v>
      </c>
      <c r="AP43" s="47">
        <f t="shared" si="36"/>
        <v>0</v>
      </c>
    </row>
    <row r="44" spans="2:42" x14ac:dyDescent="0.35">
      <c r="B44" s="97" t="s">
        <v>102</v>
      </c>
      <c r="C44" s="98">
        <v>18230661</v>
      </c>
      <c r="D44" s="61" t="s">
        <v>103</v>
      </c>
      <c r="E44" s="38" t="s">
        <v>1885</v>
      </c>
      <c r="F44" s="39" t="s">
        <v>1886</v>
      </c>
      <c r="G44" s="39"/>
      <c r="H44" s="39"/>
      <c r="I44" s="40"/>
      <c r="J44" s="41">
        <v>2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HLOOKUP(I44,GasAvoidedCostsWOCC!$A$5:$G$50,G44+1,FALSE)</f>
        <v>#N/A</v>
      </c>
      <c r="AG44" s="44" t="e">
        <f t="shared" si="30"/>
        <v>#N/A</v>
      </c>
      <c r="AH44" s="52" t="e">
        <f>HLOOKUP(I44,GasAvoidedCostsWOCC!$A$5:$Q$50,T44+1,FALSE)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HLOOKUP(I44,GasAvoidedCostsWOCC!$A$5:$Q$50,G44+1,FALSE)*J44*L44</f>
        <v>#N/A</v>
      </c>
      <c r="AL44" s="44" t="e">
        <f t="shared" si="3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 x14ac:dyDescent="0.35">
      <c r="B45" s="97" t="s">
        <v>102</v>
      </c>
      <c r="C45" s="98">
        <v>18230661</v>
      </c>
      <c r="D45" s="61" t="s">
        <v>103</v>
      </c>
      <c r="E45" s="38" t="s">
        <v>1889</v>
      </c>
      <c r="F45" s="39" t="s">
        <v>1890</v>
      </c>
      <c r="G45" s="39"/>
      <c r="H45" s="39"/>
      <c r="I45" s="40"/>
      <c r="J45" s="41">
        <v>16</v>
      </c>
      <c r="K45" s="41">
        <v>0</v>
      </c>
      <c r="L45" s="41"/>
      <c r="M45" s="42">
        <v>0</v>
      </c>
      <c r="N45" s="42">
        <v>0</v>
      </c>
      <c r="O45" s="43">
        <v>0</v>
      </c>
      <c r="P45" s="44">
        <v>0</v>
      </c>
      <c r="Q45" s="44">
        <v>17353.04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17353.04</v>
      </c>
      <c r="Z45" s="44">
        <f t="shared" si="24"/>
        <v>0</v>
      </c>
      <c r="AA45" s="50">
        <f t="shared" si="25"/>
        <v>17353.04</v>
      </c>
      <c r="AB45" s="51">
        <f t="shared" si="26"/>
        <v>0</v>
      </c>
      <c r="AC45" s="44">
        <f t="shared" si="27"/>
        <v>16248.164794007491</v>
      </c>
      <c r="AD45" s="44">
        <f t="shared" si="28"/>
        <v>0</v>
      </c>
      <c r="AE45" s="44">
        <f t="shared" si="29"/>
        <v>0</v>
      </c>
      <c r="AF45" s="52" t="e">
        <f>HLOOKUP(I45,GasAvoidedCostsWOCC!$A$5:$G$50,G45+1,FALSE)</f>
        <v>#N/A</v>
      </c>
      <c r="AG45" s="44" t="e">
        <f t="shared" si="30"/>
        <v>#N/A</v>
      </c>
      <c r="AH45" s="52" t="e">
        <f>HLOOKUP(I45,GasAvoidedCostsWOCC!$A$5:$Q$50,T45+1,FALSE)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HLOOKUP(I45,GasAvoidedCostsWOCC!$A$5:$Q$50,G45+1,FALSE)*J45*L45</f>
        <v>#N/A</v>
      </c>
      <c r="AL45" s="44" t="e">
        <f t="shared" si="3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4"/>
        <v>0</v>
      </c>
      <c r="AO45" s="47">
        <f t="shared" si="35"/>
        <v>0</v>
      </c>
      <c r="AP45" s="47">
        <f t="shared" si="36"/>
        <v>0</v>
      </c>
    </row>
    <row r="46" spans="2:42" x14ac:dyDescent="0.35">
      <c r="B46" s="97" t="s">
        <v>102</v>
      </c>
      <c r="C46" s="98">
        <v>18230661</v>
      </c>
      <c r="D46" s="61" t="s">
        <v>103</v>
      </c>
      <c r="E46" s="38" t="s">
        <v>1893</v>
      </c>
      <c r="F46" s="39" t="s">
        <v>1894</v>
      </c>
      <c r="G46" s="39"/>
      <c r="H46" s="39"/>
      <c r="I46" s="40"/>
      <c r="J46" s="41">
        <v>10</v>
      </c>
      <c r="K46" s="41">
        <v>0</v>
      </c>
      <c r="L46" s="41"/>
      <c r="M46" s="42">
        <v>0</v>
      </c>
      <c r="N46" s="42">
        <v>0</v>
      </c>
      <c r="O46" s="43">
        <v>0</v>
      </c>
      <c r="P46" s="44">
        <v>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HLOOKUP(I46,GasAvoidedCostsWOCC!$A$5:$G$50,G46+1,FALSE)</f>
        <v>#N/A</v>
      </c>
      <c r="AG46" s="44" t="e">
        <f t="shared" si="30"/>
        <v>#N/A</v>
      </c>
      <c r="AH46" s="52" t="e">
        <f>HLOOKUP(I46,GasAvoidedCostsWOCC!$A$5:$Q$50,T46+1,FALSE)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HLOOKUP(I46,GasAvoidedCostsWOCC!$A$5:$Q$50,G46+1,FALSE)*J46*L46</f>
        <v>#N/A</v>
      </c>
      <c r="AL46" s="44" t="e">
        <f t="shared" si="3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 x14ac:dyDescent="0.35">
      <c r="B47" s="97" t="s">
        <v>102</v>
      </c>
      <c r="C47" s="98">
        <v>18230661</v>
      </c>
      <c r="D47" s="61" t="s">
        <v>103</v>
      </c>
      <c r="E47" s="38" t="s">
        <v>1897</v>
      </c>
      <c r="F47" s="39" t="s">
        <v>1898</v>
      </c>
      <c r="G47" s="39"/>
      <c r="H47" s="39"/>
      <c r="I47" s="40"/>
      <c r="J47" s="41">
        <v>10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5098.67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5098.67</v>
      </c>
      <c r="Z47" s="44">
        <f t="shared" si="24"/>
        <v>0</v>
      </c>
      <c r="AA47" s="50">
        <f t="shared" si="25"/>
        <v>5098.67</v>
      </c>
      <c r="AB47" s="51">
        <f t="shared" si="26"/>
        <v>0</v>
      </c>
      <c r="AC47" s="44">
        <f t="shared" si="27"/>
        <v>4774.0355805243444</v>
      </c>
      <c r="AD47" s="44">
        <f t="shared" si="28"/>
        <v>0</v>
      </c>
      <c r="AE47" s="44">
        <f t="shared" si="29"/>
        <v>0</v>
      </c>
      <c r="AF47" s="52" t="e">
        <f>HLOOKUP(I47,GasAvoidedCostsWOCC!$A$5:$G$50,G47+1,FALSE)</f>
        <v>#N/A</v>
      </c>
      <c r="AG47" s="44" t="e">
        <f t="shared" si="30"/>
        <v>#N/A</v>
      </c>
      <c r="AH47" s="52" t="e">
        <f>HLOOKUP(I47,GasAvoidedCostsWOCC!$A$5:$Q$50,T47+1,FALSE)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HLOOKUP(I47,GasAvoidedCostsWOCC!$A$5:$Q$50,G47+1,FALSE)*J47*L47</f>
        <v>#N/A</v>
      </c>
      <c r="AL47" s="44" t="e">
        <f t="shared" si="3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4"/>
        <v>0</v>
      </c>
      <c r="AO47" s="47">
        <f t="shared" si="35"/>
        <v>0</v>
      </c>
      <c r="AP47" s="47">
        <f t="shared" si="36"/>
        <v>0</v>
      </c>
    </row>
    <row r="48" spans="2:42" x14ac:dyDescent="0.35">
      <c r="B48" s="97" t="s">
        <v>102</v>
      </c>
      <c r="C48" s="98">
        <v>18230661</v>
      </c>
      <c r="D48" s="61" t="s">
        <v>103</v>
      </c>
      <c r="E48" s="38" t="s">
        <v>1901</v>
      </c>
      <c r="F48" s="39" t="s">
        <v>1902</v>
      </c>
      <c r="G48" s="39"/>
      <c r="H48" s="39"/>
      <c r="I48" s="40"/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0</v>
      </c>
      <c r="Q48" s="44">
        <v>0</v>
      </c>
      <c r="R48" s="45">
        <v>0</v>
      </c>
      <c r="S48" s="46">
        <v>0</v>
      </c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HLOOKUP(I48,GasAvoidedCostsWOCC!$A$5:$G$50,G48+1,FALSE)</f>
        <v>#N/A</v>
      </c>
      <c r="AG48" s="44" t="e">
        <f t="shared" si="30"/>
        <v>#N/A</v>
      </c>
      <c r="AH48" s="52" t="e">
        <f>HLOOKUP(I48,GasAvoidedCostsWOCC!$A$5:$Q$50,T48+1,FALSE)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HLOOKUP(I48,GasAvoidedCostsWOCC!$A$5:$Q$50,G48+1,FALSE)*J48*L48</f>
        <v>#N/A</v>
      </c>
      <c r="AL48" s="44" t="e">
        <f t="shared" si="3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 x14ac:dyDescent="0.35">
      <c r="B49" s="97" t="s">
        <v>102</v>
      </c>
      <c r="C49" s="98">
        <v>18230661</v>
      </c>
      <c r="D49" s="61" t="s">
        <v>103</v>
      </c>
      <c r="E49" s="38" t="s">
        <v>1905</v>
      </c>
      <c r="F49" s="39" t="s">
        <v>1906</v>
      </c>
      <c r="G49" s="39"/>
      <c r="H49" s="39"/>
      <c r="I49" s="40"/>
      <c r="J49" s="41">
        <v>1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0</v>
      </c>
      <c r="Q49" s="44">
        <v>0</v>
      </c>
      <c r="R49" s="45">
        <v>0</v>
      </c>
      <c r="S49" s="46">
        <v>0</v>
      </c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HLOOKUP(I49,GasAvoidedCostsWOCC!$A$5:$G$50,G49+1,FALSE)</f>
        <v>#N/A</v>
      </c>
      <c r="AG49" s="44" t="e">
        <f t="shared" si="30"/>
        <v>#N/A</v>
      </c>
      <c r="AH49" s="52" t="e">
        <f>HLOOKUP(I49,GasAvoidedCostsWOCC!$A$5:$Q$50,T49+1,FALSE)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HLOOKUP(I49,GasAvoidedCostsWOCC!$A$5:$Q$50,G49+1,FALSE)*J49*L49</f>
        <v>#N/A</v>
      </c>
      <c r="AL49" s="44" t="e">
        <f t="shared" si="3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 x14ac:dyDescent="0.35">
      <c r="B50" s="97" t="s">
        <v>102</v>
      </c>
      <c r="C50" s="98">
        <v>18230661</v>
      </c>
      <c r="D50" s="61" t="s">
        <v>103</v>
      </c>
      <c r="E50" s="38" t="s">
        <v>1909</v>
      </c>
      <c r="F50" s="39" t="s">
        <v>1910</v>
      </c>
      <c r="G50" s="39"/>
      <c r="H50" s="39"/>
      <c r="I50" s="40"/>
      <c r="J50" s="41">
        <v>7</v>
      </c>
      <c r="K50" s="41">
        <v>0</v>
      </c>
      <c r="L50" s="41"/>
      <c r="M50" s="42">
        <v>0</v>
      </c>
      <c r="N50" s="42">
        <v>0</v>
      </c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HLOOKUP(I50,GasAvoidedCostsWOCC!$A$5:$G$50,G50+1,FALSE)</f>
        <v>#N/A</v>
      </c>
      <c r="AG50" s="44" t="e">
        <f t="shared" si="30"/>
        <v>#N/A</v>
      </c>
      <c r="AH50" s="52" t="e">
        <f>HLOOKUP(I50,GasAvoidedCostsWOCC!$A$5:$Q$50,T50+1,FALSE)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HLOOKUP(I50,GasAvoidedCostsWOCC!$A$5:$Q$50,G50+1,FALSE)*J50*L50</f>
        <v>#N/A</v>
      </c>
      <c r="AL50" s="44" t="e">
        <f t="shared" si="3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 x14ac:dyDescent="0.35">
      <c r="B51" s="97" t="s">
        <v>102</v>
      </c>
      <c r="C51" s="98">
        <v>18230661</v>
      </c>
      <c r="D51" s="61" t="s">
        <v>103</v>
      </c>
      <c r="E51" s="38" t="s">
        <v>1913</v>
      </c>
      <c r="F51" s="39" t="s">
        <v>1914</v>
      </c>
      <c r="G51" s="39"/>
      <c r="H51" s="39"/>
      <c r="I51" s="40"/>
      <c r="J51" s="41">
        <v>17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0</v>
      </c>
      <c r="Q51" s="44">
        <v>30997.61</v>
      </c>
      <c r="R51" s="45">
        <v>0</v>
      </c>
      <c r="S51" s="46">
        <v>0</v>
      </c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30997.61</v>
      </c>
      <c r="Z51" s="44">
        <f t="shared" si="24"/>
        <v>0</v>
      </c>
      <c r="AA51" s="50">
        <f t="shared" si="25"/>
        <v>30997.61</v>
      </c>
      <c r="AB51" s="51">
        <f t="shared" si="26"/>
        <v>0</v>
      </c>
      <c r="AC51" s="44">
        <f t="shared" si="27"/>
        <v>29023.979400749064</v>
      </c>
      <c r="AD51" s="44">
        <f t="shared" si="28"/>
        <v>0</v>
      </c>
      <c r="AE51" s="44">
        <f t="shared" si="29"/>
        <v>0</v>
      </c>
      <c r="AF51" s="52" t="e">
        <f>HLOOKUP(I51,GasAvoidedCostsWOCC!$A$5:$G$50,G51+1,FALSE)</f>
        <v>#N/A</v>
      </c>
      <c r="AG51" s="44" t="e">
        <f t="shared" si="30"/>
        <v>#N/A</v>
      </c>
      <c r="AH51" s="52" t="e">
        <f>HLOOKUP(I51,GasAvoidedCostsWOCC!$A$5:$Q$50,T51+1,FALSE)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HLOOKUP(I51,GasAvoidedCostsWOCC!$A$5:$Q$50,G51+1,FALSE)*J51*L51</f>
        <v>#N/A</v>
      </c>
      <c r="AL51" s="44" t="e">
        <f t="shared" si="3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</row>
    <row r="52" spans="2:42" x14ac:dyDescent="0.35">
      <c r="B52" s="97" t="s">
        <v>102</v>
      </c>
      <c r="C52" s="98">
        <v>18230661</v>
      </c>
      <c r="D52" s="61" t="s">
        <v>103</v>
      </c>
      <c r="E52" s="38" t="s">
        <v>1917</v>
      </c>
      <c r="F52" s="39" t="s">
        <v>1918</v>
      </c>
      <c r="G52" s="39"/>
      <c r="H52" s="39"/>
      <c r="I52" s="40"/>
      <c r="J52" s="41">
        <v>9</v>
      </c>
      <c r="K52" s="41">
        <v>0</v>
      </c>
      <c r="L52" s="41"/>
      <c r="M52" s="42">
        <v>0</v>
      </c>
      <c r="N52" s="42">
        <v>0</v>
      </c>
      <c r="O52" s="43">
        <v>0</v>
      </c>
      <c r="P52" s="44">
        <v>0</v>
      </c>
      <c r="Q52" s="44">
        <v>0</v>
      </c>
      <c r="R52" s="45">
        <v>0</v>
      </c>
      <c r="S52" s="46">
        <v>0</v>
      </c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HLOOKUP(I52,GasAvoidedCostsWOCC!$A$5:$G$50,G52+1,FALSE)</f>
        <v>#N/A</v>
      </c>
      <c r="AG52" s="44" t="e">
        <f t="shared" si="30"/>
        <v>#N/A</v>
      </c>
      <c r="AH52" s="52" t="e">
        <f>HLOOKUP(I52,GasAvoidedCostsWOCC!$A$5:$Q$50,T52+1,FALSE)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HLOOKUP(I52,GasAvoidedCostsWOCC!$A$5:$Q$50,G52+1,FALSE)*J52*L52</f>
        <v>#N/A</v>
      </c>
      <c r="AL52" s="44" t="e">
        <f t="shared" si="3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 x14ac:dyDescent="0.35">
      <c r="B53" s="97" t="s">
        <v>102</v>
      </c>
      <c r="C53" s="98">
        <v>18230661</v>
      </c>
      <c r="D53" s="61" t="s">
        <v>103</v>
      </c>
      <c r="E53" s="38" t="s">
        <v>1921</v>
      </c>
      <c r="F53" s="39" t="s">
        <v>1922</v>
      </c>
      <c r="G53" s="39"/>
      <c r="H53" s="39"/>
      <c r="I53" s="40"/>
      <c r="J53" s="41">
        <v>13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6827.6</v>
      </c>
      <c r="R53" s="45">
        <v>0</v>
      </c>
      <c r="S53" s="46">
        <v>0</v>
      </c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6827.6</v>
      </c>
      <c r="Z53" s="44">
        <f t="shared" si="24"/>
        <v>0</v>
      </c>
      <c r="AA53" s="50">
        <f t="shared" si="25"/>
        <v>6827.6</v>
      </c>
      <c r="AB53" s="51">
        <f t="shared" si="26"/>
        <v>0</v>
      </c>
      <c r="AC53" s="44">
        <f t="shared" si="27"/>
        <v>6392.8838951310863</v>
      </c>
      <c r="AD53" s="44">
        <f t="shared" si="28"/>
        <v>0</v>
      </c>
      <c r="AE53" s="44">
        <f t="shared" si="29"/>
        <v>0</v>
      </c>
      <c r="AF53" s="52" t="e">
        <f>HLOOKUP(I53,GasAvoidedCostsWOCC!$A$5:$G$50,G53+1,FALSE)</f>
        <v>#N/A</v>
      </c>
      <c r="AG53" s="44" t="e">
        <f t="shared" si="30"/>
        <v>#N/A</v>
      </c>
      <c r="AH53" s="52" t="e">
        <f>HLOOKUP(I53,GasAvoidedCostsWOCC!$A$5:$Q$50,T53+1,FALSE)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HLOOKUP(I53,GasAvoidedCostsWOCC!$A$5:$Q$50,G53+1,FALSE)*J53*L53</f>
        <v>#N/A</v>
      </c>
      <c r="AL53" s="44" t="e">
        <f t="shared" si="3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</row>
    <row r="54" spans="2:42" x14ac:dyDescent="0.35">
      <c r="B54" s="97" t="s">
        <v>102</v>
      </c>
      <c r="C54" s="98">
        <v>18230661</v>
      </c>
      <c r="D54" s="61" t="s">
        <v>103</v>
      </c>
      <c r="E54" s="38" t="s">
        <v>1925</v>
      </c>
      <c r="F54" s="39" t="s">
        <v>1926</v>
      </c>
      <c r="G54" s="39"/>
      <c r="H54" s="39"/>
      <c r="I54" s="40"/>
      <c r="J54" s="41">
        <v>1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0</v>
      </c>
      <c r="Q54" s="44">
        <v>0</v>
      </c>
      <c r="R54" s="45">
        <v>0</v>
      </c>
      <c r="S54" s="46">
        <v>0</v>
      </c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HLOOKUP(I54,GasAvoidedCostsWOCC!$A$5:$G$50,G54+1,FALSE)</f>
        <v>#N/A</v>
      </c>
      <c r="AG54" s="44" t="e">
        <f t="shared" si="30"/>
        <v>#N/A</v>
      </c>
      <c r="AH54" s="52" t="e">
        <f>HLOOKUP(I54,GasAvoidedCostsWOCC!$A$5:$Q$50,T54+1,FALSE)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HLOOKUP(I54,GasAvoidedCostsWOCC!$A$5:$Q$50,G54+1,FALSE)*J54*L54</f>
        <v>#N/A</v>
      </c>
      <c r="AL54" s="44" t="e">
        <f t="shared" si="3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 x14ac:dyDescent="0.35">
      <c r="B55" s="97" t="s">
        <v>102</v>
      </c>
      <c r="C55" s="98">
        <v>18230661</v>
      </c>
      <c r="D55" s="61" t="s">
        <v>103</v>
      </c>
      <c r="E55" s="38" t="s">
        <v>1927</v>
      </c>
      <c r="F55" s="39" t="s">
        <v>1928</v>
      </c>
      <c r="G55" s="39"/>
      <c r="H55" s="39"/>
      <c r="I55" s="40"/>
      <c r="J55" s="41">
        <v>3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39589.75</v>
      </c>
      <c r="R55" s="45">
        <v>0</v>
      </c>
      <c r="S55" s="46">
        <v>0</v>
      </c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39589.75</v>
      </c>
      <c r="Z55" s="44">
        <f t="shared" si="24"/>
        <v>0</v>
      </c>
      <c r="AA55" s="50">
        <f t="shared" si="25"/>
        <v>39589.75</v>
      </c>
      <c r="AB55" s="51">
        <f t="shared" si="26"/>
        <v>0</v>
      </c>
      <c r="AC55" s="44">
        <f t="shared" si="27"/>
        <v>37069.054307116101</v>
      </c>
      <c r="AD55" s="44">
        <f t="shared" si="28"/>
        <v>0</v>
      </c>
      <c r="AE55" s="44">
        <f t="shared" si="29"/>
        <v>0</v>
      </c>
      <c r="AF55" s="52" t="e">
        <f>HLOOKUP(I55,GasAvoidedCostsWOCC!$A$5:$G$50,G55+1,FALSE)</f>
        <v>#N/A</v>
      </c>
      <c r="AG55" s="44" t="e">
        <f t="shared" si="30"/>
        <v>#N/A</v>
      </c>
      <c r="AH55" s="52" t="e">
        <f>HLOOKUP(I55,GasAvoidedCostsWOCC!$A$5:$Q$50,T55+1,FALSE)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HLOOKUP(I55,GasAvoidedCostsWOCC!$A$5:$Q$50,G55+1,FALSE)*J55*L55</f>
        <v>#N/A</v>
      </c>
      <c r="AL55" s="44" t="e">
        <f t="shared" si="3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4"/>
        <v>0</v>
      </c>
      <c r="AO55" s="47">
        <f t="shared" si="35"/>
        <v>0</v>
      </c>
      <c r="AP55" s="47">
        <f t="shared" si="36"/>
        <v>0</v>
      </c>
    </row>
    <row r="56" spans="2:42" x14ac:dyDescent="0.35">
      <c r="B56" s="97" t="s">
        <v>102</v>
      </c>
      <c r="C56" s="98">
        <v>18230661</v>
      </c>
      <c r="D56" s="61" t="s">
        <v>103</v>
      </c>
      <c r="E56" s="38" t="s">
        <v>1931</v>
      </c>
      <c r="F56" s="39" t="s">
        <v>1932</v>
      </c>
      <c r="G56" s="39"/>
      <c r="H56" s="39"/>
      <c r="I56" s="40"/>
      <c r="J56" s="41">
        <v>8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0</v>
      </c>
      <c r="R56" s="45">
        <v>0</v>
      </c>
      <c r="S56" s="46">
        <v>0</v>
      </c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HLOOKUP(I56,GasAvoidedCostsWOCC!$A$5:$G$50,G56+1,FALSE)</f>
        <v>#N/A</v>
      </c>
      <c r="AG56" s="44" t="e">
        <f t="shared" si="30"/>
        <v>#N/A</v>
      </c>
      <c r="AH56" s="52" t="e">
        <f>HLOOKUP(I56,GasAvoidedCostsWOCC!$A$5:$Q$50,T56+1,FALSE)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HLOOKUP(I56,GasAvoidedCostsWOCC!$A$5:$Q$50,G56+1,FALSE)*J56*L56</f>
        <v>#N/A</v>
      </c>
      <c r="AL56" s="44" t="e">
        <f t="shared" si="3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 x14ac:dyDescent="0.35">
      <c r="B57" s="97" t="s">
        <v>102</v>
      </c>
      <c r="C57" s="98">
        <v>18230661</v>
      </c>
      <c r="D57" s="61" t="s">
        <v>103</v>
      </c>
      <c r="E57" s="38" t="s">
        <v>1935</v>
      </c>
      <c r="F57" s="39" t="s">
        <v>1936</v>
      </c>
      <c r="G57" s="39"/>
      <c r="H57" s="39"/>
      <c r="I57" s="40"/>
      <c r="J57" s="41">
        <v>7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9063.7999999999993</v>
      </c>
      <c r="R57" s="45">
        <v>0</v>
      </c>
      <c r="S57" s="46">
        <v>0</v>
      </c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9063.7999999999993</v>
      </c>
      <c r="Z57" s="44">
        <f t="shared" si="24"/>
        <v>0</v>
      </c>
      <c r="AA57" s="50">
        <f t="shared" si="25"/>
        <v>9063.7999999999993</v>
      </c>
      <c r="AB57" s="51">
        <f t="shared" si="26"/>
        <v>0</v>
      </c>
      <c r="AC57" s="44">
        <f t="shared" si="27"/>
        <v>8486.7041198501865</v>
      </c>
      <c r="AD57" s="44">
        <f t="shared" si="28"/>
        <v>0</v>
      </c>
      <c r="AE57" s="44">
        <f t="shared" si="29"/>
        <v>0</v>
      </c>
      <c r="AF57" s="52" t="e">
        <f>HLOOKUP(I57,GasAvoidedCostsWOCC!$A$5:$G$50,G57+1,FALSE)</f>
        <v>#N/A</v>
      </c>
      <c r="AG57" s="44" t="e">
        <f t="shared" si="30"/>
        <v>#N/A</v>
      </c>
      <c r="AH57" s="52" t="e">
        <f>HLOOKUP(I57,GasAvoidedCostsWOCC!$A$5:$Q$50,T57+1,FALSE)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HLOOKUP(I57,GasAvoidedCostsWOCC!$A$5:$Q$50,G57+1,FALSE)*J57*L57</f>
        <v>#N/A</v>
      </c>
      <c r="AL57" s="44" t="e">
        <f t="shared" si="3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4"/>
        <v>0</v>
      </c>
      <c r="AO57" s="47">
        <f t="shared" si="35"/>
        <v>0</v>
      </c>
      <c r="AP57" s="47">
        <f t="shared" si="36"/>
        <v>0</v>
      </c>
    </row>
    <row r="58" spans="2:42" x14ac:dyDescent="0.35">
      <c r="B58" s="97" t="s">
        <v>102</v>
      </c>
      <c r="C58" s="98">
        <v>18230661</v>
      </c>
      <c r="D58" s="61" t="s">
        <v>103</v>
      </c>
      <c r="E58" s="38" t="s">
        <v>1941</v>
      </c>
      <c r="F58" s="39" t="s">
        <v>1942</v>
      </c>
      <c r="G58" s="39"/>
      <c r="H58" s="39"/>
      <c r="I58" s="40"/>
      <c r="J58" s="41">
        <v>1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HLOOKUP(I58,GasAvoidedCostsWOCC!$A$5:$G$50,G58+1,FALSE)</f>
        <v>#N/A</v>
      </c>
      <c r="AG58" s="44" t="e">
        <f t="shared" si="30"/>
        <v>#N/A</v>
      </c>
      <c r="AH58" s="52" t="e">
        <f>HLOOKUP(I58,GasAvoidedCostsWOCC!$A$5:$Q$50,T58+1,FALSE)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HLOOKUP(I58,GasAvoidedCostsWOCC!$A$5:$Q$50,G58+1,FALSE)*J58*L58</f>
        <v>#N/A</v>
      </c>
      <c r="AL58" s="44" t="e">
        <f t="shared" si="3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 x14ac:dyDescent="0.35">
      <c r="B59" s="97" t="s">
        <v>102</v>
      </c>
      <c r="C59" s="98">
        <v>18230661</v>
      </c>
      <c r="D59" s="61" t="s">
        <v>103</v>
      </c>
      <c r="E59" s="38" t="s">
        <v>1949</v>
      </c>
      <c r="F59" s="39" t="s">
        <v>1950</v>
      </c>
      <c r="G59" s="39"/>
      <c r="H59" s="39"/>
      <c r="I59" s="40"/>
      <c r="J59" s="41">
        <v>18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0</v>
      </c>
      <c r="Q59" s="44">
        <v>0</v>
      </c>
      <c r="R59" s="45">
        <v>0</v>
      </c>
      <c r="S59" s="46">
        <v>0</v>
      </c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HLOOKUP(I59,GasAvoidedCostsWOCC!$A$5:$G$50,G59+1,FALSE)</f>
        <v>#N/A</v>
      </c>
      <c r="AG59" s="44" t="e">
        <f t="shared" si="30"/>
        <v>#N/A</v>
      </c>
      <c r="AH59" s="52" t="e">
        <f>HLOOKUP(I59,GasAvoidedCostsWOCC!$A$5:$Q$50,T59+1,FALSE)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HLOOKUP(I59,GasAvoidedCostsWOCC!$A$5:$Q$50,G59+1,FALSE)*J59*L59</f>
        <v>#N/A</v>
      </c>
      <c r="AL59" s="44" t="e">
        <f t="shared" si="3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 x14ac:dyDescent="0.35">
      <c r="B60" s="97" t="s">
        <v>102</v>
      </c>
      <c r="C60" s="98">
        <v>18230661</v>
      </c>
      <c r="D60" s="61" t="s">
        <v>103</v>
      </c>
      <c r="E60" s="38" t="s">
        <v>1959</v>
      </c>
      <c r="F60" s="39" t="s">
        <v>1960</v>
      </c>
      <c r="G60" s="39">
        <v>25</v>
      </c>
      <c r="H60" s="39"/>
      <c r="I60" s="40" t="s">
        <v>274</v>
      </c>
      <c r="J60" s="41">
        <v>4221</v>
      </c>
      <c r="K60" s="41">
        <v>0.02</v>
      </c>
      <c r="L60" s="41"/>
      <c r="M60" s="42">
        <v>1.1499999999999999</v>
      </c>
      <c r="N60" s="42">
        <v>1.1499999999999999</v>
      </c>
      <c r="O60" s="43">
        <v>84.42</v>
      </c>
      <c r="P60" s="44">
        <v>6310.39</v>
      </c>
      <c r="Q60" s="44">
        <v>6310.39</v>
      </c>
      <c r="R60" s="45">
        <v>0.21</v>
      </c>
      <c r="S60" s="46">
        <v>0</v>
      </c>
      <c r="T60" s="39">
        <f t="shared" si="18"/>
        <v>25</v>
      </c>
      <c r="U60" s="47">
        <f t="shared" si="19"/>
        <v>7.6273998029633569E-2</v>
      </c>
      <c r="V60" s="48">
        <f t="shared" si="20"/>
        <v>0</v>
      </c>
      <c r="W60" s="49">
        <f t="shared" si="21"/>
        <v>3.0509599211853426E-3</v>
      </c>
      <c r="X60" s="44">
        <f t="shared" si="22"/>
        <v>218.79745507586216</v>
      </c>
      <c r="Y60" s="44">
        <f t="shared" si="23"/>
        <v>0</v>
      </c>
      <c r="Z60" s="44">
        <f t="shared" si="24"/>
        <v>4131.5543977986254</v>
      </c>
      <c r="AA60" s="50">
        <f t="shared" si="25"/>
        <v>6529.1874550758621</v>
      </c>
      <c r="AB60" s="51">
        <f t="shared" si="26"/>
        <v>3868.4966271522708</v>
      </c>
      <c r="AC60" s="44">
        <f t="shared" si="27"/>
        <v>6113.471399883766</v>
      </c>
      <c r="AD60" s="44">
        <f t="shared" si="28"/>
        <v>10518.666028313894</v>
      </c>
      <c r="AE60" s="44">
        <f t="shared" si="29"/>
        <v>0</v>
      </c>
      <c r="AF60" s="52">
        <f>HLOOKUP(I60,GasAvoidedCostsWOCC!$A$5:$G$50,G60+1,FALSE)</f>
        <v>16.143326773708047</v>
      </c>
      <c r="AG60" s="44">
        <f t="shared" si="30"/>
        <v>1362.8196462364335</v>
      </c>
      <c r="AH60" s="52">
        <f>HLOOKUP(I60,GasAvoidedCostsWOCC!$A$5:$Q$50,T60+1,FALSE)</f>
        <v>16.143326773708047</v>
      </c>
      <c r="AI60" s="44">
        <f t="shared" si="31"/>
        <v>0</v>
      </c>
      <c r="AJ60" s="44">
        <f t="shared" si="32"/>
        <v>1362.8196462364335</v>
      </c>
      <c r="AK60" s="44">
        <f>HLOOKUP(I60,GasAvoidedCostsWOCC!$A$5:$Q$50,G60+1,FALSE)*J60*L60</f>
        <v>0</v>
      </c>
      <c r="AL60" s="44">
        <f t="shared" si="33"/>
        <v>1362.8196462364335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1362.8196462364333</v>
      </c>
      <c r="AN60" s="48">
        <f t="shared" si="34"/>
        <v>12017.76763917397</v>
      </c>
      <c r="AO60" s="47">
        <f t="shared" si="35"/>
        <v>0.35228663162610802</v>
      </c>
      <c r="AP60" s="47">
        <f t="shared" si="36"/>
        <v>1.9657845523580042</v>
      </c>
    </row>
    <row r="61" spans="2:42" x14ac:dyDescent="0.35">
      <c r="B61" s="97" t="s">
        <v>102</v>
      </c>
      <c r="C61" s="98">
        <v>18230661</v>
      </c>
      <c r="D61" s="61" t="s">
        <v>103</v>
      </c>
      <c r="E61" s="38" t="s">
        <v>1961</v>
      </c>
      <c r="F61" s="39" t="s">
        <v>1962</v>
      </c>
      <c r="G61" s="39"/>
      <c r="H61" s="39"/>
      <c r="I61" s="40"/>
      <c r="J61" s="41">
        <v>4095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8183.83</v>
      </c>
      <c r="R61" s="45">
        <v>0</v>
      </c>
      <c r="S61" s="46">
        <v>0</v>
      </c>
      <c r="T61" s="39">
        <f t="shared" si="18"/>
        <v>0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8183.83</v>
      </c>
      <c r="Z61" s="44">
        <f t="shared" si="24"/>
        <v>0</v>
      </c>
      <c r="AA61" s="50">
        <f t="shared" si="25"/>
        <v>8183.83</v>
      </c>
      <c r="AB61" s="51">
        <f t="shared" si="26"/>
        <v>0</v>
      </c>
      <c r="AC61" s="44">
        <f t="shared" si="27"/>
        <v>7662.7621722846434</v>
      </c>
      <c r="AD61" s="44">
        <f t="shared" si="28"/>
        <v>0</v>
      </c>
      <c r="AE61" s="44">
        <f t="shared" si="29"/>
        <v>0</v>
      </c>
      <c r="AF61" s="52" t="e">
        <f>HLOOKUP(I61,GasAvoidedCostsWOCC!$A$5:$G$50,G61+1,FALSE)</f>
        <v>#N/A</v>
      </c>
      <c r="AG61" s="44" t="e">
        <f t="shared" si="30"/>
        <v>#N/A</v>
      </c>
      <c r="AH61" s="52" t="e">
        <f>HLOOKUP(I61,GasAvoidedCostsWOCC!$A$5:$Q$50,T61+1,FALSE)</f>
        <v>#N/A</v>
      </c>
      <c r="AI61" s="44" t="e">
        <f t="shared" si="31"/>
        <v>#N/A</v>
      </c>
      <c r="AJ61" s="44" t="e">
        <f t="shared" si="32"/>
        <v>#N/A</v>
      </c>
      <c r="AK61" s="44" t="e">
        <f>HLOOKUP(I61,GasAvoidedCostsWOCC!$A$5:$Q$50,G61+1,FALSE)*J61*L61</f>
        <v>#N/A</v>
      </c>
      <c r="AL61" s="44" t="e">
        <f t="shared" si="3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</row>
    <row r="62" spans="2:42" x14ac:dyDescent="0.35">
      <c r="B62" s="97" t="s">
        <v>102</v>
      </c>
      <c r="C62" s="98">
        <v>18230661</v>
      </c>
      <c r="D62" s="61" t="s">
        <v>103</v>
      </c>
      <c r="E62" s="38" t="s">
        <v>1965</v>
      </c>
      <c r="F62" s="39" t="s">
        <v>1966</v>
      </c>
      <c r="G62" s="39">
        <v>15</v>
      </c>
      <c r="H62" s="39"/>
      <c r="I62" s="40" t="s">
        <v>274</v>
      </c>
      <c r="J62" s="41">
        <v>69289</v>
      </c>
      <c r="K62" s="41">
        <v>0.01</v>
      </c>
      <c r="L62" s="41"/>
      <c r="M62" s="42">
        <v>1.32</v>
      </c>
      <c r="N62" s="42">
        <v>1.32</v>
      </c>
      <c r="O62" s="43">
        <v>692.89</v>
      </c>
      <c r="P62" s="44">
        <v>120797.25</v>
      </c>
      <c r="Q62" s="44">
        <v>120797.25</v>
      </c>
      <c r="R62" s="45">
        <v>0.05</v>
      </c>
      <c r="S62" s="46">
        <v>0</v>
      </c>
      <c r="T62" s="39">
        <f t="shared" si="18"/>
        <v>15</v>
      </c>
      <c r="U62" s="47">
        <f t="shared" si="19"/>
        <v>0.37561826933015496</v>
      </c>
      <c r="V62" s="48">
        <f t="shared" si="20"/>
        <v>0</v>
      </c>
      <c r="W62" s="49">
        <f t="shared" si="21"/>
        <v>2.5041217955343663E-2</v>
      </c>
      <c r="X62" s="44">
        <f t="shared" si="22"/>
        <v>1795.8134168149031</v>
      </c>
      <c r="Y62" s="44">
        <f t="shared" si="23"/>
        <v>0</v>
      </c>
      <c r="Z62" s="44">
        <f t="shared" si="24"/>
        <v>33910.361604959602</v>
      </c>
      <c r="AA62" s="50">
        <f t="shared" si="25"/>
        <v>122593.0634168149</v>
      </c>
      <c r="AB62" s="51">
        <f t="shared" si="26"/>
        <v>31751.27491101086</v>
      </c>
      <c r="AC62" s="44">
        <f t="shared" si="27"/>
        <v>114787.51256256076</v>
      </c>
      <c r="AD62" s="44">
        <f t="shared" si="28"/>
        <v>31956.411010465992</v>
      </c>
      <c r="AE62" s="44">
        <f t="shared" si="29"/>
        <v>0</v>
      </c>
      <c r="AF62" s="52">
        <f>HLOOKUP(I62,GasAvoidedCostsWOCC!$A$5:$G$50,G62+1,FALSE)</f>
        <v>10.911258270506563</v>
      </c>
      <c r="AG62" s="44">
        <f t="shared" si="30"/>
        <v>7560.3017430512919</v>
      </c>
      <c r="AH62" s="52">
        <f>HLOOKUP(I62,GasAvoidedCostsWOCC!$A$5:$Q$50,T62+1,FALSE)</f>
        <v>10.911258270506563</v>
      </c>
      <c r="AI62" s="44">
        <f t="shared" si="31"/>
        <v>0</v>
      </c>
      <c r="AJ62" s="44">
        <f t="shared" si="32"/>
        <v>7560.3017430512919</v>
      </c>
      <c r="AK62" s="44">
        <f>HLOOKUP(I62,GasAvoidedCostsWOCC!$A$5:$Q$50,G62+1,FALSE)*J62*L62</f>
        <v>0</v>
      </c>
      <c r="AL62" s="44">
        <f t="shared" si="33"/>
        <v>7560.3017430512919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7560.3017430512928</v>
      </c>
      <c r="AN62" s="48">
        <f t="shared" si="34"/>
        <v>40272.742927822415</v>
      </c>
      <c r="AO62" s="47">
        <f t="shared" si="35"/>
        <v>0.23811017870118642</v>
      </c>
      <c r="AP62" s="47">
        <f t="shared" si="36"/>
        <v>0.35084602870781106</v>
      </c>
    </row>
    <row r="63" spans="2:42" x14ac:dyDescent="0.35">
      <c r="B63" s="97" t="s">
        <v>102</v>
      </c>
      <c r="C63" s="98">
        <v>18230661</v>
      </c>
      <c r="D63" s="61" t="s">
        <v>103</v>
      </c>
      <c r="E63" s="38" t="s">
        <v>1969</v>
      </c>
      <c r="F63" s="39" t="s">
        <v>1970</v>
      </c>
      <c r="G63" s="39"/>
      <c r="H63" s="39"/>
      <c r="I63" s="40"/>
      <c r="J63" s="41">
        <v>1</v>
      </c>
      <c r="K63" s="41">
        <v>0</v>
      </c>
      <c r="L63" s="41"/>
      <c r="M63" s="42">
        <v>0</v>
      </c>
      <c r="N63" s="42">
        <v>0</v>
      </c>
      <c r="O63" s="43">
        <v>0</v>
      </c>
      <c r="P63" s="44">
        <v>0</v>
      </c>
      <c r="Q63" s="44">
        <v>0</v>
      </c>
      <c r="R63" s="45">
        <v>0</v>
      </c>
      <c r="S63" s="46">
        <v>0</v>
      </c>
      <c r="T63" s="39">
        <f t="shared" si="18"/>
        <v>0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</row>
    <row r="64" spans="2:42" x14ac:dyDescent="0.35">
      <c r="B64" s="97" t="s">
        <v>102</v>
      </c>
      <c r="C64" s="98">
        <v>18230661</v>
      </c>
      <c r="D64" s="61" t="s">
        <v>103</v>
      </c>
      <c r="E64" s="38" t="s">
        <v>1973</v>
      </c>
      <c r="F64" s="39" t="s">
        <v>1974</v>
      </c>
      <c r="G64" s="39">
        <v>15</v>
      </c>
      <c r="H64" s="39"/>
      <c r="I64" s="40" t="s">
        <v>270</v>
      </c>
      <c r="J64" s="41">
        <v>2</v>
      </c>
      <c r="K64" s="41">
        <v>0.84</v>
      </c>
      <c r="L64" s="41"/>
      <c r="M64" s="42">
        <v>20</v>
      </c>
      <c r="N64" s="42">
        <v>20</v>
      </c>
      <c r="O64" s="43">
        <v>1.68</v>
      </c>
      <c r="P64" s="44">
        <v>52</v>
      </c>
      <c r="Q64" s="44">
        <v>52</v>
      </c>
      <c r="R64" s="45">
        <v>11.13</v>
      </c>
      <c r="S64" s="46">
        <v>0</v>
      </c>
      <c r="T64" s="39">
        <f t="shared" si="18"/>
        <v>15</v>
      </c>
      <c r="U64" s="47">
        <f t="shared" si="19"/>
        <v>9.1073430483144552E-4</v>
      </c>
      <c r="V64" s="48">
        <f t="shared" si="20"/>
        <v>0</v>
      </c>
      <c r="W64" s="49">
        <f t="shared" si="21"/>
        <v>6.0715620322096367E-5</v>
      </c>
      <c r="X64" s="44">
        <f t="shared" si="22"/>
        <v>4.3541782104649185</v>
      </c>
      <c r="Y64" s="44">
        <f t="shared" si="23"/>
        <v>0</v>
      </c>
      <c r="Z64" s="44">
        <f t="shared" si="24"/>
        <v>82.219988015893051</v>
      </c>
      <c r="AA64" s="50">
        <f t="shared" si="25"/>
        <v>56.354178210464916</v>
      </c>
      <c r="AB64" s="51">
        <f t="shared" si="26"/>
        <v>76.985007505517828</v>
      </c>
      <c r="AC64" s="44">
        <f t="shared" si="27"/>
        <v>52.766084466727449</v>
      </c>
      <c r="AD64" s="44">
        <f t="shared" si="28"/>
        <v>205.3283231372867</v>
      </c>
      <c r="AE64" s="44">
        <f t="shared" si="29"/>
        <v>0</v>
      </c>
      <c r="AF64" s="52">
        <f>HLOOKUP(I64,GasAvoidedCostsWOCC!$A$5:$G$50,G64+1,FALSE)</f>
        <v>10.185193489744005</v>
      </c>
      <c r="AG64" s="44">
        <f t="shared" si="30"/>
        <v>17.111125062769929</v>
      </c>
      <c r="AH64" s="52">
        <f>HLOOKUP(I64,GasAvoidedCostsWOCC!$A$5:$Q$50,T64+1,FALSE)</f>
        <v>10.185193489744005</v>
      </c>
      <c r="AI64" s="44">
        <f t="shared" si="31"/>
        <v>0</v>
      </c>
      <c r="AJ64" s="44">
        <f t="shared" si="32"/>
        <v>17.111125062769929</v>
      </c>
      <c r="AK64" s="44">
        <f>HLOOKUP(I64,GasAvoidedCostsWOCC!$A$5:$Q$50,G64+1,FALSE)*J64*L64</f>
        <v>0</v>
      </c>
      <c r="AL64" s="44">
        <f t="shared" si="33"/>
        <v>17.111125062769929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17.111125062769929</v>
      </c>
      <c r="AN64" s="48">
        <f t="shared" si="34"/>
        <v>224.15056070633364</v>
      </c>
      <c r="AO64" s="47">
        <f t="shared" si="35"/>
        <v>0.22226568025655521</v>
      </c>
      <c r="AP64" s="47">
        <f t="shared" si="36"/>
        <v>4.2480044326138238</v>
      </c>
    </row>
    <row r="65" spans="2:42" x14ac:dyDescent="0.35">
      <c r="B65" s="97" t="s">
        <v>102</v>
      </c>
      <c r="C65" s="98">
        <v>18230661</v>
      </c>
      <c r="D65" s="61" t="s">
        <v>103</v>
      </c>
      <c r="E65" s="38" t="s">
        <v>1975</v>
      </c>
      <c r="F65" s="39" t="s">
        <v>1976</v>
      </c>
      <c r="G65" s="39"/>
      <c r="H65" s="39"/>
      <c r="I65" s="40"/>
      <c r="J65" s="41">
        <v>14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1498.92</v>
      </c>
      <c r="R65" s="45">
        <v>0</v>
      </c>
      <c r="S65" s="46">
        <v>0</v>
      </c>
      <c r="T65" s="39">
        <f t="shared" si="18"/>
        <v>0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1498.92</v>
      </c>
      <c r="Z65" s="44">
        <f t="shared" si="24"/>
        <v>0</v>
      </c>
      <c r="AA65" s="50">
        <f t="shared" si="25"/>
        <v>1498.92</v>
      </c>
      <c r="AB65" s="51">
        <f t="shared" si="26"/>
        <v>0</v>
      </c>
      <c r="AC65" s="44">
        <f t="shared" si="27"/>
        <v>1403.4831460674156</v>
      </c>
      <c r="AD65" s="44">
        <f t="shared" si="28"/>
        <v>0</v>
      </c>
      <c r="AE65" s="44">
        <f t="shared" si="29"/>
        <v>0</v>
      </c>
      <c r="AF65" s="52" t="e">
        <f>HLOOKUP(I65,GasAvoidedCostsWOCC!$A$5:$G$50,G65+1,FALSE)</f>
        <v>#N/A</v>
      </c>
      <c r="AG65" s="44" t="e">
        <f t="shared" si="30"/>
        <v>#N/A</v>
      </c>
      <c r="AH65" s="52" t="e">
        <f>HLOOKUP(I65,GasAvoidedCostsWOCC!$A$5:$Q$50,T65+1,FALSE)</f>
        <v>#N/A</v>
      </c>
      <c r="AI65" s="44" t="e">
        <f t="shared" si="31"/>
        <v>#N/A</v>
      </c>
      <c r="AJ65" s="44" t="e">
        <f t="shared" si="32"/>
        <v>#N/A</v>
      </c>
      <c r="AK65" s="44" t="e">
        <f>HLOOKUP(I65,GasAvoidedCostsWOCC!$A$5:$Q$50,G65+1,FALSE)*J65*L65</f>
        <v>#N/A</v>
      </c>
      <c r="AL65" s="44" t="e">
        <f t="shared" si="3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>
        <f t="shared" si="36"/>
        <v>0</v>
      </c>
    </row>
    <row r="66" spans="2:42" x14ac:dyDescent="0.35">
      <c r="B66" s="97" t="s">
        <v>102</v>
      </c>
      <c r="C66" s="98">
        <v>18230661</v>
      </c>
      <c r="D66" s="61" t="s">
        <v>103</v>
      </c>
      <c r="E66" s="38" t="s">
        <v>1979</v>
      </c>
      <c r="F66" s="39" t="s">
        <v>1980</v>
      </c>
      <c r="G66" s="39">
        <v>15</v>
      </c>
      <c r="H66" s="39"/>
      <c r="I66" s="40" t="s">
        <v>270</v>
      </c>
      <c r="J66" s="41">
        <v>36</v>
      </c>
      <c r="K66" s="41">
        <v>0.84</v>
      </c>
      <c r="L66" s="41"/>
      <c r="M66" s="42">
        <v>20</v>
      </c>
      <c r="N66" s="42">
        <v>20</v>
      </c>
      <c r="O66" s="43">
        <v>30.24</v>
      </c>
      <c r="P66" s="44">
        <v>936</v>
      </c>
      <c r="Q66" s="44">
        <v>936</v>
      </c>
      <c r="R66" s="45">
        <v>11.04</v>
      </c>
      <c r="S66" s="46">
        <v>0</v>
      </c>
      <c r="T66" s="39">
        <f t="shared" si="18"/>
        <v>15</v>
      </c>
      <c r="U66" s="47">
        <f t="shared" si="19"/>
        <v>1.6393217486966018E-2</v>
      </c>
      <c r="V66" s="48">
        <f t="shared" si="20"/>
        <v>0</v>
      </c>
      <c r="W66" s="49">
        <f t="shared" si="21"/>
        <v>1.0928811657977345E-3</v>
      </c>
      <c r="X66" s="44">
        <f t="shared" si="22"/>
        <v>78.375207788368513</v>
      </c>
      <c r="Y66" s="44">
        <f t="shared" si="23"/>
        <v>0</v>
      </c>
      <c r="Z66" s="44">
        <f t="shared" si="24"/>
        <v>1479.9597842860744</v>
      </c>
      <c r="AA66" s="50">
        <f t="shared" si="25"/>
        <v>1014.3752077883685</v>
      </c>
      <c r="AB66" s="51">
        <f t="shared" si="26"/>
        <v>1385.7301350993205</v>
      </c>
      <c r="AC66" s="44">
        <f t="shared" si="27"/>
        <v>949.78952040109402</v>
      </c>
      <c r="AD66" s="44">
        <f t="shared" si="28"/>
        <v>3666.0237532651936</v>
      </c>
      <c r="AE66" s="44">
        <f t="shared" si="29"/>
        <v>0</v>
      </c>
      <c r="AF66" s="52">
        <f>HLOOKUP(I66,GasAvoidedCostsWOCC!$A$5:$G$50,G66+1,FALSE)</f>
        <v>10.185193489744005</v>
      </c>
      <c r="AG66" s="44">
        <f t="shared" si="30"/>
        <v>308.00025112985873</v>
      </c>
      <c r="AH66" s="52">
        <f>HLOOKUP(I66,GasAvoidedCostsWOCC!$A$5:$Q$50,T66+1,FALSE)</f>
        <v>10.185193489744005</v>
      </c>
      <c r="AI66" s="44">
        <f t="shared" si="31"/>
        <v>0</v>
      </c>
      <c r="AJ66" s="44">
        <f t="shared" si="32"/>
        <v>308.00025112985873</v>
      </c>
      <c r="AK66" s="44">
        <f>HLOOKUP(I66,GasAvoidedCostsWOCC!$A$5:$Q$50,G66+1,FALSE)*J66*L66</f>
        <v>0</v>
      </c>
      <c r="AL66" s="44">
        <f t="shared" si="33"/>
        <v>308.00025112985873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308.00025112985873</v>
      </c>
      <c r="AN66" s="48">
        <f t="shared" si="34"/>
        <v>4004.8240295080382</v>
      </c>
      <c r="AO66" s="47">
        <f t="shared" si="35"/>
        <v>0.2222656802565553</v>
      </c>
      <c r="AP66" s="47">
        <f t="shared" si="36"/>
        <v>4.2165384471886043</v>
      </c>
    </row>
    <row r="67" spans="2:42" x14ac:dyDescent="0.35">
      <c r="B67" s="97" t="s">
        <v>102</v>
      </c>
      <c r="C67" s="98">
        <v>18230661</v>
      </c>
      <c r="D67" s="61" t="s">
        <v>103</v>
      </c>
      <c r="E67" s="38" t="s">
        <v>1981</v>
      </c>
      <c r="F67" s="39" t="s">
        <v>1982</v>
      </c>
      <c r="G67" s="39"/>
      <c r="H67" s="39"/>
      <c r="I67" s="40"/>
      <c r="J67" s="41">
        <v>2</v>
      </c>
      <c r="K67" s="41">
        <v>0</v>
      </c>
      <c r="L67" s="41"/>
      <c r="M67" s="42">
        <v>0</v>
      </c>
      <c r="N67" s="42">
        <v>0</v>
      </c>
      <c r="O67" s="43">
        <v>0</v>
      </c>
      <c r="P67" s="44">
        <v>0</v>
      </c>
      <c r="Q67" s="44">
        <v>0</v>
      </c>
      <c r="R67" s="45">
        <v>0</v>
      </c>
      <c r="S67" s="46">
        <v>0</v>
      </c>
      <c r="T67" s="39">
        <f t="shared" si="18"/>
        <v>0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0</v>
      </c>
      <c r="AB67" s="51">
        <f t="shared" si="26"/>
        <v>0</v>
      </c>
      <c r="AC67" s="44">
        <f t="shared" si="27"/>
        <v>0</v>
      </c>
      <c r="AD67" s="44">
        <f t="shared" si="28"/>
        <v>0</v>
      </c>
      <c r="AE67" s="44">
        <f t="shared" si="29"/>
        <v>0</v>
      </c>
      <c r="AF67" s="52" t="e">
        <f>HLOOKUP(I67,GasAvoidedCostsWOCC!$A$5:$G$50,G67+1,FALSE)</f>
        <v>#N/A</v>
      </c>
      <c r="AG67" s="44" t="e">
        <f t="shared" si="30"/>
        <v>#N/A</v>
      </c>
      <c r="AH67" s="52" t="e">
        <f>HLOOKUP(I67,GasAvoidedCostsWOCC!$A$5:$Q$50,T67+1,FALSE)</f>
        <v>#N/A</v>
      </c>
      <c r="AI67" s="44" t="e">
        <f t="shared" si="31"/>
        <v>#N/A</v>
      </c>
      <c r="AJ67" s="44" t="e">
        <f t="shared" si="32"/>
        <v>#N/A</v>
      </c>
      <c r="AK67" s="44" t="e">
        <f>HLOOKUP(I67,GasAvoidedCostsWOCC!$A$5:$Q$50,G67+1,FALSE)*J67*L67</f>
        <v>#N/A</v>
      </c>
      <c r="AL67" s="44" t="e">
        <f t="shared" si="3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</row>
    <row r="68" spans="2:42" x14ac:dyDescent="0.35">
      <c r="B68" s="97" t="s">
        <v>102</v>
      </c>
      <c r="C68" s="98">
        <v>18230661</v>
      </c>
      <c r="D68" s="61" t="s">
        <v>103</v>
      </c>
      <c r="E68" s="38" t="s">
        <v>1983</v>
      </c>
      <c r="F68" s="39" t="s">
        <v>1984</v>
      </c>
      <c r="G68" s="39"/>
      <c r="H68" s="39"/>
      <c r="I68" s="40"/>
      <c r="J68" s="41">
        <v>2</v>
      </c>
      <c r="K68" s="41">
        <v>0</v>
      </c>
      <c r="L68" s="41"/>
      <c r="M68" s="42">
        <v>0</v>
      </c>
      <c r="N68" s="42">
        <v>0</v>
      </c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si="18"/>
        <v>0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 t="e">
        <f>HLOOKUP(I68,GasAvoidedCostsWOCC!$A$5:$G$50,G68+1,FALSE)</f>
        <v>#N/A</v>
      </c>
      <c r="AG68" s="44" t="e">
        <f t="shared" si="30"/>
        <v>#N/A</v>
      </c>
      <c r="AH68" s="52" t="e">
        <f>HLOOKUP(I68,GasAvoidedCostsWOCC!$A$5:$Q$50,T68+1,FALSE)</f>
        <v>#N/A</v>
      </c>
      <c r="AI68" s="44" t="e">
        <f t="shared" si="31"/>
        <v>#N/A</v>
      </c>
      <c r="AJ68" s="44" t="e">
        <f t="shared" si="32"/>
        <v>#N/A</v>
      </c>
      <c r="AK68" s="44" t="e">
        <f>HLOOKUP(I68,GasAvoidedCostsWOCC!$A$5:$Q$50,G68+1,FALSE)*J68*L68</f>
        <v>#N/A</v>
      </c>
      <c r="AL68" s="44" t="e">
        <f t="shared" si="3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</row>
    <row r="69" spans="2:42" x14ac:dyDescent="0.35">
      <c r="B69" s="97" t="s">
        <v>102</v>
      </c>
      <c r="C69" s="98">
        <v>18230661</v>
      </c>
      <c r="D69" s="61" t="s">
        <v>103</v>
      </c>
      <c r="E69" s="38" t="s">
        <v>1985</v>
      </c>
      <c r="F69" s="39" t="s">
        <v>1986</v>
      </c>
      <c r="G69" s="39"/>
      <c r="H69" s="39"/>
      <c r="I69" s="40"/>
      <c r="J69" s="41">
        <v>4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0</v>
      </c>
      <c r="Q69" s="44">
        <v>5978.88</v>
      </c>
      <c r="R69" s="45">
        <v>0</v>
      </c>
      <c r="S69" s="46">
        <v>0</v>
      </c>
      <c r="T69" s="39">
        <f t="shared" si="18"/>
        <v>0</v>
      </c>
      <c r="U69" s="47">
        <f t="shared" si="19"/>
        <v>0</v>
      </c>
      <c r="V69" s="48">
        <f t="shared" si="20"/>
        <v>0</v>
      </c>
      <c r="W69" s="49">
        <f t="shared" si="21"/>
        <v>0</v>
      </c>
      <c r="X69" s="44">
        <f t="shared" si="22"/>
        <v>0</v>
      </c>
      <c r="Y69" s="44">
        <f t="shared" si="23"/>
        <v>5978.88</v>
      </c>
      <c r="Z69" s="44">
        <f t="shared" si="24"/>
        <v>0</v>
      </c>
      <c r="AA69" s="50">
        <f t="shared" si="25"/>
        <v>5978.88</v>
      </c>
      <c r="AB69" s="51">
        <f t="shared" si="26"/>
        <v>0</v>
      </c>
      <c r="AC69" s="44">
        <f t="shared" si="27"/>
        <v>5598.2022471910113</v>
      </c>
      <c r="AD69" s="44">
        <f t="shared" si="28"/>
        <v>0</v>
      </c>
      <c r="AE69" s="44">
        <f t="shared" si="29"/>
        <v>0</v>
      </c>
      <c r="AF69" s="52" t="e">
        <f>HLOOKUP(I69,GasAvoidedCostsWOCC!$A$5:$G$50,G69+1,FALSE)</f>
        <v>#N/A</v>
      </c>
      <c r="AG69" s="44" t="e">
        <f t="shared" si="30"/>
        <v>#N/A</v>
      </c>
      <c r="AH69" s="52" t="e">
        <f>HLOOKUP(I69,GasAvoidedCostsWOCC!$A$5:$Q$50,T69+1,FALSE)</f>
        <v>#N/A</v>
      </c>
      <c r="AI69" s="44" t="e">
        <f t="shared" si="31"/>
        <v>#N/A</v>
      </c>
      <c r="AJ69" s="44" t="e">
        <f t="shared" si="32"/>
        <v>#N/A</v>
      </c>
      <c r="AK69" s="44" t="e">
        <f>HLOOKUP(I69,GasAvoidedCostsWOCC!$A$5:$Q$50,G69+1,FALSE)*J69*L69</f>
        <v>#N/A</v>
      </c>
      <c r="AL69" s="44" t="e">
        <f t="shared" si="3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4"/>
        <v>0</v>
      </c>
      <c r="AO69" s="47">
        <f t="shared" si="35"/>
        <v>0</v>
      </c>
      <c r="AP69" s="47">
        <f t="shared" si="36"/>
        <v>0</v>
      </c>
    </row>
    <row r="70" spans="2:42" x14ac:dyDescent="0.35">
      <c r="B70" s="97" t="s">
        <v>102</v>
      </c>
      <c r="C70" s="98">
        <v>18230661</v>
      </c>
      <c r="D70" s="61" t="s">
        <v>103</v>
      </c>
      <c r="E70" s="38" t="s">
        <v>1989</v>
      </c>
      <c r="F70" s="39" t="s">
        <v>1990</v>
      </c>
      <c r="G70" s="39"/>
      <c r="H70" s="39"/>
      <c r="I70" s="40"/>
      <c r="J70" s="41">
        <v>2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0</v>
      </c>
      <c r="Q70" s="44">
        <v>0</v>
      </c>
      <c r="R70" s="45">
        <v>0</v>
      </c>
      <c r="S70" s="46">
        <v>0</v>
      </c>
      <c r="T70" s="39">
        <f t="shared" si="18"/>
        <v>0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0</v>
      </c>
      <c r="AB70" s="51">
        <f t="shared" si="26"/>
        <v>0</v>
      </c>
      <c r="AC70" s="44">
        <f t="shared" si="27"/>
        <v>0</v>
      </c>
      <c r="AD70" s="44">
        <f t="shared" si="28"/>
        <v>0</v>
      </c>
      <c r="AE70" s="44">
        <f t="shared" si="29"/>
        <v>0</v>
      </c>
      <c r="AF70" s="52" t="e">
        <f>HLOOKUP(I70,GasAvoidedCostsWOCC!$A$5:$G$50,G70+1,FALSE)</f>
        <v>#N/A</v>
      </c>
      <c r="AG70" s="44" t="e">
        <f t="shared" si="30"/>
        <v>#N/A</v>
      </c>
      <c r="AH70" s="52" t="e">
        <f>HLOOKUP(I70,GasAvoidedCostsWOCC!$A$5:$Q$50,T70+1,FALSE)</f>
        <v>#N/A</v>
      </c>
      <c r="AI70" s="44" t="e">
        <f t="shared" si="31"/>
        <v>#N/A</v>
      </c>
      <c r="AJ70" s="44" t="e">
        <f t="shared" si="32"/>
        <v>#N/A</v>
      </c>
      <c r="AK70" s="44" t="e">
        <f>HLOOKUP(I70,GasAvoidedCostsWOCC!$A$5:$Q$50,G70+1,FALSE)*J70*L70</f>
        <v>#N/A</v>
      </c>
      <c r="AL70" s="44" t="e">
        <f t="shared" si="3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 t="e">
        <f t="shared" si="36"/>
        <v>#DIV/0!</v>
      </c>
    </row>
    <row r="71" spans="2:42" x14ac:dyDescent="0.35">
      <c r="B71" s="97" t="s">
        <v>102</v>
      </c>
      <c r="C71" s="98">
        <v>18230661</v>
      </c>
      <c r="D71" s="61" t="s">
        <v>103</v>
      </c>
      <c r="E71" s="38" t="s">
        <v>1993</v>
      </c>
      <c r="F71" s="39" t="s">
        <v>1994</v>
      </c>
      <c r="G71" s="39"/>
      <c r="H71" s="39"/>
      <c r="I71" s="40"/>
      <c r="J71" s="41">
        <v>117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0</v>
      </c>
      <c r="Q71" s="44">
        <v>0</v>
      </c>
      <c r="R71" s="45">
        <v>0</v>
      </c>
      <c r="S71" s="46">
        <v>0</v>
      </c>
      <c r="T71" s="39">
        <f t="shared" si="18"/>
        <v>0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0</v>
      </c>
      <c r="AB71" s="51">
        <f t="shared" si="26"/>
        <v>0</v>
      </c>
      <c r="AC71" s="44">
        <f t="shared" si="27"/>
        <v>0</v>
      </c>
      <c r="AD71" s="44">
        <f t="shared" si="28"/>
        <v>0</v>
      </c>
      <c r="AE71" s="44">
        <f t="shared" si="29"/>
        <v>0</v>
      </c>
      <c r="AF71" s="52" t="e">
        <f>HLOOKUP(I71,GasAvoidedCostsWOCC!$A$5:$G$50,G71+1,FALSE)</f>
        <v>#N/A</v>
      </c>
      <c r="AG71" s="44" t="e">
        <f t="shared" si="30"/>
        <v>#N/A</v>
      </c>
      <c r="AH71" s="52" t="e">
        <f>HLOOKUP(I71,GasAvoidedCostsWOCC!$A$5:$Q$50,T71+1,FALSE)</f>
        <v>#N/A</v>
      </c>
      <c r="AI71" s="44" t="e">
        <f t="shared" si="31"/>
        <v>#N/A</v>
      </c>
      <c r="AJ71" s="44" t="e">
        <f t="shared" si="32"/>
        <v>#N/A</v>
      </c>
      <c r="AK71" s="44" t="e">
        <f>HLOOKUP(I71,GasAvoidedCostsWOCC!$A$5:$Q$50,G71+1,FALSE)*J71*L71</f>
        <v>#N/A</v>
      </c>
      <c r="AL71" s="44" t="e">
        <f t="shared" si="3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 t="e">
        <f t="shared" si="36"/>
        <v>#DIV/0!</v>
      </c>
    </row>
    <row r="72" spans="2:42" x14ac:dyDescent="0.35">
      <c r="B72" s="97" t="s">
        <v>102</v>
      </c>
      <c r="C72" s="98">
        <v>18230661</v>
      </c>
      <c r="D72" s="61" t="s">
        <v>103</v>
      </c>
      <c r="E72" s="38" t="s">
        <v>1997</v>
      </c>
      <c r="F72" s="39" t="s">
        <v>1998</v>
      </c>
      <c r="G72" s="39"/>
      <c r="H72" s="39"/>
      <c r="I72" s="40"/>
      <c r="J72" s="41">
        <v>26</v>
      </c>
      <c r="K72" s="41">
        <v>0</v>
      </c>
      <c r="L72" s="41"/>
      <c r="M72" s="42">
        <v>0</v>
      </c>
      <c r="N72" s="42">
        <v>0</v>
      </c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18"/>
        <v>0</v>
      </c>
      <c r="U72" s="47">
        <f t="shared" si="19"/>
        <v>0</v>
      </c>
      <c r="V72" s="48">
        <f t="shared" si="20"/>
        <v>0</v>
      </c>
      <c r="W72" s="49">
        <f t="shared" si="21"/>
        <v>0</v>
      </c>
      <c r="X72" s="44">
        <f t="shared" si="22"/>
        <v>0</v>
      </c>
      <c r="Y72" s="44">
        <f t="shared" si="23"/>
        <v>0</v>
      </c>
      <c r="Z72" s="44">
        <f t="shared" si="24"/>
        <v>0</v>
      </c>
      <c r="AA72" s="50">
        <f t="shared" si="25"/>
        <v>0</v>
      </c>
      <c r="AB72" s="51">
        <f t="shared" si="26"/>
        <v>0</v>
      </c>
      <c r="AC72" s="44">
        <f t="shared" si="27"/>
        <v>0</v>
      </c>
      <c r="AD72" s="44">
        <f t="shared" si="28"/>
        <v>0</v>
      </c>
      <c r="AE72" s="44">
        <f t="shared" si="29"/>
        <v>0</v>
      </c>
      <c r="AF72" s="52" t="e">
        <f>HLOOKUP(I72,GasAvoidedCostsWOCC!$A$5:$G$50,G72+1,FALSE)</f>
        <v>#N/A</v>
      </c>
      <c r="AG72" s="44" t="e">
        <f t="shared" si="30"/>
        <v>#N/A</v>
      </c>
      <c r="AH72" s="52" t="e">
        <f>HLOOKUP(I72,GasAvoidedCostsWOCC!$A$5:$Q$50,T72+1,FALSE)</f>
        <v>#N/A</v>
      </c>
      <c r="AI72" s="44" t="e">
        <f t="shared" si="31"/>
        <v>#N/A</v>
      </c>
      <c r="AJ72" s="44" t="e">
        <f t="shared" si="32"/>
        <v>#N/A</v>
      </c>
      <c r="AK72" s="44" t="e">
        <f>HLOOKUP(I72,GasAvoidedCostsWOCC!$A$5:$Q$50,G72+1,FALSE)*J72*L72</f>
        <v>#N/A</v>
      </c>
      <c r="AL72" s="44" t="e">
        <f t="shared" si="3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4"/>
        <v>0</v>
      </c>
      <c r="AO72" s="47">
        <f t="shared" si="35"/>
        <v>0</v>
      </c>
      <c r="AP72" s="47" t="e">
        <f t="shared" si="36"/>
        <v>#DIV/0!</v>
      </c>
    </row>
    <row r="73" spans="2:42" x14ac:dyDescent="0.35">
      <c r="B73" s="97" t="s">
        <v>102</v>
      </c>
      <c r="C73" s="98">
        <v>18230661</v>
      </c>
      <c r="D73" s="61" t="s">
        <v>103</v>
      </c>
      <c r="E73" s="38" t="s">
        <v>2001</v>
      </c>
      <c r="F73" s="39" t="s">
        <v>2002</v>
      </c>
      <c r="G73" s="39"/>
      <c r="H73" s="39"/>
      <c r="I73" s="40"/>
      <c r="J73" s="41">
        <v>129</v>
      </c>
      <c r="K73" s="41">
        <v>0</v>
      </c>
      <c r="L73" s="41"/>
      <c r="M73" s="42">
        <v>0</v>
      </c>
      <c r="N73" s="42">
        <v>0</v>
      </c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18"/>
        <v>0</v>
      </c>
      <c r="U73" s="47">
        <f t="shared" si="19"/>
        <v>0</v>
      </c>
      <c r="V73" s="48">
        <f t="shared" si="20"/>
        <v>0</v>
      </c>
      <c r="W73" s="49">
        <f t="shared" si="21"/>
        <v>0</v>
      </c>
      <c r="X73" s="44">
        <f t="shared" si="22"/>
        <v>0</v>
      </c>
      <c r="Y73" s="44">
        <f t="shared" si="23"/>
        <v>0</v>
      </c>
      <c r="Z73" s="44">
        <f t="shared" si="24"/>
        <v>0</v>
      </c>
      <c r="AA73" s="50">
        <f t="shared" si="25"/>
        <v>0</v>
      </c>
      <c r="AB73" s="51">
        <f t="shared" si="26"/>
        <v>0</v>
      </c>
      <c r="AC73" s="44">
        <f t="shared" si="27"/>
        <v>0</v>
      </c>
      <c r="AD73" s="44">
        <f t="shared" si="28"/>
        <v>0</v>
      </c>
      <c r="AE73" s="44">
        <f t="shared" si="29"/>
        <v>0</v>
      </c>
      <c r="AF73" s="52" t="e">
        <f>HLOOKUP(I73,GasAvoidedCostsWOCC!$A$5:$G$50,G73+1,FALSE)</f>
        <v>#N/A</v>
      </c>
      <c r="AG73" s="44" t="e">
        <f t="shared" si="30"/>
        <v>#N/A</v>
      </c>
      <c r="AH73" s="52" t="e">
        <f>HLOOKUP(I73,GasAvoidedCostsWOCC!$A$5:$Q$50,T73+1,FALSE)</f>
        <v>#N/A</v>
      </c>
      <c r="AI73" s="44" t="e">
        <f t="shared" si="31"/>
        <v>#N/A</v>
      </c>
      <c r="AJ73" s="44" t="e">
        <f t="shared" si="32"/>
        <v>#N/A</v>
      </c>
      <c r="AK73" s="44" t="e">
        <f>HLOOKUP(I73,GasAvoidedCostsWOCC!$A$5:$Q$50,G73+1,FALSE)*J73*L73</f>
        <v>#N/A</v>
      </c>
      <c r="AL73" s="44" t="e">
        <f t="shared" si="3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4"/>
        <v>0</v>
      </c>
      <c r="AO73" s="47">
        <f t="shared" si="35"/>
        <v>0</v>
      </c>
      <c r="AP73" s="47" t="e">
        <f t="shared" si="36"/>
        <v>#DIV/0!</v>
      </c>
    </row>
    <row r="74" spans="2:42" x14ac:dyDescent="0.35">
      <c r="B74" s="97" t="s">
        <v>102</v>
      </c>
      <c r="C74" s="98">
        <v>18230661</v>
      </c>
      <c r="D74" s="61" t="s">
        <v>103</v>
      </c>
      <c r="E74" s="38" t="s">
        <v>2005</v>
      </c>
      <c r="F74" s="39" t="s">
        <v>2006</v>
      </c>
      <c r="G74" s="39"/>
      <c r="H74" s="39"/>
      <c r="I74" s="40"/>
      <c r="J74" s="41">
        <v>9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0</v>
      </c>
      <c r="Q74" s="44">
        <v>51.54</v>
      </c>
      <c r="R74" s="45">
        <v>0</v>
      </c>
      <c r="S74" s="46">
        <v>0</v>
      </c>
      <c r="T74" s="39">
        <f t="shared" si="18"/>
        <v>0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51.54</v>
      </c>
      <c r="Z74" s="44">
        <f t="shared" si="24"/>
        <v>0</v>
      </c>
      <c r="AA74" s="50">
        <f t="shared" si="25"/>
        <v>51.54</v>
      </c>
      <c r="AB74" s="51">
        <f t="shared" si="26"/>
        <v>0</v>
      </c>
      <c r="AC74" s="44">
        <f t="shared" si="27"/>
        <v>48.258426966292134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>
        <f t="shared" si="36"/>
        <v>0</v>
      </c>
    </row>
    <row r="75" spans="2:42" x14ac:dyDescent="0.35">
      <c r="B75" s="97" t="s">
        <v>102</v>
      </c>
      <c r="C75" s="98">
        <v>18230661</v>
      </c>
      <c r="D75" s="61" t="s">
        <v>103</v>
      </c>
      <c r="E75" s="38" t="s">
        <v>2007</v>
      </c>
      <c r="F75" s="39" t="s">
        <v>2008</v>
      </c>
      <c r="G75" s="39"/>
      <c r="H75" s="39"/>
      <c r="I75" s="40"/>
      <c r="J75" s="41">
        <v>15940</v>
      </c>
      <c r="K75" s="41">
        <v>0</v>
      </c>
      <c r="L75" s="41"/>
      <c r="M75" s="42">
        <v>0</v>
      </c>
      <c r="N75" s="42">
        <v>0</v>
      </c>
      <c r="O75" s="43">
        <v>0</v>
      </c>
      <c r="P75" s="44">
        <v>0</v>
      </c>
      <c r="Q75" s="44">
        <v>0</v>
      </c>
      <c r="R75" s="45">
        <v>0</v>
      </c>
      <c r="S75" s="46">
        <v>0</v>
      </c>
      <c r="T75" s="39">
        <f t="shared" si="18"/>
        <v>0</v>
      </c>
      <c r="U75" s="47">
        <f t="shared" si="19"/>
        <v>0</v>
      </c>
      <c r="V75" s="48">
        <f t="shared" si="20"/>
        <v>0</v>
      </c>
      <c r="W75" s="49">
        <f t="shared" si="21"/>
        <v>0</v>
      </c>
      <c r="X75" s="44">
        <f t="shared" si="22"/>
        <v>0</v>
      </c>
      <c r="Y75" s="44">
        <f t="shared" si="23"/>
        <v>0</v>
      </c>
      <c r="Z75" s="44">
        <f t="shared" si="24"/>
        <v>0</v>
      </c>
      <c r="AA75" s="50">
        <f t="shared" si="25"/>
        <v>0</v>
      </c>
      <c r="AB75" s="51">
        <f t="shared" si="26"/>
        <v>0</v>
      </c>
      <c r="AC75" s="44">
        <f t="shared" si="27"/>
        <v>0</v>
      </c>
      <c r="AD75" s="44">
        <f t="shared" si="28"/>
        <v>0</v>
      </c>
      <c r="AE75" s="44">
        <f t="shared" si="29"/>
        <v>0</v>
      </c>
      <c r="AF75" s="52" t="e">
        <f>HLOOKUP(I75,GasAvoidedCostsWOCC!$A$5:$G$50,G75+1,FALSE)</f>
        <v>#N/A</v>
      </c>
      <c r="AG75" s="44" t="e">
        <f t="shared" si="30"/>
        <v>#N/A</v>
      </c>
      <c r="AH75" s="52" t="e">
        <f>HLOOKUP(I75,GasAvoidedCostsWOCC!$A$5:$Q$50,T75+1,FALSE)</f>
        <v>#N/A</v>
      </c>
      <c r="AI75" s="44" t="e">
        <f t="shared" si="31"/>
        <v>#N/A</v>
      </c>
      <c r="AJ75" s="44" t="e">
        <f t="shared" si="32"/>
        <v>#N/A</v>
      </c>
      <c r="AK75" s="44" t="e">
        <f>HLOOKUP(I75,GasAvoidedCostsWOCC!$A$5:$Q$50,G75+1,FALSE)*J75*L75</f>
        <v>#N/A</v>
      </c>
      <c r="AL75" s="44" t="e">
        <f t="shared" si="3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4"/>
        <v>0</v>
      </c>
      <c r="AO75" s="47">
        <f t="shared" si="35"/>
        <v>0</v>
      </c>
      <c r="AP75" s="47" t="e">
        <f t="shared" si="36"/>
        <v>#DIV/0!</v>
      </c>
    </row>
    <row r="76" spans="2:42" x14ac:dyDescent="0.35">
      <c r="B76" s="97" t="s">
        <v>102</v>
      </c>
      <c r="C76" s="98">
        <v>18230661</v>
      </c>
      <c r="D76" s="61" t="s">
        <v>103</v>
      </c>
      <c r="E76" s="38" t="s">
        <v>2011</v>
      </c>
      <c r="F76" s="39" t="s">
        <v>2012</v>
      </c>
      <c r="G76" s="39">
        <v>0</v>
      </c>
      <c r="H76" s="39"/>
      <c r="I76" s="40"/>
      <c r="J76" s="41">
        <v>9312</v>
      </c>
      <c r="K76" s="41">
        <v>0</v>
      </c>
      <c r="L76" s="41"/>
      <c r="M76" s="42">
        <v>0</v>
      </c>
      <c r="N76" s="42">
        <v>0</v>
      </c>
      <c r="O76" s="43">
        <v>0</v>
      </c>
      <c r="P76" s="44">
        <v>0</v>
      </c>
      <c r="Q76" s="44">
        <v>18416.5</v>
      </c>
      <c r="R76" s="45">
        <v>0</v>
      </c>
      <c r="S76" s="46">
        <v>0</v>
      </c>
      <c r="T76" s="39">
        <f t="shared" si="18"/>
        <v>0</v>
      </c>
      <c r="U76" s="47">
        <f t="shared" si="19"/>
        <v>0</v>
      </c>
      <c r="V76" s="48">
        <f t="shared" si="20"/>
        <v>0</v>
      </c>
      <c r="W76" s="49">
        <f t="shared" si="21"/>
        <v>0</v>
      </c>
      <c r="X76" s="44">
        <f t="shared" si="22"/>
        <v>0</v>
      </c>
      <c r="Y76" s="44">
        <f t="shared" si="23"/>
        <v>18416.5</v>
      </c>
      <c r="Z76" s="44">
        <f t="shared" si="24"/>
        <v>0</v>
      </c>
      <c r="AA76" s="50">
        <f t="shared" si="25"/>
        <v>18416.5</v>
      </c>
      <c r="AB76" s="51">
        <f t="shared" si="26"/>
        <v>0</v>
      </c>
      <c r="AC76" s="44">
        <f t="shared" si="27"/>
        <v>17243.913857677901</v>
      </c>
      <c r="AD76" s="44">
        <f t="shared" si="28"/>
        <v>0</v>
      </c>
      <c r="AE76" s="44">
        <f t="shared" si="29"/>
        <v>0</v>
      </c>
      <c r="AF76" s="52" t="e">
        <f>HLOOKUP(I76,GasAvoidedCostsWOCC!$A$5:$G$50,G76+1,FALSE)</f>
        <v>#N/A</v>
      </c>
      <c r="AG76" s="44" t="e">
        <f t="shared" si="30"/>
        <v>#N/A</v>
      </c>
      <c r="AH76" s="52" t="e">
        <f>HLOOKUP(I76,GasAvoidedCostsWOCC!$A$5:$Q$50,T76+1,FALSE)</f>
        <v>#N/A</v>
      </c>
      <c r="AI76" s="44" t="e">
        <f t="shared" si="31"/>
        <v>#N/A</v>
      </c>
      <c r="AJ76" s="44" t="e">
        <f t="shared" si="32"/>
        <v>#N/A</v>
      </c>
      <c r="AK76" s="44" t="e">
        <f>HLOOKUP(I76,GasAvoidedCostsWOCC!$A$5:$Q$50,G76+1,FALSE)*J76*L76</f>
        <v>#N/A</v>
      </c>
      <c r="AL76" s="44" t="e">
        <f t="shared" si="3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4"/>
        <v>0</v>
      </c>
      <c r="AO76" s="47">
        <f t="shared" si="35"/>
        <v>0</v>
      </c>
      <c r="AP76" s="47">
        <f t="shared" si="36"/>
        <v>0</v>
      </c>
    </row>
    <row r="77" spans="2:42" x14ac:dyDescent="0.35">
      <c r="B77" s="97" t="s">
        <v>102</v>
      </c>
      <c r="C77" s="98">
        <v>18230661</v>
      </c>
      <c r="D77" s="61" t="s">
        <v>103</v>
      </c>
      <c r="E77" s="38" t="s">
        <v>2015</v>
      </c>
      <c r="F77" s="39" t="s">
        <v>2016</v>
      </c>
      <c r="G77" s="39">
        <v>45</v>
      </c>
      <c r="H77" s="39"/>
      <c r="I77" s="40" t="s">
        <v>274</v>
      </c>
      <c r="J77" s="41">
        <v>13144</v>
      </c>
      <c r="K77" s="41">
        <v>0.09</v>
      </c>
      <c r="L77" s="41"/>
      <c r="M77" s="42">
        <v>2.4300000000000002</v>
      </c>
      <c r="N77" s="42">
        <v>2.4300000000000002</v>
      </c>
      <c r="O77" s="43">
        <v>1182.96</v>
      </c>
      <c r="P77" s="44">
        <v>37057.29</v>
      </c>
      <c r="Q77" s="44">
        <v>37057.29</v>
      </c>
      <c r="R77" s="45">
        <v>0.09</v>
      </c>
      <c r="S77" s="46">
        <v>0</v>
      </c>
      <c r="T77" s="39">
        <f t="shared" si="18"/>
        <v>45</v>
      </c>
      <c r="U77" s="47">
        <f t="shared" si="19"/>
        <v>1.9238611665060836</v>
      </c>
      <c r="V77" s="48">
        <f t="shared" si="20"/>
        <v>0</v>
      </c>
      <c r="W77" s="49">
        <f t="shared" si="21"/>
        <v>4.275247036680186E-2</v>
      </c>
      <c r="X77" s="44">
        <f t="shared" si="22"/>
        <v>3065.9634856259408</v>
      </c>
      <c r="Y77" s="44">
        <f t="shared" si="23"/>
        <v>0</v>
      </c>
      <c r="Z77" s="44">
        <f t="shared" si="24"/>
        <v>57894.617275762408</v>
      </c>
      <c r="AA77" s="50">
        <f t="shared" si="25"/>
        <v>40123.253485625944</v>
      </c>
      <c r="AB77" s="51">
        <f t="shared" si="26"/>
        <v>54208.443142099633</v>
      </c>
      <c r="AC77" s="44">
        <f t="shared" si="27"/>
        <v>37568.589406016799</v>
      </c>
      <c r="AD77" s="44">
        <f t="shared" si="28"/>
        <v>16495.408378297176</v>
      </c>
      <c r="AE77" s="44">
        <f t="shared" si="29"/>
        <v>0</v>
      </c>
      <c r="AF77" s="52">
        <f>HLOOKUP(I77,GasAvoidedCostsWOCC!$A$5:$G$50,G77+1,FALSE)</f>
        <v>26.281560892700742</v>
      </c>
      <c r="AG77" s="44">
        <f t="shared" si="30"/>
        <v>31090.03527362927</v>
      </c>
      <c r="AH77" s="52">
        <f>HLOOKUP(I77,GasAvoidedCostsWOCC!$A$5:$Q$50,T77+1,FALSE)</f>
        <v>26.281560892700742</v>
      </c>
      <c r="AI77" s="44">
        <f t="shared" si="31"/>
        <v>0</v>
      </c>
      <c r="AJ77" s="44">
        <f t="shared" si="32"/>
        <v>31090.03527362927</v>
      </c>
      <c r="AK77" s="44">
        <f>HLOOKUP(I77,GasAvoidedCostsWOCC!$A$5:$Q$50,G77+1,FALSE)*J77*L77</f>
        <v>0</v>
      </c>
      <c r="AL77" s="44">
        <f t="shared" si="33"/>
        <v>31090.03527362927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31090.03527362927</v>
      </c>
      <c r="AN77" s="48">
        <f t="shared" si="34"/>
        <v>50694.447179289375</v>
      </c>
      <c r="AO77" s="47">
        <f t="shared" si="35"/>
        <v>0.57352754426337638</v>
      </c>
      <c r="AP77" s="47">
        <f t="shared" si="36"/>
        <v>1.3493838331649046</v>
      </c>
    </row>
    <row r="78" spans="2:42" x14ac:dyDescent="0.35">
      <c r="B78" s="97" t="s">
        <v>102</v>
      </c>
      <c r="C78" s="98">
        <v>18230661</v>
      </c>
      <c r="D78" s="61" t="s">
        <v>103</v>
      </c>
      <c r="E78" s="38" t="s">
        <v>2017</v>
      </c>
      <c r="F78" s="39" t="s">
        <v>2018</v>
      </c>
      <c r="G78" s="39">
        <v>0</v>
      </c>
      <c r="H78" s="39"/>
      <c r="I78" s="40"/>
      <c r="J78" s="41">
        <v>4529</v>
      </c>
      <c r="K78" s="41">
        <v>0</v>
      </c>
      <c r="L78" s="41"/>
      <c r="M78" s="42">
        <v>0</v>
      </c>
      <c r="N78" s="42">
        <v>0</v>
      </c>
      <c r="O78" s="43">
        <v>0</v>
      </c>
      <c r="P78" s="44">
        <v>0</v>
      </c>
      <c r="Q78" s="44">
        <v>7156.94</v>
      </c>
      <c r="R78" s="45">
        <v>0</v>
      </c>
      <c r="S78" s="46">
        <v>0</v>
      </c>
      <c r="T78" s="39">
        <f t="shared" si="18"/>
        <v>0</v>
      </c>
      <c r="U78" s="47">
        <f t="shared" si="19"/>
        <v>0</v>
      </c>
      <c r="V78" s="48">
        <f t="shared" si="20"/>
        <v>0</v>
      </c>
      <c r="W78" s="49">
        <f t="shared" si="21"/>
        <v>0</v>
      </c>
      <c r="X78" s="44">
        <f t="shared" si="22"/>
        <v>0</v>
      </c>
      <c r="Y78" s="44">
        <f t="shared" si="23"/>
        <v>7156.94</v>
      </c>
      <c r="Z78" s="44">
        <f t="shared" si="24"/>
        <v>0</v>
      </c>
      <c r="AA78" s="50">
        <f t="shared" si="25"/>
        <v>7156.94</v>
      </c>
      <c r="AB78" s="51">
        <f t="shared" si="26"/>
        <v>0</v>
      </c>
      <c r="AC78" s="44">
        <f t="shared" si="27"/>
        <v>6701.2546816479389</v>
      </c>
      <c r="AD78" s="44">
        <f t="shared" si="28"/>
        <v>0</v>
      </c>
      <c r="AE78" s="44">
        <f t="shared" si="29"/>
        <v>0</v>
      </c>
      <c r="AF78" s="52" t="e">
        <f>HLOOKUP(I78,GasAvoidedCostsWOCC!$A$5:$G$50,G78+1,FALSE)</f>
        <v>#N/A</v>
      </c>
      <c r="AG78" s="44" t="e">
        <f t="shared" si="30"/>
        <v>#N/A</v>
      </c>
      <c r="AH78" s="52" t="e">
        <f>HLOOKUP(I78,GasAvoidedCostsWOCC!$A$5:$Q$50,T78+1,FALSE)</f>
        <v>#N/A</v>
      </c>
      <c r="AI78" s="44" t="e">
        <f t="shared" si="31"/>
        <v>#N/A</v>
      </c>
      <c r="AJ78" s="44" t="e">
        <f t="shared" si="32"/>
        <v>#N/A</v>
      </c>
      <c r="AK78" s="44" t="e">
        <f>HLOOKUP(I78,GasAvoidedCostsWOCC!$A$5:$Q$50,G78+1,FALSE)*J78*L78</f>
        <v>#N/A</v>
      </c>
      <c r="AL78" s="44" t="e">
        <f t="shared" si="3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4"/>
        <v>0</v>
      </c>
      <c r="AO78" s="47">
        <f t="shared" si="35"/>
        <v>0</v>
      </c>
      <c r="AP78" s="47">
        <f t="shared" si="36"/>
        <v>0</v>
      </c>
    </row>
    <row r="79" spans="2:42" x14ac:dyDescent="0.35">
      <c r="B79" s="97" t="s">
        <v>102</v>
      </c>
      <c r="C79" s="98">
        <v>18230661</v>
      </c>
      <c r="D79" s="61" t="s">
        <v>103</v>
      </c>
      <c r="E79" s="38" t="s">
        <v>2021</v>
      </c>
      <c r="F79" s="39" t="s">
        <v>2022</v>
      </c>
      <c r="G79" s="39">
        <v>45</v>
      </c>
      <c r="H79" s="39"/>
      <c r="I79" s="40" t="s">
        <v>274</v>
      </c>
      <c r="J79" s="41">
        <v>34192</v>
      </c>
      <c r="K79" s="41">
        <v>0.03</v>
      </c>
      <c r="L79" s="41"/>
      <c r="M79" s="42">
        <v>1.82</v>
      </c>
      <c r="N79" s="42">
        <v>1.82</v>
      </c>
      <c r="O79" s="43">
        <v>1025.76</v>
      </c>
      <c r="P79" s="44">
        <v>80898.25</v>
      </c>
      <c r="Q79" s="44">
        <v>80898.25</v>
      </c>
      <c r="R79" s="45">
        <v>0.12</v>
      </c>
      <c r="S79" s="46">
        <v>0</v>
      </c>
      <c r="T79" s="39">
        <f t="shared" si="18"/>
        <v>45</v>
      </c>
      <c r="U79" s="47">
        <f t="shared" si="19"/>
        <v>1.6682050366498278</v>
      </c>
      <c r="V79" s="48">
        <f t="shared" si="20"/>
        <v>0</v>
      </c>
      <c r="W79" s="49">
        <f t="shared" si="21"/>
        <v>3.707122303666284E-2</v>
      </c>
      <c r="X79" s="44">
        <f t="shared" si="22"/>
        <v>2658.5368102181515</v>
      </c>
      <c r="Y79" s="44">
        <f t="shared" si="23"/>
        <v>0</v>
      </c>
      <c r="Z79" s="44">
        <f t="shared" si="24"/>
        <v>50201.175539989556</v>
      </c>
      <c r="AA79" s="50">
        <f t="shared" si="25"/>
        <v>83556.786810218153</v>
      </c>
      <c r="AB79" s="51">
        <f t="shared" si="26"/>
        <v>47004.846011226175</v>
      </c>
      <c r="AC79" s="44">
        <f t="shared" si="27"/>
        <v>78236.691769867175</v>
      </c>
      <c r="AD79" s="44">
        <f t="shared" si="28"/>
        <v>57213.532488409117</v>
      </c>
      <c r="AE79" s="44">
        <f t="shared" si="29"/>
        <v>0</v>
      </c>
      <c r="AF79" s="52">
        <f>HLOOKUP(I79,GasAvoidedCostsWOCC!$A$5:$G$50,G79+1,FALSE)</f>
        <v>26.281560892700742</v>
      </c>
      <c r="AG79" s="44">
        <f t="shared" si="30"/>
        <v>26958.57390129671</v>
      </c>
      <c r="AH79" s="52">
        <f>HLOOKUP(I79,GasAvoidedCostsWOCC!$A$5:$Q$50,T79+1,FALSE)</f>
        <v>26.281560892700742</v>
      </c>
      <c r="AI79" s="44">
        <f t="shared" si="31"/>
        <v>0</v>
      </c>
      <c r="AJ79" s="44">
        <f t="shared" si="32"/>
        <v>26958.57390129671</v>
      </c>
      <c r="AK79" s="44">
        <f>HLOOKUP(I79,GasAvoidedCostsWOCC!$A$5:$Q$50,G79+1,FALSE)*J79*L79</f>
        <v>0</v>
      </c>
      <c r="AL79" s="44">
        <f t="shared" si="33"/>
        <v>26958.57390129671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26958.573901296713</v>
      </c>
      <c r="AN79" s="48">
        <f t="shared" si="34"/>
        <v>86867.963779835496</v>
      </c>
      <c r="AO79" s="47">
        <f t="shared" si="35"/>
        <v>0.57352754426337649</v>
      </c>
      <c r="AP79" s="47">
        <f t="shared" si="36"/>
        <v>1.1103225585682632</v>
      </c>
    </row>
    <row r="80" spans="2:42" x14ac:dyDescent="0.35">
      <c r="B80" s="97" t="s">
        <v>102</v>
      </c>
      <c r="C80" s="98">
        <v>18230661</v>
      </c>
      <c r="D80" s="61" t="s">
        <v>103</v>
      </c>
      <c r="E80" s="38" t="s">
        <v>2033</v>
      </c>
      <c r="F80" s="39" t="s">
        <v>2034</v>
      </c>
      <c r="G80" s="39"/>
      <c r="H80" s="39"/>
      <c r="I80" s="40"/>
      <c r="J80" s="41">
        <v>1</v>
      </c>
      <c r="K80" s="41">
        <v>0</v>
      </c>
      <c r="L80" s="41"/>
      <c r="M80" s="42"/>
      <c r="N80" s="42"/>
      <c r="O80" s="43">
        <v>0</v>
      </c>
      <c r="P80" s="44">
        <v>0</v>
      </c>
      <c r="Q80" s="44">
        <v>0</v>
      </c>
      <c r="R80" s="45">
        <v>0</v>
      </c>
      <c r="S80" s="46">
        <v>0</v>
      </c>
      <c r="T80" s="39">
        <f t="shared" si="18"/>
        <v>0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0</v>
      </c>
      <c r="AB80" s="51">
        <f t="shared" si="26"/>
        <v>0</v>
      </c>
      <c r="AC80" s="44">
        <f t="shared" si="27"/>
        <v>0</v>
      </c>
      <c r="AD80" s="44">
        <f t="shared" si="28"/>
        <v>0</v>
      </c>
      <c r="AE80" s="44">
        <f t="shared" si="29"/>
        <v>0</v>
      </c>
      <c r="AF80" s="52" t="e">
        <f>HLOOKUP(I80,GasAvoidedCostsWOCC!$A$5:$G$50,G80+1,FALSE)</f>
        <v>#N/A</v>
      </c>
      <c r="AG80" s="44" t="e">
        <f t="shared" si="30"/>
        <v>#N/A</v>
      </c>
      <c r="AH80" s="52" t="e">
        <f>HLOOKUP(I80,GasAvoidedCostsWOCC!$A$5:$Q$50,T80+1,FALSE)</f>
        <v>#N/A</v>
      </c>
      <c r="AI80" s="44" t="e">
        <f t="shared" si="31"/>
        <v>#N/A</v>
      </c>
      <c r="AJ80" s="44" t="e">
        <f t="shared" si="32"/>
        <v>#N/A</v>
      </c>
      <c r="AK80" s="44" t="e">
        <f>HLOOKUP(I80,GasAvoidedCostsWOCC!$A$5:$Q$50,G80+1,FALSE)*J80*L80</f>
        <v>#N/A</v>
      </c>
      <c r="AL80" s="44" t="e">
        <f t="shared" si="3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 t="e">
        <f t="shared" si="36"/>
        <v>#DIV/0!</v>
      </c>
    </row>
    <row r="81" spans="2:42" x14ac:dyDescent="0.35">
      <c r="B81" s="97" t="s">
        <v>102</v>
      </c>
      <c r="C81" s="98">
        <v>18230661</v>
      </c>
      <c r="D81" s="61" t="s">
        <v>103</v>
      </c>
      <c r="E81" s="38" t="s">
        <v>2037</v>
      </c>
      <c r="F81" s="39" t="s">
        <v>2038</v>
      </c>
      <c r="G81" s="39"/>
      <c r="H81" s="39"/>
      <c r="I81" s="40"/>
      <c r="J81" s="41">
        <v>1</v>
      </c>
      <c r="K81" s="41">
        <v>0</v>
      </c>
      <c r="L81" s="41"/>
      <c r="M81" s="42"/>
      <c r="N81" s="42"/>
      <c r="O81" s="43">
        <v>0</v>
      </c>
      <c r="P81" s="44">
        <v>0</v>
      </c>
      <c r="Q81" s="44">
        <v>0</v>
      </c>
      <c r="R81" s="45">
        <v>0</v>
      </c>
      <c r="S81" s="46">
        <v>0</v>
      </c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 x14ac:dyDescent="0.35">
      <c r="B82" s="97" t="s">
        <v>102</v>
      </c>
      <c r="C82" s="98">
        <v>18230661</v>
      </c>
      <c r="D82" s="61" t="s">
        <v>103</v>
      </c>
      <c r="E82" s="38" t="s">
        <v>2043</v>
      </c>
      <c r="F82" s="39" t="s">
        <v>2044</v>
      </c>
      <c r="G82" s="39"/>
      <c r="H82" s="39"/>
      <c r="I82" s="40"/>
      <c r="J82" s="41">
        <v>11</v>
      </c>
      <c r="K82" s="41"/>
      <c r="L82" s="41"/>
      <c r="M82" s="42"/>
      <c r="N82" s="42"/>
      <c r="O82" s="43">
        <v>0</v>
      </c>
      <c r="P82" s="44">
        <v>4279.8100000000004</v>
      </c>
      <c r="Q82" s="44">
        <v>4279.8100000000004</v>
      </c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4279.8100000000004</v>
      </c>
      <c r="AB82" s="51">
        <f t="shared" si="26"/>
        <v>0</v>
      </c>
      <c r="AC82" s="44">
        <f t="shared" si="27"/>
        <v>4007.3127340823971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>
        <f t="shared" si="36"/>
        <v>0</v>
      </c>
    </row>
    <row r="83" spans="2:42" x14ac:dyDescent="0.35">
      <c r="B83" s="97" t="s">
        <v>102</v>
      </c>
      <c r="C83" s="98">
        <v>18230661</v>
      </c>
      <c r="D83" s="61" t="s">
        <v>103</v>
      </c>
      <c r="E83" s="38" t="s">
        <v>2049</v>
      </c>
      <c r="F83" s="39" t="s">
        <v>2050</v>
      </c>
      <c r="G83" s="39"/>
      <c r="H83" s="39"/>
      <c r="I83" s="40"/>
      <c r="J83" s="41">
        <v>18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23966.18</v>
      </c>
      <c r="Q83" s="44">
        <v>23966.18</v>
      </c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23966.18</v>
      </c>
      <c r="AB83" s="51">
        <f t="shared" si="26"/>
        <v>0</v>
      </c>
      <c r="AC83" s="44">
        <f t="shared" si="27"/>
        <v>22440.243445692882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>
        <f t="shared" si="36"/>
        <v>0</v>
      </c>
    </row>
    <row r="84" spans="2:42" x14ac:dyDescent="0.35">
      <c r="B84" s="97" t="s">
        <v>102</v>
      </c>
      <c r="C84" s="98">
        <v>18230661</v>
      </c>
      <c r="D84" s="61" t="s">
        <v>103</v>
      </c>
      <c r="E84" s="38" t="s">
        <v>2051</v>
      </c>
      <c r="F84" s="39" t="s">
        <v>2052</v>
      </c>
      <c r="G84" s="39"/>
      <c r="H84" s="39"/>
      <c r="I84" s="40"/>
      <c r="J84" s="41">
        <v>10</v>
      </c>
      <c r="K84" s="41">
        <v>0</v>
      </c>
      <c r="L84" s="41"/>
      <c r="M84" s="42">
        <v>0</v>
      </c>
      <c r="N84" s="42">
        <v>0</v>
      </c>
      <c r="O84" s="43">
        <v>0</v>
      </c>
      <c r="P84" s="44">
        <v>1480.85</v>
      </c>
      <c r="Q84" s="44">
        <v>1480.85</v>
      </c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1480.85</v>
      </c>
      <c r="AB84" s="51">
        <f t="shared" si="26"/>
        <v>0</v>
      </c>
      <c r="AC84" s="44">
        <f t="shared" si="27"/>
        <v>1386.563670411985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>
        <f t="shared" si="36"/>
        <v>0</v>
      </c>
    </row>
    <row r="85" spans="2:42" x14ac:dyDescent="0.35">
      <c r="B85" s="97" t="s">
        <v>102</v>
      </c>
      <c r="C85" s="98">
        <v>18230661</v>
      </c>
      <c r="D85" s="61" t="s">
        <v>103</v>
      </c>
      <c r="E85" s="38" t="s">
        <v>2053</v>
      </c>
      <c r="F85" s="39" t="s">
        <v>2054</v>
      </c>
      <c r="G85" s="39"/>
      <c r="H85" s="39"/>
      <c r="I85" s="40"/>
      <c r="J85" s="41">
        <v>3</v>
      </c>
      <c r="K85" s="41">
        <v>0</v>
      </c>
      <c r="L85" s="41"/>
      <c r="M85" s="42">
        <v>0</v>
      </c>
      <c r="N85" s="42">
        <v>0</v>
      </c>
      <c r="O85" s="43">
        <v>0</v>
      </c>
      <c r="P85" s="44">
        <v>1910.01</v>
      </c>
      <c r="Q85" s="44">
        <v>1910.01</v>
      </c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1910.01</v>
      </c>
      <c r="AB85" s="51">
        <f t="shared" si="26"/>
        <v>0</v>
      </c>
      <c r="AC85" s="44">
        <f t="shared" si="27"/>
        <v>1788.3988764044943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>
        <f t="shared" si="36"/>
        <v>0</v>
      </c>
    </row>
    <row r="86" spans="2:42" x14ac:dyDescent="0.35">
      <c r="B86" s="97" t="s">
        <v>102</v>
      </c>
      <c r="C86" s="98">
        <v>18230661</v>
      </c>
      <c r="D86" s="61" t="s">
        <v>103</v>
      </c>
      <c r="E86" s="38" t="s">
        <v>2055</v>
      </c>
      <c r="F86" s="39" t="s">
        <v>2056</v>
      </c>
      <c r="G86" s="39"/>
      <c r="H86" s="39"/>
      <c r="I86" s="40"/>
      <c r="J86" s="41">
        <v>6</v>
      </c>
      <c r="K86" s="41">
        <v>0</v>
      </c>
      <c r="L86" s="41"/>
      <c r="M86" s="42">
        <v>0</v>
      </c>
      <c r="N86" s="42">
        <v>0</v>
      </c>
      <c r="O86" s="43">
        <v>0</v>
      </c>
      <c r="P86" s="44">
        <v>2569.02</v>
      </c>
      <c r="Q86" s="44">
        <v>2569.02</v>
      </c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2569.02</v>
      </c>
      <c r="AB86" s="51">
        <f t="shared" ref="AB86:AB131" si="45">Z86/(1+GasDiscountRate)^1</f>
        <v>0</v>
      </c>
      <c r="AC86" s="44">
        <f t="shared" ref="AC86:AC131" si="46">AA86/(1+GasDiscountRate)^1</f>
        <v>2405.4494382022472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>
        <f t="shared" ref="AP86:AP131" si="55">AN86/AC86</f>
        <v>0</v>
      </c>
    </row>
    <row r="87" spans="2:42" x14ac:dyDescent="0.35">
      <c r="B87" s="97" t="s">
        <v>102</v>
      </c>
      <c r="C87" s="98">
        <v>18230661</v>
      </c>
      <c r="D87" s="61" t="s">
        <v>103</v>
      </c>
      <c r="E87" s="38" t="s">
        <v>2057</v>
      </c>
      <c r="F87" s="39" t="s">
        <v>2058</v>
      </c>
      <c r="G87" s="39"/>
      <c r="H87" s="39"/>
      <c r="I87" s="40"/>
      <c r="J87" s="41">
        <v>11</v>
      </c>
      <c r="K87" s="41">
        <v>0</v>
      </c>
      <c r="L87" s="41"/>
      <c r="M87" s="42">
        <v>0</v>
      </c>
      <c r="N87" s="42">
        <v>0</v>
      </c>
      <c r="O87" s="43">
        <v>0</v>
      </c>
      <c r="P87" s="44">
        <v>7285.94</v>
      </c>
      <c r="Q87" s="44">
        <v>7285.94</v>
      </c>
      <c r="R87" s="45">
        <v>0</v>
      </c>
      <c r="S87" s="46">
        <v>0</v>
      </c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7285.94</v>
      </c>
      <c r="AB87" s="51">
        <f t="shared" si="45"/>
        <v>0</v>
      </c>
      <c r="AC87" s="44">
        <f t="shared" si="46"/>
        <v>6822.0411985018718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>
        <f t="shared" si="55"/>
        <v>0</v>
      </c>
    </row>
    <row r="88" spans="2:42" x14ac:dyDescent="0.35">
      <c r="B88" s="97" t="s">
        <v>102</v>
      </c>
      <c r="C88" s="98">
        <v>18230661</v>
      </c>
      <c r="D88" s="61" t="s">
        <v>103</v>
      </c>
      <c r="E88" s="38" t="s">
        <v>2061</v>
      </c>
      <c r="F88" s="39" t="s">
        <v>2062</v>
      </c>
      <c r="G88" s="39"/>
      <c r="H88" s="39"/>
      <c r="I88" s="40"/>
      <c r="J88" s="41">
        <v>29</v>
      </c>
      <c r="K88" s="41">
        <v>0</v>
      </c>
      <c r="L88" s="41">
        <v>0</v>
      </c>
      <c r="M88" s="42">
        <v>0</v>
      </c>
      <c r="N88" s="42">
        <v>0</v>
      </c>
      <c r="O88" s="43">
        <v>0</v>
      </c>
      <c r="P88" s="44">
        <v>5484.82</v>
      </c>
      <c r="Q88" s="44">
        <v>5484.82</v>
      </c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5484.82</v>
      </c>
      <c r="AB88" s="51">
        <f t="shared" si="45"/>
        <v>0</v>
      </c>
      <c r="AC88" s="44">
        <f t="shared" si="46"/>
        <v>5135.5992509363286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>
        <f t="shared" si="55"/>
        <v>0</v>
      </c>
    </row>
    <row r="89" spans="2:42" x14ac:dyDescent="0.35">
      <c r="B89" s="97" t="s">
        <v>102</v>
      </c>
      <c r="C89" s="98">
        <v>18230661</v>
      </c>
      <c r="D89" s="61" t="s">
        <v>103</v>
      </c>
      <c r="E89" s="38" t="s">
        <v>2063</v>
      </c>
      <c r="F89" s="39" t="s">
        <v>2064</v>
      </c>
      <c r="G89" s="39">
        <v>20</v>
      </c>
      <c r="H89" s="39"/>
      <c r="I89" s="40" t="s">
        <v>274</v>
      </c>
      <c r="J89" s="41">
        <v>2</v>
      </c>
      <c r="K89" s="41">
        <v>3708.5</v>
      </c>
      <c r="L89" s="41"/>
      <c r="M89" s="42"/>
      <c r="N89" s="42"/>
      <c r="O89" s="43">
        <v>7417</v>
      </c>
      <c r="P89" s="44">
        <v>147160</v>
      </c>
      <c r="Q89" s="44">
        <v>147160</v>
      </c>
      <c r="R89" s="45"/>
      <c r="S89" s="46"/>
      <c r="T89" s="39">
        <f t="shared" si="37"/>
        <v>20</v>
      </c>
      <c r="U89" s="47">
        <f t="shared" si="38"/>
        <v>5.3610447134403429</v>
      </c>
      <c r="V89" s="48">
        <f t="shared" si="39"/>
        <v>0</v>
      </c>
      <c r="W89" s="49">
        <f t="shared" si="40"/>
        <v>0.26805223567201714</v>
      </c>
      <c r="X89" s="44">
        <f t="shared" si="41"/>
        <v>19223.178444653749</v>
      </c>
      <c r="Y89" s="44">
        <f t="shared" si="42"/>
        <v>0</v>
      </c>
      <c r="Z89" s="44">
        <f t="shared" si="43"/>
        <v>362991.45899635641</v>
      </c>
      <c r="AA89" s="50">
        <f t="shared" si="44"/>
        <v>166383.17844465375</v>
      </c>
      <c r="AB89" s="51">
        <f t="shared" si="45"/>
        <v>339879.64325501537</v>
      </c>
      <c r="AC89" s="44">
        <f t="shared" si="46"/>
        <v>155789.49292570574</v>
      </c>
      <c r="AD89" s="44">
        <f t="shared" si="47"/>
        <v>0</v>
      </c>
      <c r="AE89" s="44">
        <f t="shared" si="48"/>
        <v>0</v>
      </c>
      <c r="AF89" s="52">
        <f>HLOOKUP(I89,GasAvoidedCostsWOCC!$A$5:$G$50,G89+1,FALSE)</f>
        <v>13.713759429231397</v>
      </c>
      <c r="AG89" s="44">
        <f t="shared" si="49"/>
        <v>101714.95368660927</v>
      </c>
      <c r="AH89" s="52">
        <f>HLOOKUP(I89,GasAvoidedCostsWOCC!$A$5:$Q$50,T89+1,FALSE)</f>
        <v>13.713759429231397</v>
      </c>
      <c r="AI89" s="44">
        <f t="shared" si="50"/>
        <v>0</v>
      </c>
      <c r="AJ89" s="44">
        <f t="shared" si="51"/>
        <v>101714.95368660927</v>
      </c>
      <c r="AK89" s="44">
        <f>HLOOKUP(I89,GasAvoidedCostsWOCC!$A$5:$Q$50,G89+1,FALSE)*J89*L89</f>
        <v>0</v>
      </c>
      <c r="AL89" s="44">
        <f t="shared" si="52"/>
        <v>101714.95368660927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101714.95368660927</v>
      </c>
      <c r="AN89" s="48">
        <f t="shared" si="53"/>
        <v>111886.4490552702</v>
      </c>
      <c r="AO89" s="47">
        <f t="shared" si="54"/>
        <v>0.29926756634345247</v>
      </c>
      <c r="AP89" s="47">
        <f t="shared" si="55"/>
        <v>0.71818995590817925</v>
      </c>
    </row>
    <row r="90" spans="2:42" x14ac:dyDescent="0.35">
      <c r="B90" s="97" t="s">
        <v>102</v>
      </c>
      <c r="C90" s="98">
        <v>18230661</v>
      </c>
      <c r="D90" s="61" t="s">
        <v>103</v>
      </c>
      <c r="E90" s="38" t="s">
        <v>2065</v>
      </c>
      <c r="F90" s="39" t="s">
        <v>2066</v>
      </c>
      <c r="G90" s="39"/>
      <c r="H90" s="39"/>
      <c r="I90" s="40"/>
      <c r="J90" s="41">
        <v>1</v>
      </c>
      <c r="K90" s="41">
        <v>0</v>
      </c>
      <c r="L90" s="41"/>
      <c r="M90" s="42"/>
      <c r="N90" s="42"/>
      <c r="O90" s="43">
        <v>0</v>
      </c>
      <c r="P90" s="44">
        <v>0</v>
      </c>
      <c r="Q90" s="44">
        <v>31366.82</v>
      </c>
      <c r="R90" s="45">
        <v>0</v>
      </c>
      <c r="S90" s="46">
        <v>0</v>
      </c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31366.82</v>
      </c>
      <c r="Z90" s="44">
        <f t="shared" si="43"/>
        <v>0</v>
      </c>
      <c r="AA90" s="50">
        <f t="shared" si="44"/>
        <v>31366.82</v>
      </c>
      <c r="AB90" s="51">
        <f t="shared" si="45"/>
        <v>0</v>
      </c>
      <c r="AC90" s="44">
        <f t="shared" si="46"/>
        <v>29369.681647940073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>
        <f t="shared" si="55"/>
        <v>0</v>
      </c>
    </row>
    <row r="91" spans="2:42" x14ac:dyDescent="0.35">
      <c r="B91" s="97" t="s">
        <v>102</v>
      </c>
      <c r="C91" s="98">
        <v>18230661</v>
      </c>
      <c r="D91" s="61" t="s">
        <v>103</v>
      </c>
      <c r="E91" s="38" t="s">
        <v>2067</v>
      </c>
      <c r="F91" s="39" t="s">
        <v>2068</v>
      </c>
      <c r="G91" s="39"/>
      <c r="H91" s="39"/>
      <c r="I91" s="40"/>
      <c r="J91" s="41">
        <v>14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10908.26</v>
      </c>
      <c r="Q91" s="44">
        <v>10908.26</v>
      </c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10908.26</v>
      </c>
      <c r="AB91" s="51">
        <f t="shared" si="45"/>
        <v>0</v>
      </c>
      <c r="AC91" s="44">
        <f t="shared" si="46"/>
        <v>10213.7265917603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>
        <f t="shared" si="55"/>
        <v>0</v>
      </c>
    </row>
    <row r="92" spans="2:42" x14ac:dyDescent="0.35">
      <c r="B92" s="97" t="s">
        <v>102</v>
      </c>
      <c r="C92" s="98">
        <v>18230661</v>
      </c>
      <c r="D92" s="61" t="s">
        <v>103</v>
      </c>
      <c r="E92" s="38" t="s">
        <v>2069</v>
      </c>
      <c r="F92" s="39" t="s">
        <v>2070</v>
      </c>
      <c r="G92" s="39"/>
      <c r="H92" s="39"/>
      <c r="I92" s="40"/>
      <c r="J92" s="41">
        <v>2</v>
      </c>
      <c r="K92" s="41">
        <v>0</v>
      </c>
      <c r="L92" s="41"/>
      <c r="M92" s="42">
        <v>0</v>
      </c>
      <c r="N92" s="42">
        <v>0</v>
      </c>
      <c r="O92" s="43">
        <v>0</v>
      </c>
      <c r="P92" s="44">
        <v>1209.55</v>
      </c>
      <c r="Q92" s="44">
        <v>1209.55</v>
      </c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1209.55</v>
      </c>
      <c r="AB92" s="51">
        <f t="shared" si="45"/>
        <v>0</v>
      </c>
      <c r="AC92" s="44">
        <f t="shared" si="46"/>
        <v>1132.5374531835205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>
        <f t="shared" si="55"/>
        <v>0</v>
      </c>
    </row>
    <row r="93" spans="2:42" x14ac:dyDescent="0.35">
      <c r="B93" s="97" t="s">
        <v>102</v>
      </c>
      <c r="C93" s="98">
        <v>18230661</v>
      </c>
      <c r="D93" s="61" t="s">
        <v>103</v>
      </c>
      <c r="E93" s="38" t="s">
        <v>2075</v>
      </c>
      <c r="F93" s="39" t="s">
        <v>2076</v>
      </c>
      <c r="G93" s="39"/>
      <c r="H93" s="39"/>
      <c r="I93" s="40"/>
      <c r="J93" s="41">
        <v>1</v>
      </c>
      <c r="K93" s="41">
        <v>0</v>
      </c>
      <c r="L93" s="41"/>
      <c r="M93" s="42">
        <v>0</v>
      </c>
      <c r="N93" s="42">
        <v>0</v>
      </c>
      <c r="O93" s="43">
        <v>0</v>
      </c>
      <c r="P93" s="44">
        <v>0</v>
      </c>
      <c r="Q93" s="44">
        <v>232.26</v>
      </c>
      <c r="R93" s="45">
        <v>0</v>
      </c>
      <c r="S93" s="46">
        <v>0</v>
      </c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232.26</v>
      </c>
      <c r="Z93" s="44">
        <f t="shared" si="43"/>
        <v>0</v>
      </c>
      <c r="AA93" s="50">
        <f t="shared" si="44"/>
        <v>232.26</v>
      </c>
      <c r="AB93" s="51">
        <f t="shared" si="45"/>
        <v>0</v>
      </c>
      <c r="AC93" s="44">
        <f t="shared" si="46"/>
        <v>217.47191011235952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>
        <f t="shared" si="55"/>
        <v>0</v>
      </c>
    </row>
    <row r="94" spans="2:42" x14ac:dyDescent="0.35">
      <c r="B94" s="97" t="s">
        <v>102</v>
      </c>
      <c r="C94" s="98">
        <v>18230661</v>
      </c>
      <c r="D94" s="61" t="s">
        <v>103</v>
      </c>
      <c r="E94" s="38" t="s">
        <v>2077</v>
      </c>
      <c r="F94" s="39" t="s">
        <v>2078</v>
      </c>
      <c r="G94" s="39">
        <v>11</v>
      </c>
      <c r="H94" s="39"/>
      <c r="I94" s="40" t="s">
        <v>274</v>
      </c>
      <c r="J94" s="41">
        <v>1</v>
      </c>
      <c r="K94" s="41">
        <v>33</v>
      </c>
      <c r="L94" s="41"/>
      <c r="M94" s="42">
        <v>400</v>
      </c>
      <c r="N94" s="42">
        <v>400</v>
      </c>
      <c r="O94" s="43">
        <v>33</v>
      </c>
      <c r="P94" s="44">
        <v>488.8</v>
      </c>
      <c r="Q94" s="44">
        <v>488.8</v>
      </c>
      <c r="R94" s="45">
        <v>26.45</v>
      </c>
      <c r="S94" s="46">
        <v>0</v>
      </c>
      <c r="T94" s="39">
        <f t="shared" si="37"/>
        <v>11</v>
      </c>
      <c r="U94" s="47">
        <f t="shared" si="38"/>
        <v>1.3118910819595823E-2</v>
      </c>
      <c r="V94" s="48">
        <f t="shared" si="39"/>
        <v>0</v>
      </c>
      <c r="W94" s="49">
        <f t="shared" si="40"/>
        <v>1.1926282563268929E-3</v>
      </c>
      <c r="X94" s="44">
        <f t="shared" si="41"/>
        <v>85.528500562703755</v>
      </c>
      <c r="Y94" s="44">
        <f t="shared" si="42"/>
        <v>0</v>
      </c>
      <c r="Z94" s="44">
        <f t="shared" si="43"/>
        <v>1615.0354788836135</v>
      </c>
      <c r="AA94" s="50">
        <f t="shared" si="44"/>
        <v>574.32850056270377</v>
      </c>
      <c r="AB94" s="51">
        <f t="shared" si="45"/>
        <v>1512.2055045726718</v>
      </c>
      <c r="AC94" s="44">
        <f t="shared" si="46"/>
        <v>537.76076831713829</v>
      </c>
      <c r="AD94" s="44">
        <f t="shared" si="47"/>
        <v>200.33093733154325</v>
      </c>
      <c r="AE94" s="44">
        <f t="shared" si="48"/>
        <v>0</v>
      </c>
      <c r="AF94" s="52">
        <f>HLOOKUP(I94,GasAvoidedCostsWOCC!$A$5:$G$50,G94+1,FALSE)</f>
        <v>8.3814672267569037</v>
      </c>
      <c r="AG94" s="44">
        <f t="shared" si="49"/>
        <v>276.58841848297783</v>
      </c>
      <c r="AH94" s="52">
        <f>HLOOKUP(I94,GasAvoidedCostsWOCC!$A$5:$Q$50,T94+1,FALSE)</f>
        <v>8.3814672267569037</v>
      </c>
      <c r="AI94" s="44">
        <f t="shared" si="50"/>
        <v>0</v>
      </c>
      <c r="AJ94" s="44">
        <f t="shared" si="51"/>
        <v>276.58841848297783</v>
      </c>
      <c r="AK94" s="44">
        <f>HLOOKUP(I94,GasAvoidedCostsWOCC!$A$5:$Q$50,G94+1,FALSE)*J94*L94</f>
        <v>0</v>
      </c>
      <c r="AL94" s="44">
        <f t="shared" si="52"/>
        <v>276.58841848297783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276.58841848297783</v>
      </c>
      <c r="AN94" s="48">
        <f t="shared" si="53"/>
        <v>504.57819766281887</v>
      </c>
      <c r="AO94" s="47">
        <f t="shared" si="54"/>
        <v>0.18290398867522828</v>
      </c>
      <c r="AP94" s="47">
        <f t="shared" si="55"/>
        <v>0.93829492107027346</v>
      </c>
    </row>
    <row r="95" spans="2:42" x14ac:dyDescent="0.35">
      <c r="B95" s="97" t="s">
        <v>102</v>
      </c>
      <c r="C95" s="98">
        <v>18230661</v>
      </c>
      <c r="D95" s="61" t="s">
        <v>103</v>
      </c>
      <c r="E95" s="38" t="s">
        <v>2079</v>
      </c>
      <c r="F95" s="39" t="s">
        <v>2080</v>
      </c>
      <c r="G95" s="39"/>
      <c r="H95" s="39"/>
      <c r="I95" s="40"/>
      <c r="J95" s="41">
        <v>1</v>
      </c>
      <c r="K95" s="41">
        <v>0</v>
      </c>
      <c r="L95" s="41"/>
      <c r="M95" s="42">
        <v>0</v>
      </c>
      <c r="N95" s="42">
        <v>0</v>
      </c>
      <c r="O95" s="43">
        <v>0</v>
      </c>
      <c r="P95" s="44">
        <v>1300</v>
      </c>
      <c r="Q95" s="44">
        <v>1300</v>
      </c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1300</v>
      </c>
      <c r="AB95" s="51">
        <f t="shared" si="45"/>
        <v>0</v>
      </c>
      <c r="AC95" s="44">
        <f t="shared" si="46"/>
        <v>1217.2284644194756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>
        <f t="shared" si="55"/>
        <v>0</v>
      </c>
    </row>
    <row r="96" spans="2:42" x14ac:dyDescent="0.35">
      <c r="B96" s="97" t="s">
        <v>102</v>
      </c>
      <c r="C96" s="98">
        <v>18230661</v>
      </c>
      <c r="D96" s="61" t="s">
        <v>103</v>
      </c>
      <c r="E96" s="38" t="s">
        <v>2081</v>
      </c>
      <c r="F96" s="39" t="s">
        <v>2082</v>
      </c>
      <c r="G96" s="39"/>
      <c r="H96" s="39"/>
      <c r="I96" s="40"/>
      <c r="J96" s="41">
        <v>1</v>
      </c>
      <c r="K96" s="41">
        <v>0</v>
      </c>
      <c r="L96" s="41"/>
      <c r="M96" s="42">
        <v>0</v>
      </c>
      <c r="N96" s="42">
        <v>0</v>
      </c>
      <c r="O96" s="43">
        <v>0</v>
      </c>
      <c r="P96" s="44">
        <v>277.06</v>
      </c>
      <c r="Q96" s="44">
        <v>277.06</v>
      </c>
      <c r="R96" s="45">
        <v>0</v>
      </c>
      <c r="S96" s="46">
        <v>0</v>
      </c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277.06</v>
      </c>
      <c r="AB96" s="51">
        <f t="shared" si="45"/>
        <v>0</v>
      </c>
      <c r="AC96" s="44">
        <f t="shared" si="46"/>
        <v>259.41947565543069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>
        <f t="shared" si="55"/>
        <v>0</v>
      </c>
    </row>
    <row r="97" spans="1:42" x14ac:dyDescent="0.35">
      <c r="B97" s="97" t="s">
        <v>102</v>
      </c>
      <c r="C97" s="98">
        <v>18230661</v>
      </c>
      <c r="D97" s="61" t="s">
        <v>103</v>
      </c>
      <c r="E97" s="38" t="s">
        <v>2083</v>
      </c>
      <c r="F97" s="39" t="s">
        <v>2084</v>
      </c>
      <c r="G97" s="39"/>
      <c r="H97" s="39"/>
      <c r="I97" s="40"/>
      <c r="J97" s="41">
        <v>2</v>
      </c>
      <c r="K97" s="41">
        <v>0</v>
      </c>
      <c r="L97" s="41"/>
      <c r="M97" s="42">
        <v>0</v>
      </c>
      <c r="N97" s="42">
        <v>0</v>
      </c>
      <c r="O97" s="43">
        <v>0</v>
      </c>
      <c r="P97" s="44">
        <v>565.75</v>
      </c>
      <c r="Q97" s="44">
        <v>565.75</v>
      </c>
      <c r="R97" s="45">
        <v>0</v>
      </c>
      <c r="S97" s="46">
        <v>0</v>
      </c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565.75</v>
      </c>
      <c r="AB97" s="51">
        <f t="shared" si="45"/>
        <v>0</v>
      </c>
      <c r="AC97" s="44">
        <f t="shared" si="46"/>
        <v>529.72846441947559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>
        <f t="shared" si="55"/>
        <v>0</v>
      </c>
    </row>
    <row r="98" spans="1:42" x14ac:dyDescent="0.35">
      <c r="B98" s="97" t="s">
        <v>102</v>
      </c>
      <c r="C98" s="98">
        <v>18230661</v>
      </c>
      <c r="D98" s="61" t="s">
        <v>103</v>
      </c>
      <c r="E98" s="38" t="s">
        <v>2085</v>
      </c>
      <c r="F98" s="39" t="s">
        <v>2086</v>
      </c>
      <c r="G98" s="39"/>
      <c r="H98" s="39"/>
      <c r="I98" s="40"/>
      <c r="J98" s="41">
        <v>9</v>
      </c>
      <c r="K98" s="41">
        <v>0</v>
      </c>
      <c r="L98" s="41"/>
      <c r="M98" s="42">
        <v>0</v>
      </c>
      <c r="N98" s="42">
        <v>0</v>
      </c>
      <c r="O98" s="43">
        <v>0</v>
      </c>
      <c r="P98" s="44">
        <v>2671.84</v>
      </c>
      <c r="Q98" s="44">
        <v>2671.84</v>
      </c>
      <c r="R98" s="45">
        <v>0</v>
      </c>
      <c r="S98" s="46">
        <v>0</v>
      </c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2671.84</v>
      </c>
      <c r="AB98" s="51">
        <f t="shared" si="45"/>
        <v>0</v>
      </c>
      <c r="AC98" s="44">
        <f t="shared" si="46"/>
        <v>2501.7228464419477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>
        <f t="shared" si="55"/>
        <v>0</v>
      </c>
    </row>
    <row r="99" spans="1:42" x14ac:dyDescent="0.35">
      <c r="B99" s="97" t="s">
        <v>102</v>
      </c>
      <c r="C99" s="98">
        <v>18230661</v>
      </c>
      <c r="D99" s="61" t="s">
        <v>103</v>
      </c>
      <c r="E99" s="38" t="s">
        <v>2087</v>
      </c>
      <c r="F99" s="39" t="s">
        <v>2088</v>
      </c>
      <c r="G99" s="39">
        <v>45</v>
      </c>
      <c r="H99" s="39"/>
      <c r="I99" s="40" t="s">
        <v>274</v>
      </c>
      <c r="J99" s="41">
        <v>291</v>
      </c>
      <c r="K99" s="41">
        <v>0.38</v>
      </c>
      <c r="L99" s="41"/>
      <c r="M99" s="42">
        <v>22.6</v>
      </c>
      <c r="N99" s="42">
        <v>22.6</v>
      </c>
      <c r="O99" s="43">
        <v>110.58</v>
      </c>
      <c r="P99" s="44">
        <v>8503.17</v>
      </c>
      <c r="Q99" s="44">
        <v>8503.17</v>
      </c>
      <c r="R99" s="45">
        <v>0.48</v>
      </c>
      <c r="S99" s="46">
        <v>0</v>
      </c>
      <c r="T99" s="39">
        <f t="shared" si="37"/>
        <v>45</v>
      </c>
      <c r="U99" s="47">
        <f t="shared" si="38"/>
        <v>0.17983749897903792</v>
      </c>
      <c r="V99" s="48">
        <f t="shared" si="39"/>
        <v>0</v>
      </c>
      <c r="W99" s="49">
        <f t="shared" si="40"/>
        <v>3.9963888662008428E-3</v>
      </c>
      <c r="X99" s="44">
        <f t="shared" si="41"/>
        <v>286.59823006738731</v>
      </c>
      <c r="Y99" s="44">
        <f t="shared" si="42"/>
        <v>0</v>
      </c>
      <c r="Z99" s="44">
        <f t="shared" si="43"/>
        <v>5411.8370683318171</v>
      </c>
      <c r="AA99" s="50">
        <f t="shared" si="44"/>
        <v>8789.7682300673878</v>
      </c>
      <c r="AB99" s="51">
        <f t="shared" si="45"/>
        <v>5067.2631725953343</v>
      </c>
      <c r="AC99" s="44">
        <f t="shared" si="46"/>
        <v>8230.1200656061683</v>
      </c>
      <c r="AD99" s="44">
        <f t="shared" si="47"/>
        <v>1947.7232047411153</v>
      </c>
      <c r="AE99" s="44">
        <f t="shared" si="48"/>
        <v>0</v>
      </c>
      <c r="AF99" s="52">
        <f>HLOOKUP(I99,GasAvoidedCostsWOCC!$A$5:$G$50,G99+1,FALSE)</f>
        <v>26.281560892700742</v>
      </c>
      <c r="AG99" s="44">
        <f t="shared" si="49"/>
        <v>2906.2150035148479</v>
      </c>
      <c r="AH99" s="52">
        <f>HLOOKUP(I99,GasAvoidedCostsWOCC!$A$5:$Q$50,T99+1,FALSE)</f>
        <v>26.281560892700742</v>
      </c>
      <c r="AI99" s="44">
        <f t="shared" si="50"/>
        <v>0</v>
      </c>
      <c r="AJ99" s="44">
        <f t="shared" si="51"/>
        <v>2906.2150035148479</v>
      </c>
      <c r="AK99" s="44">
        <f>HLOOKUP(I99,GasAvoidedCostsWOCC!$A$5:$Q$50,G99+1,FALSE)*J99*L99</f>
        <v>0</v>
      </c>
      <c r="AL99" s="44">
        <f t="shared" si="52"/>
        <v>2906.2150035148479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2906.2150035148479</v>
      </c>
      <c r="AN99" s="48">
        <f t="shared" si="53"/>
        <v>5144.5597086074486</v>
      </c>
      <c r="AO99" s="47">
        <f t="shared" si="54"/>
        <v>0.57352754426337649</v>
      </c>
      <c r="AP99" s="47">
        <f t="shared" si="55"/>
        <v>0.62508926572124546</v>
      </c>
    </row>
    <row r="100" spans="1:42" x14ac:dyDescent="0.35">
      <c r="B100" s="97" t="s">
        <v>102</v>
      </c>
      <c r="C100" s="98">
        <v>18230661</v>
      </c>
      <c r="D100" s="61" t="s">
        <v>103</v>
      </c>
      <c r="E100" s="38" t="s">
        <v>2089</v>
      </c>
      <c r="F100" s="39" t="s">
        <v>2090</v>
      </c>
      <c r="G100" s="39">
        <v>13</v>
      </c>
      <c r="H100" s="39"/>
      <c r="I100" s="40" t="s">
        <v>270</v>
      </c>
      <c r="J100" s="41">
        <v>5</v>
      </c>
      <c r="K100" s="41">
        <v>15</v>
      </c>
      <c r="L100" s="41"/>
      <c r="M100" s="42">
        <v>841.67</v>
      </c>
      <c r="N100" s="42">
        <v>841.67</v>
      </c>
      <c r="O100" s="43">
        <v>75</v>
      </c>
      <c r="P100" s="44">
        <v>6391.68</v>
      </c>
      <c r="Q100" s="44">
        <v>6391.68</v>
      </c>
      <c r="R100" s="45">
        <v>1.53</v>
      </c>
      <c r="S100" s="46">
        <v>0</v>
      </c>
      <c r="T100" s="39">
        <f t="shared" si="37"/>
        <v>13</v>
      </c>
      <c r="U100" s="47">
        <f t="shared" si="38"/>
        <v>3.5236743936930923E-2</v>
      </c>
      <c r="V100" s="48">
        <f t="shared" si="39"/>
        <v>0</v>
      </c>
      <c r="W100" s="49">
        <f t="shared" si="40"/>
        <v>2.7105187643793019E-3</v>
      </c>
      <c r="X100" s="44">
        <f t="shared" si="41"/>
        <v>194.3829558243267</v>
      </c>
      <c r="Y100" s="44">
        <f t="shared" si="42"/>
        <v>0</v>
      </c>
      <c r="Z100" s="44">
        <f t="shared" si="43"/>
        <v>3670.5351792809388</v>
      </c>
      <c r="AA100" s="50">
        <f t="shared" si="44"/>
        <v>6586.0629558243272</v>
      </c>
      <c r="AB100" s="51">
        <f t="shared" si="45"/>
        <v>3436.8306922106167</v>
      </c>
      <c r="AC100" s="44">
        <f t="shared" si="46"/>
        <v>6166.7256140677218</v>
      </c>
      <c r="AD100" s="44">
        <f t="shared" si="47"/>
        <v>64.667152262515955</v>
      </c>
      <c r="AE100" s="44">
        <f t="shared" si="48"/>
        <v>0</v>
      </c>
      <c r="AF100" s="52">
        <f>HLOOKUP(I100,GasAvoidedCostsWOCC!$A$5:$G$50,G100+1,FALSE)</f>
        <v>9.0090646643852761</v>
      </c>
      <c r="AG100" s="44">
        <f t="shared" si="49"/>
        <v>675.67984982889573</v>
      </c>
      <c r="AH100" s="52">
        <f>HLOOKUP(I100,GasAvoidedCostsWOCC!$A$5:$Q$50,T100+1,FALSE)</f>
        <v>9.0090646643852761</v>
      </c>
      <c r="AI100" s="44">
        <f t="shared" si="50"/>
        <v>0</v>
      </c>
      <c r="AJ100" s="44">
        <f t="shared" si="51"/>
        <v>675.67984982889573</v>
      </c>
      <c r="AK100" s="44">
        <f>HLOOKUP(I100,GasAvoidedCostsWOCC!$A$5:$Q$50,G100+1,FALSE)*J100*L100</f>
        <v>0</v>
      </c>
      <c r="AL100" s="44">
        <f t="shared" si="52"/>
        <v>675.67984982889573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675.67984982889573</v>
      </c>
      <c r="AN100" s="48">
        <f t="shared" si="53"/>
        <v>807.91498707430128</v>
      </c>
      <c r="AO100" s="47">
        <f t="shared" si="54"/>
        <v>0.19659969033688104</v>
      </c>
      <c r="AP100" s="47">
        <f t="shared" si="55"/>
        <v>0.13101198879860343</v>
      </c>
    </row>
    <row r="101" spans="1:42" x14ac:dyDescent="0.35">
      <c r="B101" s="97" t="s">
        <v>102</v>
      </c>
      <c r="C101" s="98">
        <v>18230661</v>
      </c>
      <c r="D101" s="61" t="s">
        <v>103</v>
      </c>
      <c r="E101" s="38" t="s">
        <v>2091</v>
      </c>
      <c r="F101" s="39" t="s">
        <v>2092</v>
      </c>
      <c r="G101" s="39">
        <v>20</v>
      </c>
      <c r="H101" s="39"/>
      <c r="I101" s="40" t="s">
        <v>270</v>
      </c>
      <c r="J101" s="41">
        <v>2</v>
      </c>
      <c r="K101" s="41">
        <v>42</v>
      </c>
      <c r="L101" s="41"/>
      <c r="M101" s="42">
        <v>1484</v>
      </c>
      <c r="N101" s="42">
        <v>1484</v>
      </c>
      <c r="O101" s="43">
        <v>84</v>
      </c>
      <c r="P101" s="44">
        <v>3858.4</v>
      </c>
      <c r="Q101" s="44">
        <v>3858.4</v>
      </c>
      <c r="R101" s="45">
        <v>3.92</v>
      </c>
      <c r="S101" s="46">
        <v>0</v>
      </c>
      <c r="T101" s="39">
        <f t="shared" si="37"/>
        <v>20</v>
      </c>
      <c r="U101" s="47">
        <f t="shared" si="38"/>
        <v>6.0715620322096368E-2</v>
      </c>
      <c r="V101" s="48">
        <f t="shared" si="39"/>
        <v>0</v>
      </c>
      <c r="W101" s="49">
        <f t="shared" si="40"/>
        <v>3.0357810161048184E-3</v>
      </c>
      <c r="X101" s="44">
        <f t="shared" si="41"/>
        <v>217.70891052324592</v>
      </c>
      <c r="Y101" s="44">
        <f t="shared" si="42"/>
        <v>0</v>
      </c>
      <c r="Z101" s="44">
        <f t="shared" si="43"/>
        <v>4110.9994007946525</v>
      </c>
      <c r="AA101" s="50">
        <f t="shared" si="44"/>
        <v>4076.1089105232459</v>
      </c>
      <c r="AB101" s="51">
        <f t="shared" si="45"/>
        <v>3849.2503752758917</v>
      </c>
      <c r="AC101" s="44">
        <f t="shared" si="46"/>
        <v>3816.5813768944249</v>
      </c>
      <c r="AD101" s="44">
        <f t="shared" si="47"/>
        <v>84.363962665369854</v>
      </c>
      <c r="AE101" s="44">
        <f t="shared" si="48"/>
        <v>0</v>
      </c>
      <c r="AF101" s="52">
        <f>HLOOKUP(I101,GasAvoidedCostsWOCC!$A$5:$G$50,G101+1,FALSE)</f>
        <v>12.854199367046983</v>
      </c>
      <c r="AG101" s="44">
        <f t="shared" si="49"/>
        <v>1079.7527468319465</v>
      </c>
      <c r="AH101" s="52">
        <f>HLOOKUP(I101,GasAvoidedCostsWOCC!$A$5:$Q$50,T101+1,FALSE)</f>
        <v>12.854199367046983</v>
      </c>
      <c r="AI101" s="44">
        <f t="shared" si="50"/>
        <v>0</v>
      </c>
      <c r="AJ101" s="44">
        <f t="shared" si="51"/>
        <v>1079.7527468319465</v>
      </c>
      <c r="AK101" s="44">
        <f>HLOOKUP(I101,GasAvoidedCostsWOCC!$A$5:$Q$50,G101+1,FALSE)*J101*L101</f>
        <v>0</v>
      </c>
      <c r="AL101" s="44">
        <f t="shared" si="52"/>
        <v>1079.7527468319465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1079.7527468319465</v>
      </c>
      <c r="AN101" s="48">
        <f t="shared" si="53"/>
        <v>1272.0919841805112</v>
      </c>
      <c r="AO101" s="47">
        <f t="shared" si="54"/>
        <v>0.28050987635600511</v>
      </c>
      <c r="AP101" s="47">
        <f t="shared" si="55"/>
        <v>0.33330665812125826</v>
      </c>
    </row>
    <row r="102" spans="1:42" x14ac:dyDescent="0.35">
      <c r="B102" s="97" t="s">
        <v>102</v>
      </c>
      <c r="C102" s="98">
        <v>18230661</v>
      </c>
      <c r="D102" s="61" t="s">
        <v>103</v>
      </c>
      <c r="E102" s="38" t="s">
        <v>2093</v>
      </c>
      <c r="F102" s="39" t="s">
        <v>2094</v>
      </c>
      <c r="G102" s="39">
        <v>20</v>
      </c>
      <c r="H102" s="39"/>
      <c r="I102" s="40" t="s">
        <v>270</v>
      </c>
      <c r="J102" s="41">
        <v>4</v>
      </c>
      <c r="K102" s="41">
        <v>42</v>
      </c>
      <c r="L102" s="41"/>
      <c r="M102" s="42">
        <v>1484</v>
      </c>
      <c r="N102" s="42">
        <v>1484</v>
      </c>
      <c r="O102" s="43">
        <v>168</v>
      </c>
      <c r="P102" s="44">
        <v>7716.8</v>
      </c>
      <c r="Q102" s="44">
        <v>7716.8</v>
      </c>
      <c r="R102" s="45">
        <v>13.83</v>
      </c>
      <c r="S102" s="46">
        <v>0</v>
      </c>
      <c r="T102" s="39">
        <f t="shared" si="37"/>
        <v>20</v>
      </c>
      <c r="U102" s="47">
        <f t="shared" si="38"/>
        <v>0.12143124064419274</v>
      </c>
      <c r="V102" s="48">
        <f t="shared" si="39"/>
        <v>0</v>
      </c>
      <c r="W102" s="49">
        <f t="shared" si="40"/>
        <v>6.0715620322096368E-3</v>
      </c>
      <c r="X102" s="44">
        <f t="shared" si="41"/>
        <v>435.41782104649184</v>
      </c>
      <c r="Y102" s="44">
        <f t="shared" si="42"/>
        <v>0</v>
      </c>
      <c r="Z102" s="44">
        <f t="shared" si="43"/>
        <v>8221.998801589305</v>
      </c>
      <c r="AA102" s="50">
        <f t="shared" si="44"/>
        <v>8152.2178210464917</v>
      </c>
      <c r="AB102" s="51">
        <f t="shared" si="45"/>
        <v>7698.5007505517833</v>
      </c>
      <c r="AC102" s="44">
        <f t="shared" si="46"/>
        <v>7633.1627537888498</v>
      </c>
      <c r="AD102" s="44">
        <f t="shared" si="47"/>
        <v>595.28245084799232</v>
      </c>
      <c r="AE102" s="44">
        <f t="shared" si="48"/>
        <v>0</v>
      </c>
      <c r="AF102" s="52">
        <f>HLOOKUP(I102,GasAvoidedCostsWOCC!$A$5:$G$50,G102+1,FALSE)</f>
        <v>12.854199367046983</v>
      </c>
      <c r="AG102" s="44">
        <f t="shared" si="49"/>
        <v>2159.505493663893</v>
      </c>
      <c r="AH102" s="52">
        <f>HLOOKUP(I102,GasAvoidedCostsWOCC!$A$5:$Q$50,T102+1,FALSE)</f>
        <v>12.854199367046983</v>
      </c>
      <c r="AI102" s="44">
        <f t="shared" si="50"/>
        <v>0</v>
      </c>
      <c r="AJ102" s="44">
        <f t="shared" si="51"/>
        <v>2159.505493663893</v>
      </c>
      <c r="AK102" s="44">
        <f>HLOOKUP(I102,GasAvoidedCostsWOCC!$A$5:$Q$50,G102+1,FALSE)*J102*L102</f>
        <v>0</v>
      </c>
      <c r="AL102" s="44">
        <f t="shared" si="52"/>
        <v>2159.505493663893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2159.505493663893</v>
      </c>
      <c r="AN102" s="48">
        <f t="shared" si="53"/>
        <v>2970.7384938782752</v>
      </c>
      <c r="AO102" s="47">
        <f t="shared" si="54"/>
        <v>0.28050987635600511</v>
      </c>
      <c r="AP102" s="47">
        <f t="shared" si="55"/>
        <v>0.38918841241839092</v>
      </c>
    </row>
    <row r="103" spans="1:42" x14ac:dyDescent="0.35">
      <c r="B103" s="97" t="s">
        <v>102</v>
      </c>
      <c r="C103" s="98">
        <v>18230661</v>
      </c>
      <c r="D103" s="61" t="s">
        <v>103</v>
      </c>
      <c r="E103" s="38" t="s">
        <v>2095</v>
      </c>
      <c r="F103" s="39" t="s">
        <v>2096</v>
      </c>
      <c r="G103" s="39"/>
      <c r="H103" s="39"/>
      <c r="I103" s="40"/>
      <c r="J103" s="41">
        <v>8</v>
      </c>
      <c r="K103" s="41"/>
      <c r="L103" s="41"/>
      <c r="M103" s="42"/>
      <c r="N103" s="42"/>
      <c r="O103" s="43">
        <v>0</v>
      </c>
      <c r="P103" s="44">
        <v>0</v>
      </c>
      <c r="Q103" s="44">
        <v>0</v>
      </c>
      <c r="R103" s="45">
        <v>0</v>
      </c>
      <c r="S103" s="46">
        <v>0</v>
      </c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1:42" x14ac:dyDescent="0.35">
      <c r="B104" s="97" t="s">
        <v>102</v>
      </c>
      <c r="C104" s="98">
        <v>18230661</v>
      </c>
      <c r="D104" s="61" t="s">
        <v>103</v>
      </c>
      <c r="E104" s="38" t="s">
        <v>2099</v>
      </c>
      <c r="F104" s="39" t="s">
        <v>2100</v>
      </c>
      <c r="G104" s="39"/>
      <c r="H104" s="39"/>
      <c r="I104" s="40"/>
      <c r="J104" s="41">
        <v>3</v>
      </c>
      <c r="K104" s="41"/>
      <c r="L104" s="41"/>
      <c r="M104" s="42"/>
      <c r="N104" s="42"/>
      <c r="O104" s="43">
        <v>0</v>
      </c>
      <c r="P104" s="44">
        <v>0</v>
      </c>
      <c r="Q104" s="44">
        <v>0</v>
      </c>
      <c r="R104" s="45">
        <v>0</v>
      </c>
      <c r="S104" s="46">
        <v>0</v>
      </c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1:42" x14ac:dyDescent="0.35">
      <c r="B105" s="97" t="s">
        <v>102</v>
      </c>
      <c r="C105" s="98">
        <v>18230661</v>
      </c>
      <c r="D105" s="61" t="s">
        <v>103</v>
      </c>
      <c r="E105" s="38" t="s">
        <v>2107</v>
      </c>
      <c r="F105" s="39" t="s">
        <v>2108</v>
      </c>
      <c r="G105" s="39"/>
      <c r="H105" s="39"/>
      <c r="I105" s="40"/>
      <c r="J105" s="41">
        <v>2</v>
      </c>
      <c r="K105" s="41">
        <v>0</v>
      </c>
      <c r="L105" s="41"/>
      <c r="M105" s="42">
        <v>0</v>
      </c>
      <c r="N105" s="42">
        <v>0</v>
      </c>
      <c r="O105" s="43">
        <v>0</v>
      </c>
      <c r="P105" s="44">
        <v>70093.41</v>
      </c>
      <c r="Q105" s="44">
        <v>70093.41</v>
      </c>
      <c r="R105" s="45">
        <v>0</v>
      </c>
      <c r="S105" s="46">
        <v>0</v>
      </c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70093.41</v>
      </c>
      <c r="AB105" s="51">
        <f t="shared" si="45"/>
        <v>0</v>
      </c>
      <c r="AC105" s="44">
        <f t="shared" si="46"/>
        <v>65630.533707865165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>
        <f t="shared" si="55"/>
        <v>0</v>
      </c>
    </row>
    <row r="106" spans="1:42" x14ac:dyDescent="0.35">
      <c r="B106" s="97" t="s">
        <v>102</v>
      </c>
      <c r="C106" s="98">
        <v>18230661</v>
      </c>
      <c r="D106" s="61" t="s">
        <v>103</v>
      </c>
      <c r="E106" s="38" t="s">
        <v>2113</v>
      </c>
      <c r="F106" s="39" t="s">
        <v>2114</v>
      </c>
      <c r="G106" s="39"/>
      <c r="H106" s="39"/>
      <c r="I106" s="40"/>
      <c r="J106" s="41">
        <v>1</v>
      </c>
      <c r="K106" s="41"/>
      <c r="L106" s="41"/>
      <c r="M106" s="42"/>
      <c r="N106" s="42"/>
      <c r="O106" s="43">
        <v>0</v>
      </c>
      <c r="P106" s="44">
        <v>0</v>
      </c>
      <c r="Q106" s="44">
        <v>69840.62</v>
      </c>
      <c r="R106" s="45">
        <v>0</v>
      </c>
      <c r="S106" s="46">
        <v>0</v>
      </c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69840.62</v>
      </c>
      <c r="Z106" s="44">
        <f t="shared" si="43"/>
        <v>0</v>
      </c>
      <c r="AA106" s="50">
        <f t="shared" si="44"/>
        <v>69840.62</v>
      </c>
      <c r="AB106" s="51">
        <f t="shared" si="45"/>
        <v>0</v>
      </c>
      <c r="AC106" s="44">
        <f t="shared" si="46"/>
        <v>65393.838951310856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>
        <f t="shared" si="55"/>
        <v>0</v>
      </c>
    </row>
    <row r="107" spans="1:42" x14ac:dyDescent="0.35">
      <c r="B107" s="97" t="s">
        <v>102</v>
      </c>
      <c r="C107" s="98">
        <v>18230661</v>
      </c>
      <c r="D107" s="61" t="s">
        <v>103</v>
      </c>
      <c r="E107" s="38" t="s">
        <v>2115</v>
      </c>
      <c r="F107" s="39" t="s">
        <v>2116</v>
      </c>
      <c r="G107" s="39"/>
      <c r="H107" s="39"/>
      <c r="I107" s="40"/>
      <c r="J107" s="41">
        <v>9</v>
      </c>
      <c r="K107" s="41">
        <v>0</v>
      </c>
      <c r="L107" s="41"/>
      <c r="M107" s="42">
        <v>0</v>
      </c>
      <c r="N107" s="42">
        <v>0</v>
      </c>
      <c r="O107" s="43">
        <v>0</v>
      </c>
      <c r="P107" s="44">
        <v>641.97</v>
      </c>
      <c r="Q107" s="44">
        <v>641.97</v>
      </c>
      <c r="R107" s="45">
        <v>0</v>
      </c>
      <c r="S107" s="46">
        <v>0</v>
      </c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641.97</v>
      </c>
      <c r="AB107" s="51">
        <f t="shared" si="45"/>
        <v>0</v>
      </c>
      <c r="AC107" s="44">
        <f t="shared" si="46"/>
        <v>601.09550561797755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>
        <f t="shared" si="55"/>
        <v>0</v>
      </c>
    </row>
    <row r="108" spans="1:42" x14ac:dyDescent="0.35">
      <c r="B108" s="97" t="s">
        <v>102</v>
      </c>
      <c r="C108" s="98">
        <v>18230661</v>
      </c>
      <c r="D108" s="61" t="s">
        <v>103</v>
      </c>
      <c r="E108" s="38" t="s">
        <v>2119</v>
      </c>
      <c r="F108" s="39" t="s">
        <v>2120</v>
      </c>
      <c r="G108" s="39"/>
      <c r="H108" s="39"/>
      <c r="I108" s="40"/>
      <c r="J108" s="41">
        <v>4</v>
      </c>
      <c r="K108" s="41"/>
      <c r="L108" s="41"/>
      <c r="M108" s="42"/>
      <c r="N108" s="42"/>
      <c r="O108" s="43">
        <v>0</v>
      </c>
      <c r="P108" s="44">
        <v>0</v>
      </c>
      <c r="Q108" s="44">
        <v>9771.42</v>
      </c>
      <c r="R108" s="45">
        <v>0</v>
      </c>
      <c r="S108" s="46">
        <v>0</v>
      </c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9771.42</v>
      </c>
      <c r="Z108" s="44">
        <f t="shared" si="43"/>
        <v>0</v>
      </c>
      <c r="AA108" s="50">
        <f t="shared" si="44"/>
        <v>9771.42</v>
      </c>
      <c r="AB108" s="51">
        <f t="shared" si="45"/>
        <v>0</v>
      </c>
      <c r="AC108" s="44">
        <f t="shared" si="46"/>
        <v>9149.2696629213478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>
        <f t="shared" si="55"/>
        <v>0</v>
      </c>
    </row>
    <row r="109" spans="1:42" x14ac:dyDescent="0.35">
      <c r="B109" s="97" t="s">
        <v>102</v>
      </c>
      <c r="C109" s="98">
        <v>18230661</v>
      </c>
      <c r="D109" s="61" t="s">
        <v>103</v>
      </c>
      <c r="E109" s="38" t="s">
        <v>2123</v>
      </c>
      <c r="F109" s="39" t="s">
        <v>2124</v>
      </c>
      <c r="G109" s="39"/>
      <c r="H109" s="39"/>
      <c r="I109" s="40"/>
      <c r="J109" s="41">
        <v>1</v>
      </c>
      <c r="K109" s="41"/>
      <c r="L109" s="41"/>
      <c r="M109" s="42"/>
      <c r="N109" s="42"/>
      <c r="O109" s="43">
        <v>0</v>
      </c>
      <c r="P109" s="44">
        <v>0</v>
      </c>
      <c r="Q109" s="44">
        <v>0</v>
      </c>
      <c r="R109" s="45">
        <v>0</v>
      </c>
      <c r="S109" s="46">
        <v>0</v>
      </c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1:42" x14ac:dyDescent="0.35">
      <c r="A110" s="396"/>
      <c r="B110" s="97" t="s">
        <v>102</v>
      </c>
      <c r="C110" s="98">
        <v>18230661</v>
      </c>
      <c r="D110" s="61" t="s">
        <v>103</v>
      </c>
      <c r="E110" s="38" t="s">
        <v>2127</v>
      </c>
      <c r="F110" s="39" t="s">
        <v>2128</v>
      </c>
      <c r="G110" s="39">
        <v>30</v>
      </c>
      <c r="H110" s="39"/>
      <c r="I110" s="40" t="s">
        <v>274</v>
      </c>
      <c r="J110" s="41">
        <v>1</v>
      </c>
      <c r="K110" s="41">
        <v>740</v>
      </c>
      <c r="L110" s="41"/>
      <c r="M110" s="42"/>
      <c r="N110" s="42"/>
      <c r="O110" s="43">
        <v>740</v>
      </c>
      <c r="P110" s="44">
        <v>35880</v>
      </c>
      <c r="Q110" s="44">
        <v>35880</v>
      </c>
      <c r="R110" s="45">
        <v>0</v>
      </c>
      <c r="S110" s="46">
        <v>0</v>
      </c>
      <c r="T110" s="39">
        <f t="shared" si="37"/>
        <v>30</v>
      </c>
      <c r="U110" s="47">
        <f t="shared" si="38"/>
        <v>0.80231355425627338</v>
      </c>
      <c r="V110" s="48">
        <f t="shared" si="39"/>
        <v>0</v>
      </c>
      <c r="W110" s="49">
        <f t="shared" si="40"/>
        <v>2.6743785141875781E-2</v>
      </c>
      <c r="X110" s="44">
        <f t="shared" si="41"/>
        <v>1917.9118308000236</v>
      </c>
      <c r="Y110" s="44">
        <f t="shared" si="42"/>
        <v>0</v>
      </c>
      <c r="Z110" s="44">
        <f t="shared" si="43"/>
        <v>36215.947102238606</v>
      </c>
      <c r="AA110" s="50">
        <f t="shared" si="44"/>
        <v>37797.911830800025</v>
      </c>
      <c r="AB110" s="51">
        <f t="shared" si="45"/>
        <v>33910.062829811424</v>
      </c>
      <c r="AC110" s="44">
        <f t="shared" si="46"/>
        <v>35391.303212359569</v>
      </c>
      <c r="AD110" s="44">
        <f t="shared" si="47"/>
        <v>0</v>
      </c>
      <c r="AE110" s="44">
        <f t="shared" si="48"/>
        <v>0</v>
      </c>
      <c r="AF110" s="52">
        <f>HLOOKUP(I110,GasAvoidedCostsWOCC!$A$5:$G$50,G110+1,FALSE)</f>
        <v>18.146512576376317</v>
      </c>
      <c r="AG110" s="44">
        <f t="shared" si="49"/>
        <v>13428.419306518474</v>
      </c>
      <c r="AH110" s="52">
        <f>HLOOKUP(I110,GasAvoidedCostsWOCC!$A$5:$Q$50,T110+1,FALSE)</f>
        <v>18.146512576376317</v>
      </c>
      <c r="AI110" s="44">
        <f t="shared" si="50"/>
        <v>0</v>
      </c>
      <c r="AJ110" s="44">
        <f t="shared" si="51"/>
        <v>13428.419306518474</v>
      </c>
      <c r="AK110" s="44">
        <f>HLOOKUP(I110,GasAvoidedCostsWOCC!$A$5:$Q$50,G110+1,FALSE)*J110*L110</f>
        <v>0</v>
      </c>
      <c r="AL110" s="44">
        <f t="shared" si="52"/>
        <v>13428.419306518474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13428.419306518474</v>
      </c>
      <c r="AN110" s="48">
        <f t="shared" si="53"/>
        <v>14771.261237170322</v>
      </c>
      <c r="AO110" s="47">
        <f t="shared" si="54"/>
        <v>0.39600101521230802</v>
      </c>
      <c r="AP110" s="47">
        <f t="shared" si="55"/>
        <v>0.41736980264721674</v>
      </c>
    </row>
    <row r="111" spans="1:42" x14ac:dyDescent="0.35">
      <c r="B111" s="97" t="s">
        <v>102</v>
      </c>
      <c r="C111" s="98">
        <v>18230661</v>
      </c>
      <c r="D111" s="61" t="s">
        <v>103</v>
      </c>
      <c r="E111" s="38" t="s">
        <v>2129</v>
      </c>
      <c r="F111" s="39" t="s">
        <v>2130</v>
      </c>
      <c r="G111" s="39"/>
      <c r="H111" s="39"/>
      <c r="I111" s="40"/>
      <c r="J111" s="41">
        <v>1</v>
      </c>
      <c r="K111" s="41"/>
      <c r="L111" s="41"/>
      <c r="M111" s="42"/>
      <c r="N111" s="42"/>
      <c r="O111" s="43">
        <v>0</v>
      </c>
      <c r="P111" s="44">
        <v>0</v>
      </c>
      <c r="Q111" s="44">
        <v>525.6</v>
      </c>
      <c r="R111" s="45">
        <v>0</v>
      </c>
      <c r="S111" s="46">
        <v>0</v>
      </c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525.6</v>
      </c>
      <c r="Z111" s="44">
        <f t="shared" si="43"/>
        <v>0</v>
      </c>
      <c r="AA111" s="50">
        <f t="shared" si="44"/>
        <v>525.6</v>
      </c>
      <c r="AB111" s="51">
        <f t="shared" si="45"/>
        <v>0</v>
      </c>
      <c r="AC111" s="44">
        <f t="shared" si="46"/>
        <v>492.13483146067415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>
        <f t="shared" si="55"/>
        <v>0</v>
      </c>
    </row>
    <row r="112" spans="1:42" x14ac:dyDescent="0.35">
      <c r="B112" s="97" t="s">
        <v>102</v>
      </c>
      <c r="C112" s="98">
        <v>18230661</v>
      </c>
      <c r="D112" s="61" t="s">
        <v>103</v>
      </c>
      <c r="E112" s="38" t="s">
        <v>2131</v>
      </c>
      <c r="F112" s="39" t="s">
        <v>2132</v>
      </c>
      <c r="G112" s="39"/>
      <c r="H112" s="39"/>
      <c r="I112" s="40"/>
      <c r="J112" s="41">
        <v>1</v>
      </c>
      <c r="K112" s="41">
        <v>0</v>
      </c>
      <c r="L112" s="41"/>
      <c r="M112" s="42">
        <v>0</v>
      </c>
      <c r="N112" s="42">
        <v>0</v>
      </c>
      <c r="O112" s="43">
        <v>0</v>
      </c>
      <c r="P112" s="44">
        <v>1099.96</v>
      </c>
      <c r="Q112" s="44">
        <v>1099.96</v>
      </c>
      <c r="R112" s="45">
        <v>0</v>
      </c>
      <c r="S112" s="46">
        <v>0</v>
      </c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1099.96</v>
      </c>
      <c r="AB112" s="51">
        <f t="shared" si="45"/>
        <v>0</v>
      </c>
      <c r="AC112" s="44">
        <f t="shared" si="46"/>
        <v>1029.9250936329588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>
        <f t="shared" si="55"/>
        <v>0</v>
      </c>
    </row>
    <row r="113" spans="2:42" x14ac:dyDescent="0.35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 x14ac:dyDescent="0.35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 x14ac:dyDescent="0.35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 x14ac:dyDescent="0.35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 x14ac:dyDescent="0.35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 x14ac:dyDescent="0.35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 x14ac:dyDescent="0.35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 x14ac:dyDescent="0.35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 x14ac:dyDescent="0.35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 x14ac:dyDescent="0.35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 x14ac:dyDescent="0.35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 x14ac:dyDescent="0.35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 x14ac:dyDescent="0.35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 x14ac:dyDescent="0.35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 x14ac:dyDescent="0.35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 x14ac:dyDescent="0.35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 x14ac:dyDescent="0.35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 x14ac:dyDescent="0.35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 x14ac:dyDescent="0.35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</sheetData>
  <autoFilter ref="B4:AP131"/>
  <conditionalFormatting sqref="J5:L131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31 R5:S131">
    <cfRule type="expression" dxfId="142" priority="2">
      <formula>ISTEXT(M5)</formula>
    </cfRule>
  </conditionalFormatting>
  <conditionalFormatting sqref="M5:N131 R5:S131">
    <cfRule type="notContainsBlanks" dxfId="141" priority="3">
      <formula>LEN(TRIM(M5))&gt;0</formula>
    </cfRule>
  </conditionalFormatting>
  <conditionalFormatting sqref="R5:S131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F16" sqref="F16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18230638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18230638</v>
      </c>
      <c r="D5" s="61" t="s">
        <v>79</v>
      </c>
      <c r="E5" s="38" t="s">
        <v>2178</v>
      </c>
      <c r="F5" s="39" t="s">
        <v>1070</v>
      </c>
      <c r="G5" s="39">
        <v>20</v>
      </c>
      <c r="H5" s="39"/>
      <c r="I5" s="40" t="s">
        <v>274</v>
      </c>
      <c r="J5" s="41">
        <v>21</v>
      </c>
      <c r="K5" s="41">
        <v>184</v>
      </c>
      <c r="L5" s="41"/>
      <c r="M5" s="42">
        <v>800</v>
      </c>
      <c r="N5" s="42">
        <v>987</v>
      </c>
      <c r="O5" s="43">
        <v>3864</v>
      </c>
      <c r="P5" s="44">
        <v>16800</v>
      </c>
      <c r="Q5" s="44">
        <v>20727</v>
      </c>
      <c r="R5" s="45">
        <v>0</v>
      </c>
      <c r="S5" s="46">
        <v>0</v>
      </c>
      <c r="T5" s="39">
        <f t="shared" ref="T5:T24" si="0">G5+H5</f>
        <v>20</v>
      </c>
      <c r="U5" s="47">
        <f t="shared" ref="U5:U24" si="1">(O5/$A$10)*T5</f>
        <v>0.15407996387255718</v>
      </c>
      <c r="V5" s="48">
        <f t="shared" ref="V5:V24" si="2">N5-M5</f>
        <v>187</v>
      </c>
      <c r="W5" s="49">
        <f t="shared" ref="W5:W24" si="3">(O5/A$10)</f>
        <v>7.7039981936278586E-3</v>
      </c>
      <c r="X5" s="44">
        <f t="shared" ref="X5:X24" si="4">W5*A$8</f>
        <v>2228.3235434404419</v>
      </c>
      <c r="Y5" s="44">
        <f t="shared" ref="Y5:Y24" si="5">Q5-P5</f>
        <v>3927</v>
      </c>
      <c r="Z5" s="44">
        <f t="shared" ref="Z5:Z24" si="6">X5+(A$6*W5)</f>
        <v>25760.956425696098</v>
      </c>
      <c r="AA5" s="50">
        <f t="shared" ref="AA5:AA24" si="7">Q5+X5</f>
        <v>22955.323543440441</v>
      </c>
      <c r="AB5" s="51">
        <f t="shared" ref="AB5:AB24" si="8">Z5/(1+GasDiscountRate)^1</f>
        <v>24120.745716943911</v>
      </c>
      <c r="AC5" s="44">
        <f t="shared" ref="AC5:AC24" si="9">AA5/(1+GasDiscountRate)^1</f>
        <v>21493.748636180186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13.713759429231397</v>
      </c>
      <c r="AG5" s="44">
        <f t="shared" ref="AG5:AG24" si="11">AF5*J5*K5</f>
        <v>52989.966434550115</v>
      </c>
      <c r="AH5" s="52">
        <f>HLOOKUP(I5,GasAvoidedCostsWOCC!$A$5:$Q$50,T5+1,FALSE)</f>
        <v>13.713759429231397</v>
      </c>
      <c r="AI5" s="44">
        <f t="shared" ref="AI5:AI24" si="12">AH5*J5*L5</f>
        <v>0</v>
      </c>
      <c r="AJ5" s="44">
        <f>AG5+AI5</f>
        <v>52989.966434550115</v>
      </c>
      <c r="AK5" s="44">
        <f>HLOOKUP(I5,GasAvoidedCostsWOCC!$A$5:$Q$50,G5+1,FALSE)*J5*L5</f>
        <v>0</v>
      </c>
      <c r="AL5" s="44">
        <f>AG5+AI5-AK5</f>
        <v>52989.966434550115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52989.966434550115</v>
      </c>
      <c r="AN5" s="48">
        <f>AM5*1.1+AD5+AE5</f>
        <v>58288.96307800513</v>
      </c>
      <c r="AO5" s="47">
        <f>IFERROR(AM5/AB5,0)</f>
        <v>2.1968626947269989</v>
      </c>
      <c r="AP5" s="47">
        <f>AN5/AC5</f>
        <v>2.7119030777110686</v>
      </c>
    </row>
    <row r="6" spans="1:42" ht="13.5" customHeight="1" x14ac:dyDescent="0.35">
      <c r="A6" s="53">
        <f>SUMIF('Program Costs'!D:D,C2,'Program Costs'!L:L)</f>
        <v>3054600</v>
      </c>
      <c r="B6" s="97" t="s">
        <v>33</v>
      </c>
      <c r="C6" s="98">
        <v>18230638</v>
      </c>
      <c r="D6" s="61" t="s">
        <v>79</v>
      </c>
      <c r="E6" s="38" t="s">
        <v>1069</v>
      </c>
      <c r="F6" s="39" t="s">
        <v>1070</v>
      </c>
      <c r="G6" s="39">
        <v>20</v>
      </c>
      <c r="H6" s="39"/>
      <c r="I6" s="40" t="s">
        <v>274</v>
      </c>
      <c r="J6" s="41">
        <v>56</v>
      </c>
      <c r="K6" s="41">
        <v>104</v>
      </c>
      <c r="L6" s="41"/>
      <c r="M6" s="42">
        <v>800</v>
      </c>
      <c r="N6" s="42">
        <v>1502</v>
      </c>
      <c r="O6" s="43">
        <v>5824</v>
      </c>
      <c r="P6" s="44">
        <v>44800</v>
      </c>
      <c r="Q6" s="44">
        <v>84112</v>
      </c>
      <c r="R6" s="45">
        <v>7.7064000000000004</v>
      </c>
      <c r="S6" s="46">
        <v>0</v>
      </c>
      <c r="T6" s="39">
        <f t="shared" si="0"/>
        <v>20</v>
      </c>
      <c r="U6" s="47">
        <f t="shared" si="1"/>
        <v>0.23223646728617314</v>
      </c>
      <c r="V6" s="48">
        <f t="shared" si="2"/>
        <v>702</v>
      </c>
      <c r="W6" s="49">
        <f t="shared" si="3"/>
        <v>1.1611823364308656E-2</v>
      </c>
      <c r="X6" s="44">
        <f t="shared" si="4"/>
        <v>3358.632587214579</v>
      </c>
      <c r="Y6" s="44">
        <f t="shared" si="5"/>
        <v>39312</v>
      </c>
      <c r="Z6" s="44">
        <f t="shared" si="6"/>
        <v>38828.108235831794</v>
      </c>
      <c r="AA6" s="50">
        <f t="shared" si="7"/>
        <v>87470.632587214583</v>
      </c>
      <c r="AB6" s="51">
        <f t="shared" si="8"/>
        <v>36355.906587857484</v>
      </c>
      <c r="AC6" s="44">
        <f t="shared" si="9"/>
        <v>81901.341373796415</v>
      </c>
      <c r="AD6" s="44">
        <f t="shared" si="10"/>
        <v>4643.8745848886165</v>
      </c>
      <c r="AE6" s="44">
        <v>0</v>
      </c>
      <c r="AF6" s="52">
        <f>HLOOKUP(I6,GasAvoidedCostsWOCC!$A$5:$G$50,G6+1,FALSE)</f>
        <v>13.713759429231397</v>
      </c>
      <c r="AG6" s="44">
        <f t="shared" si="11"/>
        <v>79868.934915843653</v>
      </c>
      <c r="AH6" s="52">
        <f>HLOOKUP(I6,GasAvoidedCostsWOCC!$A$5:$Q$50,T6+1,FALSE)</f>
        <v>13.713759429231397</v>
      </c>
      <c r="AI6" s="44">
        <f t="shared" si="12"/>
        <v>0</v>
      </c>
      <c r="AJ6" s="44">
        <f t="shared" ref="AJ6:AJ24" si="13">AG6+AI6</f>
        <v>79868.934915843653</v>
      </c>
      <c r="AK6" s="44">
        <f>HLOOKUP(I6,GasAvoidedCostsWOCC!$A$5:$Q$50,G6+1,FALSE)*J6*L6</f>
        <v>0</v>
      </c>
      <c r="AL6" s="44">
        <f t="shared" ref="AL6:AL24" si="14">AG6+AI6-AK6</f>
        <v>79868.934915843653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79868.934915843653</v>
      </c>
      <c r="AN6" s="48">
        <f t="shared" ref="AN6:AN24" si="15">AM6*1.1+AD6+AE6</f>
        <v>92499.702992316641</v>
      </c>
      <c r="AO6" s="47">
        <f t="shared" ref="AO6:AO24" si="16">IFERROR(AM6/AB6,0)</f>
        <v>2.1968626947269994</v>
      </c>
      <c r="AP6" s="47">
        <f t="shared" ref="AP6:AP24" si="17">AN6/AC6</f>
        <v>1.1294040053648142</v>
      </c>
    </row>
    <row r="7" spans="1:42" ht="13.5" customHeight="1" x14ac:dyDescent="0.35">
      <c r="A7" s="36" t="s">
        <v>240</v>
      </c>
      <c r="B7" s="97" t="s">
        <v>33</v>
      </c>
      <c r="C7" s="98">
        <v>18230638</v>
      </c>
      <c r="D7" s="61" t="s">
        <v>79</v>
      </c>
      <c r="E7" s="38" t="s">
        <v>1071</v>
      </c>
      <c r="F7" s="39" t="s">
        <v>1072</v>
      </c>
      <c r="G7" s="39">
        <v>20</v>
      </c>
      <c r="H7" s="39"/>
      <c r="I7" s="40" t="s">
        <v>274</v>
      </c>
      <c r="J7" s="41">
        <v>755</v>
      </c>
      <c r="K7" s="41">
        <v>110</v>
      </c>
      <c r="L7" s="41"/>
      <c r="M7" s="42">
        <v>350</v>
      </c>
      <c r="N7" s="42">
        <v>603</v>
      </c>
      <c r="O7" s="43">
        <v>83050</v>
      </c>
      <c r="P7" s="44">
        <v>264250</v>
      </c>
      <c r="Q7" s="44">
        <v>455265</v>
      </c>
      <c r="R7" s="45">
        <v>0</v>
      </c>
      <c r="S7" s="46">
        <v>0</v>
      </c>
      <c r="T7" s="39">
        <f t="shared" si="0"/>
        <v>20</v>
      </c>
      <c r="U7" s="47">
        <f t="shared" si="1"/>
        <v>3.3116824533167373</v>
      </c>
      <c r="V7" s="48">
        <f t="shared" si="2"/>
        <v>253</v>
      </c>
      <c r="W7" s="49">
        <f t="shared" si="3"/>
        <v>0.16558412266583686</v>
      </c>
      <c r="X7" s="44">
        <f t="shared" si="4"/>
        <v>47893.96228849086</v>
      </c>
      <c r="Y7" s="44">
        <f t="shared" si="5"/>
        <v>191015</v>
      </c>
      <c r="Z7" s="44">
        <f t="shared" si="6"/>
        <v>553687.22338355612</v>
      </c>
      <c r="AA7" s="50">
        <f t="shared" si="7"/>
        <v>503158.96228849085</v>
      </c>
      <c r="AB7" s="51">
        <f t="shared" si="8"/>
        <v>518433.72975988395</v>
      </c>
      <c r="AC7" s="44">
        <f t="shared" si="9"/>
        <v>471122.62386562809</v>
      </c>
      <c r="AD7" s="44">
        <f t="shared" si="10"/>
        <v>0</v>
      </c>
      <c r="AE7" s="44">
        <v>0</v>
      </c>
      <c r="AF7" s="52">
        <f>HLOOKUP(I7,GasAvoidedCostsWOCC!$A$5:$G$50,G7+1,FALSE)</f>
        <v>13.713759429231397</v>
      </c>
      <c r="AG7" s="44">
        <f t="shared" si="11"/>
        <v>1138927.7205976674</v>
      </c>
      <c r="AH7" s="52">
        <f>HLOOKUP(I7,GasAvoidedCostsWOCC!$A$5:$Q$50,T7+1,FALSE)</f>
        <v>13.713759429231397</v>
      </c>
      <c r="AI7" s="44">
        <f t="shared" si="12"/>
        <v>0</v>
      </c>
      <c r="AJ7" s="44">
        <f t="shared" si="13"/>
        <v>1138927.7205976674</v>
      </c>
      <c r="AK7" s="44">
        <f>HLOOKUP(I7,GasAvoidedCostsWOCC!$A$5:$Q$50,G7+1,FALSE)*J7*L7</f>
        <v>0</v>
      </c>
      <c r="AL7" s="44">
        <f t="shared" si="14"/>
        <v>1138927.7205976674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1138927.7205976676</v>
      </c>
      <c r="AN7" s="48">
        <f t="shared" si="15"/>
        <v>1252820.4926574344</v>
      </c>
      <c r="AO7" s="47">
        <f t="shared" si="16"/>
        <v>2.1968626947269994</v>
      </c>
      <c r="AP7" s="47">
        <f t="shared" si="17"/>
        <v>2.6592237969339365</v>
      </c>
    </row>
    <row r="8" spans="1:42" ht="13.5" customHeight="1" x14ac:dyDescent="0.35">
      <c r="A8" s="53">
        <f>SUMIF('Program Costs'!D:D,C2,'Program Costs'!O:O)</f>
        <v>289242.48</v>
      </c>
      <c r="B8" s="97" t="s">
        <v>33</v>
      </c>
      <c r="C8" s="98">
        <v>18230638</v>
      </c>
      <c r="D8" s="61" t="s">
        <v>79</v>
      </c>
      <c r="E8" s="38" t="s">
        <v>1073</v>
      </c>
      <c r="F8" s="39" t="s">
        <v>1072</v>
      </c>
      <c r="G8" s="39">
        <v>20</v>
      </c>
      <c r="H8" s="39"/>
      <c r="I8" s="40" t="s">
        <v>274</v>
      </c>
      <c r="J8" s="41">
        <v>3523</v>
      </c>
      <c r="K8" s="41">
        <v>105.31</v>
      </c>
      <c r="L8" s="41"/>
      <c r="M8" s="42">
        <v>700</v>
      </c>
      <c r="N8" s="42">
        <v>1438</v>
      </c>
      <c r="O8" s="43">
        <v>371007.12999999302</v>
      </c>
      <c r="P8" s="44">
        <v>2466100</v>
      </c>
      <c r="Q8" s="44">
        <v>5066074</v>
      </c>
      <c r="R8" s="45">
        <v>30.04</v>
      </c>
      <c r="S8" s="46">
        <v>0</v>
      </c>
      <c r="T8" s="39">
        <f t="shared" si="0"/>
        <v>20</v>
      </c>
      <c r="U8" s="47">
        <f t="shared" si="1"/>
        <v>14.794193888938935</v>
      </c>
      <c r="V8" s="48">
        <f t="shared" si="2"/>
        <v>738</v>
      </c>
      <c r="W8" s="49">
        <f t="shared" si="3"/>
        <v>0.73970969444694679</v>
      </c>
      <c r="X8" s="44">
        <f t="shared" si="4"/>
        <v>213955.46650187709</v>
      </c>
      <c r="Y8" s="44">
        <f t="shared" si="5"/>
        <v>2599974</v>
      </c>
      <c r="Z8" s="44">
        <f t="shared" si="6"/>
        <v>2473472.6991595207</v>
      </c>
      <c r="AA8" s="50">
        <f t="shared" si="7"/>
        <v>5280029.4665018767</v>
      </c>
      <c r="AB8" s="51">
        <f t="shared" si="8"/>
        <v>2315985.6733703376</v>
      </c>
      <c r="AC8" s="44">
        <f t="shared" si="9"/>
        <v>4943847.8150766632</v>
      </c>
      <c r="AD8" s="44">
        <f t="shared" si="10"/>
        <v>1138815.7887400181</v>
      </c>
      <c r="AE8" s="44">
        <v>0</v>
      </c>
      <c r="AF8" s="52">
        <f>HLOOKUP(I8,GasAvoidedCostsWOCC!$A$5:$G$50,G8+1,FALSE)</f>
        <v>13.713759429231397</v>
      </c>
      <c r="AG8" s="44">
        <f t="shared" si="11"/>
        <v>5087902.5273495791</v>
      </c>
      <c r="AH8" s="52">
        <f>HLOOKUP(I8,GasAvoidedCostsWOCC!$A$5:$Q$50,T8+1,FALSE)</f>
        <v>13.713759429231397</v>
      </c>
      <c r="AI8" s="44">
        <f t="shared" si="12"/>
        <v>0</v>
      </c>
      <c r="AJ8" s="44">
        <f t="shared" si="13"/>
        <v>5087902.5273495791</v>
      </c>
      <c r="AK8" s="44">
        <f>HLOOKUP(I8,GasAvoidedCostsWOCC!$A$5:$Q$50,G8+1,FALSE)*J8*L8</f>
        <v>0</v>
      </c>
      <c r="AL8" s="44">
        <f t="shared" si="14"/>
        <v>5087902.5273495791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5087902.5273495782</v>
      </c>
      <c r="AN8" s="48">
        <f t="shared" si="15"/>
        <v>6735508.5688245548</v>
      </c>
      <c r="AO8" s="47">
        <f t="shared" si="16"/>
        <v>2.1968626947270402</v>
      </c>
      <c r="AP8" s="47">
        <f t="shared" si="17"/>
        <v>1.3624020845229252</v>
      </c>
    </row>
    <row r="9" spans="1:42" ht="13.5" customHeight="1" x14ac:dyDescent="0.35">
      <c r="A9" s="36" t="s">
        <v>305</v>
      </c>
      <c r="B9" s="97" t="s">
        <v>33</v>
      </c>
      <c r="C9" s="98">
        <v>18230638</v>
      </c>
      <c r="D9" s="61" t="s">
        <v>79</v>
      </c>
      <c r="E9" s="38" t="s">
        <v>2179</v>
      </c>
      <c r="F9" s="39" t="s">
        <v>2180</v>
      </c>
      <c r="G9" s="39">
        <v>20</v>
      </c>
      <c r="H9" s="39"/>
      <c r="I9" s="40" t="s">
        <v>274</v>
      </c>
      <c r="J9" s="41">
        <v>1</v>
      </c>
      <c r="K9" s="41">
        <v>110</v>
      </c>
      <c r="L9" s="41"/>
      <c r="M9" s="42">
        <v>600</v>
      </c>
      <c r="N9" s="42">
        <v>603</v>
      </c>
      <c r="O9" s="43">
        <v>110</v>
      </c>
      <c r="P9" s="44">
        <v>600</v>
      </c>
      <c r="Q9" s="44">
        <v>603</v>
      </c>
      <c r="R9" s="45">
        <v>0</v>
      </c>
      <c r="S9" s="46">
        <v>0</v>
      </c>
      <c r="T9" s="39">
        <f t="shared" si="0"/>
        <v>20</v>
      </c>
      <c r="U9" s="47">
        <f t="shared" si="1"/>
        <v>4.3863343752539568E-3</v>
      </c>
      <c r="V9" s="48">
        <f t="shared" si="2"/>
        <v>3</v>
      </c>
      <c r="W9" s="49">
        <f t="shared" si="3"/>
        <v>2.1931671876269782E-4</v>
      </c>
      <c r="X9" s="44">
        <f t="shared" si="4"/>
        <v>63.435711640385243</v>
      </c>
      <c r="Y9" s="44">
        <f t="shared" si="5"/>
        <v>3</v>
      </c>
      <c r="Z9" s="44">
        <f t="shared" si="6"/>
        <v>733.36056077292199</v>
      </c>
      <c r="AA9" s="50">
        <f t="shared" si="7"/>
        <v>666.43571164038519</v>
      </c>
      <c r="AB9" s="51">
        <f t="shared" si="8"/>
        <v>686.66719173494562</v>
      </c>
      <c r="AC9" s="44">
        <f t="shared" si="9"/>
        <v>624.00347531871273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13.713759429231397</v>
      </c>
      <c r="AG9" s="44">
        <f t="shared" si="11"/>
        <v>1508.5135372154537</v>
      </c>
      <c r="AH9" s="52">
        <f>HLOOKUP(I9,GasAvoidedCostsWOCC!$A$5:$Q$50,T9+1,FALSE)</f>
        <v>13.713759429231397</v>
      </c>
      <c r="AI9" s="44">
        <f t="shared" si="12"/>
        <v>0</v>
      </c>
      <c r="AJ9" s="44">
        <f t="shared" si="13"/>
        <v>1508.5135372154537</v>
      </c>
      <c r="AK9" s="44">
        <f>HLOOKUP(I9,GasAvoidedCostsWOCC!$A$5:$Q$50,G9+1,FALSE)*J9*L9</f>
        <v>0</v>
      </c>
      <c r="AL9" s="44">
        <f t="shared" si="14"/>
        <v>1508.5135372154537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1508.5135372154537</v>
      </c>
      <c r="AN9" s="48">
        <f t="shared" si="15"/>
        <v>1659.3648909369992</v>
      </c>
      <c r="AO9" s="47">
        <f t="shared" si="16"/>
        <v>2.1968626947269994</v>
      </c>
      <c r="AP9" s="47">
        <f t="shared" si="17"/>
        <v>2.6592237969339365</v>
      </c>
    </row>
    <row r="10" spans="1:42" ht="13.5" customHeight="1" x14ac:dyDescent="0.35">
      <c r="A10" s="54">
        <f>SUM(O5:O999)</f>
        <v>501557.74999999313</v>
      </c>
      <c r="B10" s="37"/>
      <c r="E10" s="38" t="s">
        <v>2181</v>
      </c>
      <c r="F10" s="39" t="s">
        <v>2180</v>
      </c>
      <c r="G10" s="39">
        <v>20</v>
      </c>
      <c r="H10" s="39"/>
      <c r="I10" s="40" t="s">
        <v>274</v>
      </c>
      <c r="J10" s="41">
        <v>23</v>
      </c>
      <c r="K10" s="41">
        <v>105.31</v>
      </c>
      <c r="L10" s="41"/>
      <c r="M10" s="42">
        <v>1000</v>
      </c>
      <c r="N10" s="42">
        <v>1438</v>
      </c>
      <c r="O10" s="43">
        <v>2422.13</v>
      </c>
      <c r="P10" s="44">
        <v>23000</v>
      </c>
      <c r="Q10" s="44">
        <v>33074</v>
      </c>
      <c r="R10" s="45">
        <v>30.07</v>
      </c>
      <c r="S10" s="46">
        <v>0</v>
      </c>
      <c r="T10" s="39">
        <f t="shared" si="0"/>
        <v>20</v>
      </c>
      <c r="U10" s="47">
        <f t="shared" si="1"/>
        <v>9.6584291639398787E-2</v>
      </c>
      <c r="V10" s="48">
        <f t="shared" si="2"/>
        <v>438</v>
      </c>
      <c r="W10" s="49">
        <f t="shared" si="3"/>
        <v>4.8292145819699393E-3</v>
      </c>
      <c r="X10" s="44">
        <f t="shared" si="4"/>
        <v>1396.8140021411484</v>
      </c>
      <c r="Y10" s="44">
        <f t="shared" si="5"/>
        <v>10074</v>
      </c>
      <c r="Z10" s="44">
        <f t="shared" si="6"/>
        <v>16148.132864226525</v>
      </c>
      <c r="AA10" s="50">
        <f t="shared" si="7"/>
        <v>34470.814002141145</v>
      </c>
      <c r="AB10" s="51">
        <f t="shared" si="8"/>
        <v>15119.974591972401</v>
      </c>
      <c r="AC10" s="44">
        <f t="shared" si="9"/>
        <v>32276.043073165863</v>
      </c>
      <c r="AD10" s="44">
        <f t="shared" si="10"/>
        <v>7442.2143136475052</v>
      </c>
      <c r="AE10" s="44">
        <f t="shared" si="18"/>
        <v>0</v>
      </c>
      <c r="AF10" s="52">
        <f>HLOOKUP(I10,GasAvoidedCostsWOCC!$A$5:$G$50,G10+1,FALSE)</f>
        <v>13.713759429231397</v>
      </c>
      <c r="AG10" s="44">
        <f t="shared" si="11"/>
        <v>33216.508126324246</v>
      </c>
      <c r="AH10" s="52">
        <f>HLOOKUP(I10,GasAvoidedCostsWOCC!$A$5:$Q$50,T10+1,FALSE)</f>
        <v>13.713759429231397</v>
      </c>
      <c r="AI10" s="44">
        <f t="shared" si="12"/>
        <v>0</v>
      </c>
      <c r="AJ10" s="44">
        <f t="shared" si="13"/>
        <v>33216.508126324246</v>
      </c>
      <c r="AK10" s="44">
        <f>HLOOKUP(I10,GasAvoidedCostsWOCC!$A$5:$Q$50,G10+1,FALSE)*J10*L10</f>
        <v>0</v>
      </c>
      <c r="AL10" s="44">
        <f t="shared" si="14"/>
        <v>33216.508126324246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33216.508126324246</v>
      </c>
      <c r="AN10" s="48">
        <f t="shared" si="15"/>
        <v>43980.373252604179</v>
      </c>
      <c r="AO10" s="47">
        <f t="shared" si="16"/>
        <v>2.1968626947269989</v>
      </c>
      <c r="AP10" s="47">
        <f t="shared" si="17"/>
        <v>1.3626321278883542</v>
      </c>
    </row>
    <row r="11" spans="1:42" ht="13.5" customHeight="1" x14ac:dyDescent="0.35">
      <c r="A11" s="36" t="s">
        <v>243</v>
      </c>
      <c r="B11" s="37"/>
      <c r="E11" s="38" t="s">
        <v>2182</v>
      </c>
      <c r="F11" s="39" t="s">
        <v>2183</v>
      </c>
      <c r="G11" s="39">
        <v>20</v>
      </c>
      <c r="H11" s="39"/>
      <c r="I11" s="40" t="s">
        <v>274</v>
      </c>
      <c r="J11" s="41">
        <v>13</v>
      </c>
      <c r="K11" s="41">
        <v>119</v>
      </c>
      <c r="L11" s="41"/>
      <c r="M11" s="42">
        <v>350</v>
      </c>
      <c r="N11" s="42">
        <v>1239</v>
      </c>
      <c r="O11" s="43">
        <v>1547</v>
      </c>
      <c r="P11" s="44">
        <v>4550</v>
      </c>
      <c r="Q11" s="44">
        <v>16107</v>
      </c>
      <c r="R11" s="45">
        <v>0</v>
      </c>
      <c r="S11" s="46">
        <v>0</v>
      </c>
      <c r="T11" s="39">
        <f t="shared" si="0"/>
        <v>20</v>
      </c>
      <c r="U11" s="47">
        <f t="shared" si="1"/>
        <v>6.1687811622889735E-2</v>
      </c>
      <c r="V11" s="48">
        <f t="shared" si="2"/>
        <v>889</v>
      </c>
      <c r="W11" s="49">
        <f t="shared" si="3"/>
        <v>3.0843905811444869E-3</v>
      </c>
      <c r="X11" s="44">
        <f t="shared" si="4"/>
        <v>892.13678097887259</v>
      </c>
      <c r="Y11" s="44">
        <f t="shared" si="5"/>
        <v>11557</v>
      </c>
      <c r="Z11" s="44">
        <f t="shared" si="6"/>
        <v>10313.716250142821</v>
      </c>
      <c r="AA11" s="50">
        <f t="shared" si="7"/>
        <v>16999.136780978872</v>
      </c>
      <c r="AB11" s="51">
        <f t="shared" si="8"/>
        <v>9657.0376873996447</v>
      </c>
      <c r="AC11" s="44">
        <f t="shared" si="9"/>
        <v>15916.794738744262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13.713759429231397</v>
      </c>
      <c r="AG11" s="44">
        <f t="shared" si="11"/>
        <v>21215.185837020974</v>
      </c>
      <c r="AH11" s="52">
        <f>HLOOKUP(I11,GasAvoidedCostsWOCC!$A$5:$Q$50,T11+1,FALSE)</f>
        <v>13.713759429231397</v>
      </c>
      <c r="AI11" s="44">
        <f t="shared" si="12"/>
        <v>0</v>
      </c>
      <c r="AJ11" s="44">
        <f t="shared" si="13"/>
        <v>21215.185837020974</v>
      </c>
      <c r="AK11" s="44">
        <f>HLOOKUP(I11,GasAvoidedCostsWOCC!$A$5:$Q$50,G11+1,FALSE)*J11*L11</f>
        <v>0</v>
      </c>
      <c r="AL11" s="44">
        <f t="shared" si="14"/>
        <v>21215.185837020974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21215.18583702097</v>
      </c>
      <c r="AN11" s="48">
        <f t="shared" si="15"/>
        <v>23336.704420723068</v>
      </c>
      <c r="AO11" s="47">
        <f t="shared" si="16"/>
        <v>2.1968626947269989</v>
      </c>
      <c r="AP11" s="47">
        <f t="shared" si="17"/>
        <v>1.4661685850554729</v>
      </c>
    </row>
    <row r="12" spans="1:42" ht="13.5" customHeight="1" x14ac:dyDescent="0.35">
      <c r="A12" s="55">
        <f>SUM(P5:P1000)</f>
        <v>3053200</v>
      </c>
      <c r="B12" s="37"/>
      <c r="E12" s="38" t="s">
        <v>2184</v>
      </c>
      <c r="F12" s="39" t="s">
        <v>2183</v>
      </c>
      <c r="G12" s="39">
        <v>20</v>
      </c>
      <c r="H12" s="39"/>
      <c r="I12" s="40" t="s">
        <v>274</v>
      </c>
      <c r="J12" s="41">
        <v>37</v>
      </c>
      <c r="K12" s="41">
        <v>98</v>
      </c>
      <c r="L12" s="41"/>
      <c r="M12" s="42">
        <v>700</v>
      </c>
      <c r="N12" s="42">
        <v>1118</v>
      </c>
      <c r="O12" s="43">
        <v>3626</v>
      </c>
      <c r="P12" s="44">
        <v>25900</v>
      </c>
      <c r="Q12" s="44">
        <v>41366</v>
      </c>
      <c r="R12" s="45">
        <v>28.576799999999999</v>
      </c>
      <c r="S12" s="46">
        <v>0</v>
      </c>
      <c r="T12" s="39">
        <f t="shared" si="0"/>
        <v>20</v>
      </c>
      <c r="U12" s="47">
        <f t="shared" si="1"/>
        <v>0.14458953131518953</v>
      </c>
      <c r="V12" s="48">
        <f t="shared" si="2"/>
        <v>418</v>
      </c>
      <c r="W12" s="49">
        <f t="shared" si="3"/>
        <v>7.229476565759476E-3</v>
      </c>
      <c r="X12" s="44">
        <f t="shared" si="4"/>
        <v>2091.0717309821539</v>
      </c>
      <c r="Y12" s="44">
        <f t="shared" si="5"/>
        <v>15466</v>
      </c>
      <c r="Z12" s="44">
        <f t="shared" si="6"/>
        <v>24174.230848751053</v>
      </c>
      <c r="AA12" s="50">
        <f t="shared" si="7"/>
        <v>43457.071730982156</v>
      </c>
      <c r="AB12" s="51">
        <f t="shared" si="8"/>
        <v>22635.047611190123</v>
      </c>
      <c r="AC12" s="44">
        <f t="shared" si="9"/>
        <v>40690.142070208007</v>
      </c>
      <c r="AD12" s="44">
        <f t="shared" si="10"/>
        <v>11377.745824865106</v>
      </c>
      <c r="AE12" s="44">
        <f t="shared" si="18"/>
        <v>0</v>
      </c>
      <c r="AF12" s="52">
        <f>HLOOKUP(I12,GasAvoidedCostsWOCC!$A$5:$G$50,G12+1,FALSE)</f>
        <v>13.713759429231397</v>
      </c>
      <c r="AG12" s="44">
        <f t="shared" si="11"/>
        <v>49726.091690393048</v>
      </c>
      <c r="AH12" s="52">
        <f>HLOOKUP(I12,GasAvoidedCostsWOCC!$A$5:$Q$50,T12+1,FALSE)</f>
        <v>13.713759429231397</v>
      </c>
      <c r="AI12" s="44">
        <f t="shared" si="12"/>
        <v>0</v>
      </c>
      <c r="AJ12" s="44">
        <f t="shared" si="13"/>
        <v>49726.091690393048</v>
      </c>
      <c r="AK12" s="44">
        <f>HLOOKUP(I12,GasAvoidedCostsWOCC!$A$5:$Q$50,G12+1,FALSE)*J12*L12</f>
        <v>0</v>
      </c>
      <c r="AL12" s="44">
        <f t="shared" si="14"/>
        <v>49726.091690393048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49726.091690393041</v>
      </c>
      <c r="AN12" s="48">
        <f t="shared" si="15"/>
        <v>66076.446684297451</v>
      </c>
      <c r="AO12" s="47">
        <f t="shared" si="16"/>
        <v>2.1968626947269985</v>
      </c>
      <c r="AP12" s="47">
        <f t="shared" si="17"/>
        <v>1.6238932410284324</v>
      </c>
    </row>
    <row r="13" spans="1:42" ht="13.5" customHeight="1" x14ac:dyDescent="0.35">
      <c r="A13" s="56" t="s">
        <v>246</v>
      </c>
      <c r="B13" s="37"/>
      <c r="E13" s="38" t="s">
        <v>2185</v>
      </c>
      <c r="F13" s="39" t="s">
        <v>2186</v>
      </c>
      <c r="G13" s="39">
        <v>20</v>
      </c>
      <c r="H13" s="39"/>
      <c r="I13" s="40" t="s">
        <v>274</v>
      </c>
      <c r="J13" s="41">
        <v>11</v>
      </c>
      <c r="K13" s="41">
        <v>66</v>
      </c>
      <c r="L13" s="41"/>
      <c r="M13" s="42">
        <v>1000</v>
      </c>
      <c r="N13" s="42">
        <v>1438</v>
      </c>
      <c r="O13" s="43">
        <v>726</v>
      </c>
      <c r="P13" s="44">
        <v>11000</v>
      </c>
      <c r="Q13" s="44">
        <v>15818</v>
      </c>
      <c r="R13" s="45">
        <v>18.836400000000001</v>
      </c>
      <c r="S13" s="46">
        <v>0</v>
      </c>
      <c r="T13" s="39">
        <f t="shared" si="0"/>
        <v>20</v>
      </c>
      <c r="U13" s="47">
        <f t="shared" si="1"/>
        <v>2.8949806876676115E-2</v>
      </c>
      <c r="V13" s="48">
        <f t="shared" si="2"/>
        <v>438</v>
      </c>
      <c r="W13" s="49">
        <f t="shared" si="3"/>
        <v>1.4474903438338057E-3</v>
      </c>
      <c r="X13" s="44">
        <f t="shared" si="4"/>
        <v>418.67569682654261</v>
      </c>
      <c r="Y13" s="44">
        <f t="shared" si="5"/>
        <v>4818</v>
      </c>
      <c r="Z13" s="44">
        <f t="shared" si="6"/>
        <v>4840.1797011012859</v>
      </c>
      <c r="AA13" s="50">
        <f t="shared" si="7"/>
        <v>16236.675696826542</v>
      </c>
      <c r="AB13" s="51">
        <f t="shared" si="8"/>
        <v>4532.0034654506417</v>
      </c>
      <c r="AC13" s="44">
        <f t="shared" si="9"/>
        <v>15202.879865942454</v>
      </c>
      <c r="AD13" s="44">
        <f t="shared" si="10"/>
        <v>2229.6233175828702</v>
      </c>
      <c r="AE13" s="44">
        <f t="shared" si="18"/>
        <v>0</v>
      </c>
      <c r="AF13" s="52">
        <f>HLOOKUP(I13,GasAvoidedCostsWOCC!$A$5:$G$50,G13+1,FALSE)</f>
        <v>13.713759429231397</v>
      </c>
      <c r="AG13" s="44">
        <f t="shared" si="11"/>
        <v>9956.189345621995</v>
      </c>
      <c r="AH13" s="52">
        <f>HLOOKUP(I13,GasAvoidedCostsWOCC!$A$5:$Q$50,T13+1,FALSE)</f>
        <v>13.713759429231397</v>
      </c>
      <c r="AI13" s="44">
        <f t="shared" si="12"/>
        <v>0</v>
      </c>
      <c r="AJ13" s="44">
        <f t="shared" si="13"/>
        <v>9956.189345621995</v>
      </c>
      <c r="AK13" s="44">
        <f>HLOOKUP(I13,GasAvoidedCostsWOCC!$A$5:$Q$50,G13+1,FALSE)*J13*L13</f>
        <v>0</v>
      </c>
      <c r="AL13" s="44">
        <f t="shared" si="14"/>
        <v>9956.189345621995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9956.189345621995</v>
      </c>
      <c r="AN13" s="48">
        <f t="shared" si="15"/>
        <v>13181.431597767067</v>
      </c>
      <c r="AO13" s="47">
        <f t="shared" si="16"/>
        <v>2.1968626947269989</v>
      </c>
      <c r="AP13" s="47">
        <f t="shared" si="17"/>
        <v>0.86703517451954337</v>
      </c>
    </row>
    <row r="14" spans="1:42" ht="13.5" customHeight="1" x14ac:dyDescent="0.35">
      <c r="A14" s="55">
        <f>SUM(Y5:Y1000)</f>
        <v>3081148</v>
      </c>
      <c r="B14" s="37"/>
      <c r="E14" s="38" t="s">
        <v>2187</v>
      </c>
      <c r="F14" s="39" t="s">
        <v>2188</v>
      </c>
      <c r="G14" s="39"/>
      <c r="H14" s="39"/>
      <c r="I14" s="40" t="s">
        <v>274</v>
      </c>
      <c r="J14" s="41">
        <v>279</v>
      </c>
      <c r="K14" s="41">
        <v>0</v>
      </c>
      <c r="L14" s="41"/>
      <c r="M14" s="42">
        <v>350</v>
      </c>
      <c r="N14" s="42">
        <v>0</v>
      </c>
      <c r="O14" s="43">
        <v>0</v>
      </c>
      <c r="P14" s="44">
        <v>97650</v>
      </c>
      <c r="Q14" s="44">
        <v>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-350</v>
      </c>
      <c r="W14" s="49">
        <f t="shared" si="3"/>
        <v>0</v>
      </c>
      <c r="X14" s="44">
        <f t="shared" si="4"/>
        <v>0</v>
      </c>
      <c r="Y14" s="44">
        <f t="shared" si="5"/>
        <v>-97650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str">
        <f>HLOOKUP(I14,GasAvoidedCostsWOCC!$A$5:$G$50,G14+1,FALSE)</f>
        <v>SF Space Heat</v>
      </c>
      <c r="AG14" s="44" t="e">
        <f t="shared" si="11"/>
        <v>#VALUE!</v>
      </c>
      <c r="AH14" s="52" t="str">
        <f>HLOOKUP(I14,GasAvoidedCostsWOCC!$A$5:$Q$50,T14+1,FALSE)</f>
        <v>SF Space Heat</v>
      </c>
      <c r="AI14" s="44" t="e">
        <f t="shared" si="12"/>
        <v>#VALUE!</v>
      </c>
      <c r="AJ14" s="44" t="e">
        <f t="shared" si="13"/>
        <v>#VALUE!</v>
      </c>
      <c r="AK14" s="44" t="e">
        <f>HLOOKUP(I14,GasAvoidedCostsWOCC!$A$5:$Q$50,G14+1,FALSE)*J14*L14</f>
        <v>#VALUE!</v>
      </c>
      <c r="AL14" s="44" t="e">
        <f t="shared" si="14"/>
        <v>#VALUE!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 t="s">
        <v>2189</v>
      </c>
      <c r="F15" s="39" t="s">
        <v>2190</v>
      </c>
      <c r="G15" s="39"/>
      <c r="H15" s="39"/>
      <c r="I15" s="40" t="s">
        <v>274</v>
      </c>
      <c r="J15" s="41">
        <v>3</v>
      </c>
      <c r="K15" s="41">
        <v>0</v>
      </c>
      <c r="L15" s="41"/>
      <c r="M15" s="42">
        <v>300</v>
      </c>
      <c r="N15" s="42">
        <v>0</v>
      </c>
      <c r="O15" s="43">
        <v>0</v>
      </c>
      <c r="P15" s="44">
        <v>900</v>
      </c>
      <c r="Q15" s="44">
        <v>0</v>
      </c>
      <c r="R15" s="45">
        <v>0</v>
      </c>
      <c r="S15" s="46">
        <v>0</v>
      </c>
      <c r="T15" s="39">
        <f t="shared" si="0"/>
        <v>0</v>
      </c>
      <c r="U15" s="47">
        <f t="shared" si="1"/>
        <v>0</v>
      </c>
      <c r="V15" s="48">
        <f t="shared" si="2"/>
        <v>-300</v>
      </c>
      <c r="W15" s="49">
        <f t="shared" si="3"/>
        <v>0</v>
      </c>
      <c r="X15" s="44">
        <f t="shared" si="4"/>
        <v>0</v>
      </c>
      <c r="Y15" s="44">
        <f t="shared" si="5"/>
        <v>-900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str">
        <f>HLOOKUP(I15,GasAvoidedCostsWOCC!$A$5:$G$50,G15+1,FALSE)</f>
        <v>SF Space Heat</v>
      </c>
      <c r="AG15" s="44" t="e">
        <f t="shared" si="11"/>
        <v>#VALUE!</v>
      </c>
      <c r="AH15" s="52" t="str">
        <f>HLOOKUP(I15,GasAvoidedCostsWOCC!$A$5:$Q$50,T15+1,FALSE)</f>
        <v>SF Space Heat</v>
      </c>
      <c r="AI15" s="44" t="e">
        <f t="shared" si="12"/>
        <v>#VALUE!</v>
      </c>
      <c r="AJ15" s="44" t="e">
        <f t="shared" si="13"/>
        <v>#VALUE!</v>
      </c>
      <c r="AK15" s="44" t="e">
        <f>HLOOKUP(I15,GasAvoidedCostsWOCC!$A$5:$Q$50,G15+1,FALSE)*J15*L15</f>
        <v>#VALUE!</v>
      </c>
      <c r="AL15" s="44" t="e">
        <f t="shared" si="14"/>
        <v>#VALUE!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20</v>
      </c>
      <c r="B16" s="37"/>
      <c r="E16" s="38" t="s">
        <v>2191</v>
      </c>
      <c r="F16" s="39" t="s">
        <v>2192</v>
      </c>
      <c r="G16" s="39">
        <v>20</v>
      </c>
      <c r="H16" s="39"/>
      <c r="I16" s="40" t="s">
        <v>274</v>
      </c>
      <c r="J16" s="41">
        <v>279</v>
      </c>
      <c r="K16" s="41">
        <v>105.31</v>
      </c>
      <c r="L16" s="41"/>
      <c r="M16" s="42">
        <v>350</v>
      </c>
      <c r="N16" s="42">
        <v>1438</v>
      </c>
      <c r="O16" s="43">
        <v>29381.4900000001</v>
      </c>
      <c r="P16" s="44">
        <v>97650</v>
      </c>
      <c r="Q16" s="44">
        <v>401202</v>
      </c>
      <c r="R16" s="45">
        <v>30.04</v>
      </c>
      <c r="S16" s="46">
        <v>0</v>
      </c>
      <c r="T16" s="39">
        <f t="shared" si="0"/>
        <v>20</v>
      </c>
      <c r="U16" s="47">
        <f t="shared" si="1"/>
        <v>1.1716094507561892</v>
      </c>
      <c r="V16" s="48">
        <f t="shared" si="2"/>
        <v>1088</v>
      </c>
      <c r="W16" s="49">
        <f t="shared" si="3"/>
        <v>5.8580472537809458E-2</v>
      </c>
      <c r="X16" s="44">
        <f t="shared" si="4"/>
        <v>16943.961156407899</v>
      </c>
      <c r="Y16" s="44">
        <f t="shared" si="5"/>
        <v>303552</v>
      </c>
      <c r="Z16" s="44">
        <f t="shared" si="6"/>
        <v>195883.87257040068</v>
      </c>
      <c r="AA16" s="50">
        <f t="shared" si="7"/>
        <v>418145.9611564079</v>
      </c>
      <c r="AB16" s="51">
        <f t="shared" si="8"/>
        <v>183411.86570262234</v>
      </c>
      <c r="AC16" s="44">
        <f t="shared" si="9"/>
        <v>391522.43553970772</v>
      </c>
      <c r="AD16" s="44">
        <f t="shared" si="10"/>
        <v>90187.228231185101</v>
      </c>
      <c r="AE16" s="44">
        <f t="shared" si="18"/>
        <v>0</v>
      </c>
      <c r="AF16" s="52">
        <f>HLOOKUP(I16,GasAvoidedCostsWOCC!$A$5:$G$50,G16+1,FALSE)</f>
        <v>13.713759429231397</v>
      </c>
      <c r="AG16" s="44">
        <f t="shared" si="11"/>
        <v>402930.68553236796</v>
      </c>
      <c r="AH16" s="52">
        <f>HLOOKUP(I16,GasAvoidedCostsWOCC!$A$5:$Q$50,T16+1,FALSE)</f>
        <v>13.713759429231397</v>
      </c>
      <c r="AI16" s="44">
        <f t="shared" si="12"/>
        <v>0</v>
      </c>
      <c r="AJ16" s="44">
        <f t="shared" si="13"/>
        <v>402930.68553236796</v>
      </c>
      <c r="AK16" s="44">
        <f>HLOOKUP(I16,GasAvoidedCostsWOCC!$A$5:$Q$50,G16+1,FALSE)*J16*L16</f>
        <v>0</v>
      </c>
      <c r="AL16" s="44">
        <f t="shared" si="14"/>
        <v>402930.68553236796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402930.68553236796</v>
      </c>
      <c r="AN16" s="48">
        <f t="shared" si="15"/>
        <v>533410.98231678992</v>
      </c>
      <c r="AO16" s="47">
        <f t="shared" si="16"/>
        <v>2.1968626947269914</v>
      </c>
      <c r="AP16" s="47">
        <f t="shared" si="17"/>
        <v>1.3624020845229239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3343842.48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6423590.4800000004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2.1968626947270296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1.4665590756657452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0" sqref="F2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18230249</v>
      </c>
      <c r="D5" s="61" t="s">
        <v>34</v>
      </c>
      <c r="E5" s="38" t="s">
        <v>615</v>
      </c>
      <c r="F5" s="39" t="s">
        <v>616</v>
      </c>
      <c r="G5" s="39">
        <v>13</v>
      </c>
      <c r="H5" s="39"/>
      <c r="I5" s="40" t="s">
        <v>270</v>
      </c>
      <c r="J5" s="41">
        <v>6</v>
      </c>
      <c r="K5" s="41">
        <v>15</v>
      </c>
      <c r="L5" s="41"/>
      <c r="M5" s="42">
        <v>50</v>
      </c>
      <c r="N5" s="42">
        <v>186.6</v>
      </c>
      <c r="O5" s="43">
        <v>90</v>
      </c>
      <c r="P5" s="44">
        <v>300</v>
      </c>
      <c r="Q5" s="44">
        <v>1119.5999999999999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2.1129072628749041E-2</v>
      </c>
      <c r="V5" s="48">
        <f t="shared" ref="V5:V24" si="2">N5-M5</f>
        <v>136.6</v>
      </c>
      <c r="W5" s="49">
        <f t="shared" ref="W5:W24" si="3">(O5/A$10)</f>
        <v>1.6253132791345416E-3</v>
      </c>
      <c r="X5" s="44">
        <f t="shared" ref="X5:X24" si="4">W5*A$8</f>
        <v>178.07323986698304</v>
      </c>
      <c r="Y5" s="44">
        <f t="shared" ref="Y5:Y24" si="5">Q5-P5</f>
        <v>819.59999999999991</v>
      </c>
      <c r="Z5" s="44">
        <f t="shared" ref="Z5:Z24" si="6">X5+(A$6*W5)</f>
        <v>593.0157200300315</v>
      </c>
      <c r="AA5" s="50">
        <f t="shared" ref="AA5:AA24" si="7">Q5+X5</f>
        <v>1297.6732398669828</v>
      </c>
      <c r="AB5" s="51">
        <f t="shared" ref="AB5:AB24" si="8">Z5/(1+GasDiscountRate)^1</f>
        <v>555.25816482212679</v>
      </c>
      <c r="AC5" s="44">
        <f t="shared" ref="AC5:AC24" si="9">AA5/(1+GasDiscountRate)^1</f>
        <v>1215.049850062718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9.0090646643852761</v>
      </c>
      <c r="AG5" s="44">
        <f t="shared" ref="AG5:AG24" si="11">AF5*J5*K5</f>
        <v>810.81581979467478</v>
      </c>
      <c r="AH5" s="52">
        <f>HLOOKUP(I5,GasAvoidedCostsWOCC!$A$5:$Q$50,T5+1,FALSE)</f>
        <v>9.0090646643852761</v>
      </c>
      <c r="AI5" s="44">
        <f t="shared" ref="AI5:AI24" si="12">AH5*J5*L5</f>
        <v>0</v>
      </c>
      <c r="AJ5" s="44">
        <f>AG5+AI5</f>
        <v>810.81581979467478</v>
      </c>
      <c r="AK5" s="44">
        <f>HLOOKUP(I5,GasAvoidedCostsWOCC!$A$5:$Q$50,G5+1,FALSE)*J5*L5</f>
        <v>0</v>
      </c>
      <c r="AL5" s="44">
        <f>AG5+AI5-AK5</f>
        <v>810.81581979467478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810.81581979467478</v>
      </c>
      <c r="AN5" s="48">
        <f>AM5*1.1+AD5+AE5</f>
        <v>891.89740177414228</v>
      </c>
      <c r="AO5" s="47">
        <f>IFERROR(AM5/AB5,0)</f>
        <v>1.4602501523852678</v>
      </c>
      <c r="AP5" s="47">
        <f>AN5/AC5</f>
        <v>0.73404181871888197</v>
      </c>
    </row>
    <row r="6" spans="1:42" ht="13.5" customHeight="1" x14ac:dyDescent="0.35">
      <c r="A6" s="53">
        <f>SUMIF('Program Costs'!D:D,C2,'Program Costs'!L:L)</f>
        <v>255300</v>
      </c>
      <c r="B6" s="97" t="s">
        <v>33</v>
      </c>
      <c r="C6" s="98">
        <v>18230249</v>
      </c>
      <c r="D6" s="61" t="s">
        <v>34</v>
      </c>
      <c r="E6" s="38" t="s">
        <v>617</v>
      </c>
      <c r="F6" s="39" t="s">
        <v>618</v>
      </c>
      <c r="G6" s="39">
        <v>20</v>
      </c>
      <c r="H6" s="39"/>
      <c r="I6" s="40" t="s">
        <v>270</v>
      </c>
      <c r="J6" s="41">
        <v>102</v>
      </c>
      <c r="K6" s="41">
        <v>42</v>
      </c>
      <c r="L6" s="41"/>
      <c r="M6" s="42">
        <v>250</v>
      </c>
      <c r="N6" s="42">
        <v>925.6</v>
      </c>
      <c r="O6" s="43">
        <v>4284</v>
      </c>
      <c r="P6" s="44">
        <v>25500</v>
      </c>
      <c r="Q6" s="44">
        <v>94411.199999999997</v>
      </c>
      <c r="R6" s="45">
        <v>15.03</v>
      </c>
      <c r="S6" s="46">
        <v>0</v>
      </c>
      <c r="T6" s="39">
        <f t="shared" si="0"/>
        <v>20</v>
      </c>
      <c r="U6" s="47">
        <f t="shared" si="1"/>
        <v>1.5472982417360837</v>
      </c>
      <c r="V6" s="48">
        <f t="shared" si="2"/>
        <v>675.6</v>
      </c>
      <c r="W6" s="49">
        <f t="shared" si="3"/>
        <v>7.7364912086804183E-2</v>
      </c>
      <c r="X6" s="44">
        <f t="shared" si="4"/>
        <v>8476.2862176683939</v>
      </c>
      <c r="Y6" s="44">
        <f t="shared" si="5"/>
        <v>68911.199999999997</v>
      </c>
      <c r="Z6" s="44">
        <f t="shared" si="6"/>
        <v>28227.5482734295</v>
      </c>
      <c r="AA6" s="50">
        <f t="shared" si="7"/>
        <v>102887.4862176684</v>
      </c>
      <c r="AB6" s="51">
        <f t="shared" si="8"/>
        <v>26430.288645533237</v>
      </c>
      <c r="AC6" s="44">
        <f t="shared" si="9"/>
        <v>96336.597582086513</v>
      </c>
      <c r="AD6" s="44">
        <f t="shared" si="10"/>
        <v>16496.813342317848</v>
      </c>
      <c r="AE6" s="44">
        <v>0</v>
      </c>
      <c r="AF6" s="52">
        <f>HLOOKUP(I6,GasAvoidedCostsWOCC!$A$5:$G$50,G6+1,FALSE)</f>
        <v>12.854199367046983</v>
      </c>
      <c r="AG6" s="44">
        <f t="shared" si="11"/>
        <v>55067.390088429274</v>
      </c>
      <c r="AH6" s="52">
        <f>HLOOKUP(I6,GasAvoidedCostsWOCC!$A$5:$Q$50,T6+1,FALSE)</f>
        <v>12.854199367046983</v>
      </c>
      <c r="AI6" s="44">
        <f t="shared" si="12"/>
        <v>0</v>
      </c>
      <c r="AJ6" s="44">
        <f t="shared" ref="AJ6:AJ24" si="13">AG6+AI6</f>
        <v>55067.390088429274</v>
      </c>
      <c r="AK6" s="44">
        <f>HLOOKUP(I6,GasAvoidedCostsWOCC!$A$5:$Q$50,G6+1,FALSE)*J6*L6</f>
        <v>0</v>
      </c>
      <c r="AL6" s="44">
        <f t="shared" ref="AL6:AL24" si="14">AG6+AI6-AK6</f>
        <v>55067.390088429274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55067.390088429274</v>
      </c>
      <c r="AN6" s="48">
        <f t="shared" ref="AN6:AN24" si="15">AM6*1.1+AD6+AE6</f>
        <v>77070.942439590057</v>
      </c>
      <c r="AO6" s="47">
        <f t="shared" ref="AO6:AO24" si="16">IFERROR(AM6/AB6,0)</f>
        <v>2.083495599573626</v>
      </c>
      <c r="AP6" s="47">
        <f t="shared" ref="AP6:AP24" si="17">AN6/AC6</f>
        <v>0.80001727665251443</v>
      </c>
    </row>
    <row r="7" spans="1:42" ht="13.5" customHeight="1" x14ac:dyDescent="0.35">
      <c r="A7" s="36" t="s">
        <v>240</v>
      </c>
      <c r="B7" s="97" t="s">
        <v>33</v>
      </c>
      <c r="C7" s="98">
        <v>18230249</v>
      </c>
      <c r="D7" s="61" t="s">
        <v>34</v>
      </c>
      <c r="E7" s="38" t="s">
        <v>612</v>
      </c>
      <c r="F7" s="39" t="s">
        <v>611</v>
      </c>
      <c r="G7" s="39">
        <v>13</v>
      </c>
      <c r="H7" s="39"/>
      <c r="I7" s="40" t="s">
        <v>270</v>
      </c>
      <c r="J7" s="41">
        <v>21</v>
      </c>
      <c r="K7" s="41">
        <v>-5.13</v>
      </c>
      <c r="L7" s="41"/>
      <c r="M7" s="42">
        <v>0</v>
      </c>
      <c r="N7" s="42">
        <v>0</v>
      </c>
      <c r="O7" s="43">
        <v>-107.73</v>
      </c>
      <c r="P7" s="44">
        <v>0</v>
      </c>
      <c r="Q7" s="44">
        <v>0</v>
      </c>
      <c r="R7" s="45">
        <v>2.601</v>
      </c>
      <c r="S7" s="46">
        <v>0</v>
      </c>
      <c r="T7" s="39">
        <f t="shared" si="0"/>
        <v>13</v>
      </c>
      <c r="U7" s="47">
        <f t="shared" si="1"/>
        <v>-2.5291499936612602E-2</v>
      </c>
      <c r="V7" s="48">
        <f t="shared" si="2"/>
        <v>0</v>
      </c>
      <c r="W7" s="49">
        <f t="shared" si="3"/>
        <v>-1.9454999951240464E-3</v>
      </c>
      <c r="X7" s="44">
        <f t="shared" si="4"/>
        <v>-213.15366812077872</v>
      </c>
      <c r="Y7" s="44">
        <f t="shared" si="5"/>
        <v>0</v>
      </c>
      <c r="Z7" s="44">
        <f t="shared" si="6"/>
        <v>-709.83981687594769</v>
      </c>
      <c r="AA7" s="50">
        <f t="shared" si="7"/>
        <v>-213.15366812077872</v>
      </c>
      <c r="AB7" s="51">
        <f t="shared" si="8"/>
        <v>-664.64402329208576</v>
      </c>
      <c r="AC7" s="44">
        <f t="shared" si="9"/>
        <v>-199.58208625541079</v>
      </c>
      <c r="AD7" s="44">
        <f t="shared" si="10"/>
        <v>461.72346715436396</v>
      </c>
      <c r="AE7" s="44">
        <v>0</v>
      </c>
      <c r="AF7" s="52">
        <f>HLOOKUP(I7,GasAvoidedCostsWOCC!$A$5:$G$50,G7+1,FALSE)</f>
        <v>9.0090646643852761</v>
      </c>
      <c r="AG7" s="44">
        <f t="shared" si="11"/>
        <v>-970.5465362942258</v>
      </c>
      <c r="AH7" s="52">
        <f>HLOOKUP(I7,GasAvoidedCostsWOCC!$A$5:$Q$50,T7+1,FALSE)</f>
        <v>9.0090646643852761</v>
      </c>
      <c r="AI7" s="44">
        <f t="shared" si="12"/>
        <v>0</v>
      </c>
      <c r="AJ7" s="44">
        <f t="shared" si="13"/>
        <v>-970.5465362942258</v>
      </c>
      <c r="AK7" s="44">
        <f>HLOOKUP(I7,GasAvoidedCostsWOCC!$A$5:$Q$50,G7+1,FALSE)*J7*L7</f>
        <v>0</v>
      </c>
      <c r="AL7" s="44">
        <f t="shared" si="14"/>
        <v>-970.5465362942258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-970.54653629422569</v>
      </c>
      <c r="AN7" s="48">
        <f t="shared" si="15"/>
        <v>-605.87772276928422</v>
      </c>
      <c r="AO7" s="47">
        <f t="shared" si="16"/>
        <v>1.4602501523852678</v>
      </c>
      <c r="AP7" s="47">
        <f t="shared" si="17"/>
        <v>3.0357319844523798</v>
      </c>
    </row>
    <row r="8" spans="1:42" ht="13.5" customHeight="1" x14ac:dyDescent="0.35">
      <c r="A8" s="53">
        <f>SUMIF('Program Costs'!D:D,C2,'Program Costs'!O:O)</f>
        <v>109562.40999999997</v>
      </c>
      <c r="B8" s="97" t="s">
        <v>33</v>
      </c>
      <c r="C8" s="98">
        <v>18230249</v>
      </c>
      <c r="D8" s="61" t="s">
        <v>34</v>
      </c>
      <c r="E8" s="38" t="s">
        <v>613</v>
      </c>
      <c r="F8" s="39" t="s">
        <v>614</v>
      </c>
      <c r="G8" s="39">
        <v>13</v>
      </c>
      <c r="H8" s="39"/>
      <c r="I8" s="40" t="s">
        <v>270</v>
      </c>
      <c r="J8" s="41">
        <v>2</v>
      </c>
      <c r="K8" s="41">
        <v>-5.13</v>
      </c>
      <c r="L8" s="41"/>
      <c r="M8" s="42">
        <v>0</v>
      </c>
      <c r="N8" s="42">
        <v>0</v>
      </c>
      <c r="O8" s="43">
        <v>-10.26</v>
      </c>
      <c r="P8" s="44">
        <v>0</v>
      </c>
      <c r="Q8" s="44">
        <v>0</v>
      </c>
      <c r="R8" s="45">
        <v>2.4769000000000001</v>
      </c>
      <c r="S8" s="46">
        <v>0</v>
      </c>
      <c r="T8" s="39">
        <f t="shared" si="0"/>
        <v>13</v>
      </c>
      <c r="U8" s="47">
        <f t="shared" si="1"/>
        <v>-2.4087142796773908E-3</v>
      </c>
      <c r="V8" s="48">
        <f t="shared" si="2"/>
        <v>0</v>
      </c>
      <c r="W8" s="49">
        <f t="shared" si="3"/>
        <v>-1.8528571382133774E-4</v>
      </c>
      <c r="X8" s="44">
        <f t="shared" si="4"/>
        <v>-20.300349344836068</v>
      </c>
      <c r="Y8" s="44">
        <f t="shared" si="5"/>
        <v>0</v>
      </c>
      <c r="Z8" s="44">
        <f t="shared" si="6"/>
        <v>-67.603792083423599</v>
      </c>
      <c r="AA8" s="50">
        <f t="shared" si="7"/>
        <v>-20.300349344836068</v>
      </c>
      <c r="AB8" s="51">
        <f t="shared" si="8"/>
        <v>-63.299430789722464</v>
      </c>
      <c r="AC8" s="44">
        <f t="shared" si="9"/>
        <v>-19.007817738610548</v>
      </c>
      <c r="AD8" s="44">
        <f t="shared" si="10"/>
        <v>41.875573709549222</v>
      </c>
      <c r="AE8" s="44">
        <v>0</v>
      </c>
      <c r="AF8" s="52">
        <f>HLOOKUP(I8,GasAvoidedCostsWOCC!$A$5:$G$50,G8+1,FALSE)</f>
        <v>9.0090646643852761</v>
      </c>
      <c r="AG8" s="44">
        <f t="shared" si="11"/>
        <v>-92.433003456592928</v>
      </c>
      <c r="AH8" s="52">
        <f>HLOOKUP(I8,GasAvoidedCostsWOCC!$A$5:$Q$50,T8+1,FALSE)</f>
        <v>9.0090646643852761</v>
      </c>
      <c r="AI8" s="44">
        <f t="shared" si="12"/>
        <v>0</v>
      </c>
      <c r="AJ8" s="44">
        <f t="shared" si="13"/>
        <v>-92.433003456592928</v>
      </c>
      <c r="AK8" s="44">
        <f>HLOOKUP(I8,GasAvoidedCostsWOCC!$A$5:$Q$50,G8+1,FALSE)*J8*L8</f>
        <v>0</v>
      </c>
      <c r="AL8" s="44">
        <f t="shared" si="14"/>
        <v>-92.433003456592928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-92.433003456592928</v>
      </c>
      <c r="AN8" s="48">
        <f t="shared" si="15"/>
        <v>-59.800730092703013</v>
      </c>
      <c r="AO8" s="47">
        <f t="shared" si="16"/>
        <v>1.4602501523852676</v>
      </c>
      <c r="AP8" s="47">
        <f t="shared" si="17"/>
        <v>3.1461123478278039</v>
      </c>
    </row>
    <row r="9" spans="1:42" ht="13.5" customHeight="1" x14ac:dyDescent="0.35">
      <c r="A9" s="36" t="s">
        <v>305</v>
      </c>
      <c r="B9" s="97" t="s">
        <v>33</v>
      </c>
      <c r="C9" s="98">
        <v>18230249</v>
      </c>
      <c r="D9" s="61" t="s">
        <v>34</v>
      </c>
      <c r="E9" s="38" t="s">
        <v>615</v>
      </c>
      <c r="F9" s="39" t="s">
        <v>616</v>
      </c>
      <c r="G9" s="39">
        <v>13</v>
      </c>
      <c r="H9" s="39"/>
      <c r="I9" s="40" t="s">
        <v>270</v>
      </c>
      <c r="J9" s="41">
        <v>3</v>
      </c>
      <c r="K9" s="41">
        <v>15</v>
      </c>
      <c r="L9" s="41"/>
      <c r="M9" s="42">
        <v>50</v>
      </c>
      <c r="N9" s="42">
        <v>186.6</v>
      </c>
      <c r="O9" s="43">
        <v>45</v>
      </c>
      <c r="P9" s="44">
        <v>150</v>
      </c>
      <c r="Q9" s="44">
        <v>559.79999999999995</v>
      </c>
      <c r="R9" s="45">
        <v>0</v>
      </c>
      <c r="S9" s="46">
        <v>0</v>
      </c>
      <c r="T9" s="39">
        <f t="shared" si="0"/>
        <v>13</v>
      </c>
      <c r="U9" s="47">
        <f t="shared" si="1"/>
        <v>1.0564536314374521E-2</v>
      </c>
      <c r="V9" s="48">
        <f t="shared" si="2"/>
        <v>136.6</v>
      </c>
      <c r="W9" s="49">
        <f t="shared" si="3"/>
        <v>8.1265663956727081E-4</v>
      </c>
      <c r="X9" s="44">
        <f t="shared" si="4"/>
        <v>89.036619933491522</v>
      </c>
      <c r="Y9" s="44">
        <f t="shared" si="5"/>
        <v>409.79999999999995</v>
      </c>
      <c r="Z9" s="44">
        <f t="shared" si="6"/>
        <v>296.50786001501575</v>
      </c>
      <c r="AA9" s="50">
        <f t="shared" si="7"/>
        <v>648.83661993349142</v>
      </c>
      <c r="AB9" s="51">
        <f t="shared" si="8"/>
        <v>277.62908241106339</v>
      </c>
      <c r="AC9" s="44">
        <f t="shared" si="9"/>
        <v>607.52492503135898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9.0090646643852761</v>
      </c>
      <c r="AG9" s="44">
        <f t="shared" si="11"/>
        <v>405.40790989733739</v>
      </c>
      <c r="AH9" s="52">
        <f>HLOOKUP(I9,GasAvoidedCostsWOCC!$A$5:$Q$50,T9+1,FALSE)</f>
        <v>9.0090646643852761</v>
      </c>
      <c r="AI9" s="44">
        <f t="shared" si="12"/>
        <v>0</v>
      </c>
      <c r="AJ9" s="44">
        <f t="shared" si="13"/>
        <v>405.40790989733739</v>
      </c>
      <c r="AK9" s="44">
        <f>HLOOKUP(I9,GasAvoidedCostsWOCC!$A$5:$Q$50,G9+1,FALSE)*J9*L9</f>
        <v>0</v>
      </c>
      <c r="AL9" s="44">
        <f t="shared" si="14"/>
        <v>405.40790989733739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405.40790989733739</v>
      </c>
      <c r="AN9" s="48">
        <f t="shared" si="15"/>
        <v>445.94870088707114</v>
      </c>
      <c r="AO9" s="47">
        <f t="shared" si="16"/>
        <v>1.4602501523852678</v>
      </c>
      <c r="AP9" s="47">
        <f t="shared" si="17"/>
        <v>0.73404181871888197</v>
      </c>
    </row>
    <row r="10" spans="1:42" ht="13.5" customHeight="1" x14ac:dyDescent="0.35">
      <c r="A10" s="54">
        <f>SUM(O5:O999)</f>
        <v>55373.940000000395</v>
      </c>
      <c r="B10" s="97" t="s">
        <v>33</v>
      </c>
      <c r="C10" s="98">
        <v>18230249</v>
      </c>
      <c r="D10" s="61" t="s">
        <v>34</v>
      </c>
      <c r="E10" s="38" t="s">
        <v>617</v>
      </c>
      <c r="F10" s="39" t="s">
        <v>618</v>
      </c>
      <c r="G10" s="39">
        <v>20</v>
      </c>
      <c r="H10" s="39"/>
      <c r="I10" s="40" t="s">
        <v>270</v>
      </c>
      <c r="J10" s="41">
        <v>54</v>
      </c>
      <c r="K10" s="41">
        <v>42</v>
      </c>
      <c r="L10" s="41"/>
      <c r="M10" s="42">
        <v>250</v>
      </c>
      <c r="N10" s="42">
        <v>925.6</v>
      </c>
      <c r="O10" s="43">
        <v>2268</v>
      </c>
      <c r="P10" s="44">
        <v>13500</v>
      </c>
      <c r="Q10" s="44">
        <v>49982.400000000001</v>
      </c>
      <c r="R10" s="45">
        <v>15.03</v>
      </c>
      <c r="S10" s="46">
        <v>0</v>
      </c>
      <c r="T10" s="39">
        <f t="shared" si="0"/>
        <v>20</v>
      </c>
      <c r="U10" s="47">
        <f t="shared" si="1"/>
        <v>0.8191578926838089</v>
      </c>
      <c r="V10" s="48">
        <f t="shared" si="2"/>
        <v>675.6</v>
      </c>
      <c r="W10" s="49">
        <f t="shared" si="3"/>
        <v>4.0957894634190445E-2</v>
      </c>
      <c r="X10" s="44">
        <f t="shared" si="4"/>
        <v>4487.4456446479726</v>
      </c>
      <c r="Y10" s="44">
        <f t="shared" si="5"/>
        <v>36482.400000000001</v>
      </c>
      <c r="Z10" s="44">
        <f t="shared" si="6"/>
        <v>14943.996144756793</v>
      </c>
      <c r="AA10" s="50">
        <f t="shared" si="7"/>
        <v>54469.845644647976</v>
      </c>
      <c r="AB10" s="51">
        <f t="shared" si="8"/>
        <v>13992.505753517597</v>
      </c>
      <c r="AC10" s="44">
        <f t="shared" si="9"/>
        <v>51001.728131692857</v>
      </c>
      <c r="AD10" s="44">
        <f t="shared" si="10"/>
        <v>8733.607063580037</v>
      </c>
      <c r="AE10" s="44">
        <f t="shared" si="18"/>
        <v>0</v>
      </c>
      <c r="AF10" s="52">
        <f>HLOOKUP(I10,GasAvoidedCostsWOCC!$A$5:$G$50,G10+1,FALSE)</f>
        <v>12.854199367046983</v>
      </c>
      <c r="AG10" s="44">
        <f t="shared" si="11"/>
        <v>29153.324164462552</v>
      </c>
      <c r="AH10" s="52">
        <f>HLOOKUP(I10,GasAvoidedCostsWOCC!$A$5:$Q$50,T10+1,FALSE)</f>
        <v>12.854199367046983</v>
      </c>
      <c r="AI10" s="44">
        <f t="shared" si="12"/>
        <v>0</v>
      </c>
      <c r="AJ10" s="44">
        <f t="shared" si="13"/>
        <v>29153.324164462552</v>
      </c>
      <c r="AK10" s="44">
        <f>HLOOKUP(I10,GasAvoidedCostsWOCC!$A$5:$Q$50,G10+1,FALSE)*J10*L10</f>
        <v>0</v>
      </c>
      <c r="AL10" s="44">
        <f t="shared" si="14"/>
        <v>29153.324164462552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29153.324164462556</v>
      </c>
      <c r="AN10" s="48">
        <f t="shared" si="15"/>
        <v>40802.263644488849</v>
      </c>
      <c r="AO10" s="47">
        <f t="shared" si="16"/>
        <v>2.083495599573626</v>
      </c>
      <c r="AP10" s="47">
        <f t="shared" si="17"/>
        <v>0.80001727665251432</v>
      </c>
    </row>
    <row r="11" spans="1:42" ht="13.5" customHeight="1" x14ac:dyDescent="0.35">
      <c r="A11" s="36" t="s">
        <v>243</v>
      </c>
      <c r="B11" s="97" t="s">
        <v>33</v>
      </c>
      <c r="C11" s="98">
        <v>18230249</v>
      </c>
      <c r="D11" s="61" t="s">
        <v>34</v>
      </c>
      <c r="E11" s="38" t="s">
        <v>619</v>
      </c>
      <c r="F11" s="39" t="s">
        <v>620</v>
      </c>
      <c r="G11" s="39">
        <v>20</v>
      </c>
      <c r="H11" s="39"/>
      <c r="I11" s="40" t="s">
        <v>270</v>
      </c>
      <c r="J11" s="41">
        <v>12</v>
      </c>
      <c r="K11" s="41">
        <v>60.69</v>
      </c>
      <c r="L11" s="41"/>
      <c r="M11" s="42">
        <v>500</v>
      </c>
      <c r="N11" s="42">
        <v>623.9</v>
      </c>
      <c r="O11" s="43">
        <v>728.28</v>
      </c>
      <c r="P11" s="44">
        <v>6000</v>
      </c>
      <c r="Q11" s="44">
        <v>7486.8</v>
      </c>
      <c r="R11" s="45">
        <v>15.44</v>
      </c>
      <c r="S11" s="46">
        <v>0</v>
      </c>
      <c r="T11" s="39">
        <f t="shared" si="0"/>
        <v>20</v>
      </c>
      <c r="U11" s="47">
        <f t="shared" si="1"/>
        <v>0.26304070109513422</v>
      </c>
      <c r="V11" s="48">
        <f t="shared" si="2"/>
        <v>123.89999999999998</v>
      </c>
      <c r="W11" s="49">
        <f t="shared" si="3"/>
        <v>1.3152035054756711E-2</v>
      </c>
      <c r="X11" s="44">
        <f t="shared" si="4"/>
        <v>1440.968657003627</v>
      </c>
      <c r="Y11" s="44">
        <f t="shared" si="5"/>
        <v>1486.8000000000002</v>
      </c>
      <c r="Z11" s="44">
        <f t="shared" si="6"/>
        <v>4798.6832064830151</v>
      </c>
      <c r="AA11" s="50">
        <f t="shared" si="7"/>
        <v>8927.7686570036276</v>
      </c>
      <c r="AB11" s="51">
        <f t="shared" si="8"/>
        <v>4493.1490697406507</v>
      </c>
      <c r="AC11" s="44">
        <f t="shared" si="9"/>
        <v>8359.3339485052693</v>
      </c>
      <c r="AD11" s="44">
        <f t="shared" si="10"/>
        <v>1993.7442605407814</v>
      </c>
      <c r="AE11" s="44">
        <f t="shared" si="18"/>
        <v>0</v>
      </c>
      <c r="AF11" s="52">
        <f>HLOOKUP(I11,GasAvoidedCostsWOCC!$A$5:$G$50,G11+1,FALSE)</f>
        <v>12.854199367046983</v>
      </c>
      <c r="AG11" s="44">
        <f t="shared" si="11"/>
        <v>9361.4563150329759</v>
      </c>
      <c r="AH11" s="52">
        <f>HLOOKUP(I11,GasAvoidedCostsWOCC!$A$5:$Q$50,T11+1,FALSE)</f>
        <v>12.854199367046983</v>
      </c>
      <c r="AI11" s="44">
        <f t="shared" si="12"/>
        <v>0</v>
      </c>
      <c r="AJ11" s="44">
        <f t="shared" si="13"/>
        <v>9361.4563150329759</v>
      </c>
      <c r="AK11" s="44">
        <f>HLOOKUP(I11,GasAvoidedCostsWOCC!$A$5:$Q$50,G11+1,FALSE)*J11*L11</f>
        <v>0</v>
      </c>
      <c r="AL11" s="44">
        <f t="shared" si="14"/>
        <v>9361.4563150329759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9361.4563150329759</v>
      </c>
      <c r="AN11" s="48">
        <f t="shared" si="15"/>
        <v>12291.346207077057</v>
      </c>
      <c r="AO11" s="47">
        <f t="shared" si="16"/>
        <v>2.083495599573626</v>
      </c>
      <c r="AP11" s="47">
        <f t="shared" si="17"/>
        <v>1.4703738698314439</v>
      </c>
    </row>
    <row r="12" spans="1:42" ht="13.5" customHeight="1" x14ac:dyDescent="0.35">
      <c r="A12" s="55">
        <f>SUM(P5:P1000)</f>
        <v>255800</v>
      </c>
      <c r="B12" s="37"/>
      <c r="E12" s="38" t="s">
        <v>625</v>
      </c>
      <c r="F12" s="39" t="s">
        <v>624</v>
      </c>
      <c r="G12" s="39">
        <v>13</v>
      </c>
      <c r="H12" s="39"/>
      <c r="I12" s="40" t="s">
        <v>270</v>
      </c>
      <c r="J12" s="41">
        <v>561.67000000000098</v>
      </c>
      <c r="K12" s="41">
        <v>-5.13</v>
      </c>
      <c r="L12" s="41"/>
      <c r="M12" s="42">
        <v>0</v>
      </c>
      <c r="N12" s="42">
        <v>0</v>
      </c>
      <c r="O12" s="43">
        <v>-2882.02</v>
      </c>
      <c r="P12" s="44">
        <v>0</v>
      </c>
      <c r="Q12" s="44">
        <v>0</v>
      </c>
      <c r="R12" s="45">
        <v>2.2292999999999998</v>
      </c>
      <c r="S12" s="46">
        <v>0</v>
      </c>
      <c r="T12" s="39">
        <f t="shared" si="0"/>
        <v>13</v>
      </c>
      <c r="U12" s="47">
        <f t="shared" si="1"/>
        <v>-0.67660455441674783</v>
      </c>
      <c r="V12" s="48">
        <f t="shared" si="2"/>
        <v>0</v>
      </c>
      <c r="W12" s="49">
        <f t="shared" si="3"/>
        <v>-5.2046504185903682E-2</v>
      </c>
      <c r="X12" s="44">
        <f t="shared" si="4"/>
        <v>-5702.3404306826942</v>
      </c>
      <c r="Y12" s="44">
        <f t="shared" si="5"/>
        <v>0</v>
      </c>
      <c r="Z12" s="44">
        <f t="shared" si="6"/>
        <v>-18989.812949343905</v>
      </c>
      <c r="AA12" s="50">
        <f t="shared" si="7"/>
        <v>-5702.3404306826942</v>
      </c>
      <c r="AB12" s="51">
        <f t="shared" si="8"/>
        <v>-17780.723735340733</v>
      </c>
      <c r="AC12" s="44">
        <f t="shared" si="9"/>
        <v>-5339.2700661822973</v>
      </c>
      <c r="AD12" s="44">
        <f t="shared" si="10"/>
        <v>10584.5413813834</v>
      </c>
      <c r="AE12" s="44">
        <f t="shared" si="18"/>
        <v>0</v>
      </c>
      <c r="AF12" s="52">
        <f>HLOOKUP(I12,GasAvoidedCostsWOCC!$A$5:$G$50,G12+1,FALSE)</f>
        <v>9.0090646643852761</v>
      </c>
      <c r="AG12" s="44">
        <f t="shared" si="11"/>
        <v>-25958.42252573232</v>
      </c>
      <c r="AH12" s="52">
        <f>HLOOKUP(I12,GasAvoidedCostsWOCC!$A$5:$Q$50,T12+1,FALSE)</f>
        <v>9.0090646643852761</v>
      </c>
      <c r="AI12" s="44">
        <f t="shared" si="12"/>
        <v>0</v>
      </c>
      <c r="AJ12" s="44">
        <f t="shared" si="13"/>
        <v>-25958.42252573232</v>
      </c>
      <c r="AK12" s="44">
        <f>HLOOKUP(I12,GasAvoidedCostsWOCC!$A$5:$Q$50,G12+1,FALSE)*J12*L12</f>
        <v>0</v>
      </c>
      <c r="AL12" s="44">
        <f t="shared" si="14"/>
        <v>-25958.42252573232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-25958.42252573232</v>
      </c>
      <c r="AN12" s="48">
        <f t="shared" si="15"/>
        <v>-17969.723396922156</v>
      </c>
      <c r="AO12" s="47">
        <f t="shared" si="16"/>
        <v>1.4599193436731543</v>
      </c>
      <c r="AP12" s="47">
        <f t="shared" si="17"/>
        <v>3.3655767874972708</v>
      </c>
    </row>
    <row r="13" spans="1:42" ht="13.5" customHeight="1" x14ac:dyDescent="0.35">
      <c r="A13" s="56" t="s">
        <v>246</v>
      </c>
      <c r="B13" s="37"/>
      <c r="E13" s="38" t="s">
        <v>626</v>
      </c>
      <c r="F13" s="39" t="s">
        <v>627</v>
      </c>
      <c r="G13" s="39">
        <v>13</v>
      </c>
      <c r="H13" s="39"/>
      <c r="I13" s="40" t="s">
        <v>270</v>
      </c>
      <c r="J13" s="41">
        <v>47</v>
      </c>
      <c r="K13" s="41">
        <v>15.05</v>
      </c>
      <c r="L13" s="41"/>
      <c r="M13" s="42">
        <v>50</v>
      </c>
      <c r="N13" s="42">
        <v>126.46</v>
      </c>
      <c r="O13" s="43">
        <v>707.35</v>
      </c>
      <c r="P13" s="44">
        <v>2350</v>
      </c>
      <c r="Q13" s="44">
        <v>5943.62</v>
      </c>
      <c r="R13" s="45">
        <v>6.8742999999999999</v>
      </c>
      <c r="S13" s="46">
        <v>0</v>
      </c>
      <c r="T13" s="39">
        <f t="shared" si="0"/>
        <v>13</v>
      </c>
      <c r="U13" s="47">
        <f t="shared" si="1"/>
        <v>0.16606277248828483</v>
      </c>
      <c r="V13" s="48">
        <f t="shared" si="2"/>
        <v>76.459999999999994</v>
      </c>
      <c r="W13" s="49">
        <f t="shared" si="3"/>
        <v>1.2774059422175755E-2</v>
      </c>
      <c r="X13" s="44">
        <f t="shared" si="4"/>
        <v>1399.5567357767829</v>
      </c>
      <c r="Y13" s="44">
        <f t="shared" si="5"/>
        <v>3593.62</v>
      </c>
      <c r="Z13" s="44">
        <f t="shared" si="6"/>
        <v>4660.7741062582536</v>
      </c>
      <c r="AA13" s="50">
        <f t="shared" si="7"/>
        <v>7343.1767357767831</v>
      </c>
      <c r="AB13" s="51">
        <f t="shared" si="8"/>
        <v>4364.0206987436832</v>
      </c>
      <c r="AC13" s="44">
        <f t="shared" si="9"/>
        <v>6875.6336477310697</v>
      </c>
      <c r="AD13" s="44">
        <f t="shared" si="10"/>
        <v>2731.1694151001352</v>
      </c>
      <c r="AE13" s="44">
        <f t="shared" si="18"/>
        <v>0</v>
      </c>
      <c r="AF13" s="52">
        <f>HLOOKUP(I13,GasAvoidedCostsWOCC!$A$5:$G$50,G13+1,FALSE)</f>
        <v>9.0090646643852761</v>
      </c>
      <c r="AG13" s="44">
        <f t="shared" si="11"/>
        <v>6372.5618903529257</v>
      </c>
      <c r="AH13" s="52">
        <f>HLOOKUP(I13,GasAvoidedCostsWOCC!$A$5:$Q$50,T13+1,FALSE)</f>
        <v>9.0090646643852761</v>
      </c>
      <c r="AI13" s="44">
        <f t="shared" si="12"/>
        <v>0</v>
      </c>
      <c r="AJ13" s="44">
        <f t="shared" si="13"/>
        <v>6372.5618903529257</v>
      </c>
      <c r="AK13" s="44">
        <f>HLOOKUP(I13,GasAvoidedCostsWOCC!$A$5:$Q$50,G13+1,FALSE)*J13*L13</f>
        <v>0</v>
      </c>
      <c r="AL13" s="44">
        <f t="shared" si="14"/>
        <v>6372.5618903529257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6372.5618903529248</v>
      </c>
      <c r="AN13" s="48">
        <f t="shared" si="15"/>
        <v>9740.9874944883522</v>
      </c>
      <c r="AO13" s="47">
        <f t="shared" si="16"/>
        <v>1.4602501523852676</v>
      </c>
      <c r="AP13" s="47">
        <f t="shared" si="17"/>
        <v>1.4167403316642442</v>
      </c>
    </row>
    <row r="14" spans="1:42" ht="13.5" customHeight="1" x14ac:dyDescent="0.35">
      <c r="A14" s="55">
        <f>SUM(Y5:Y1000)</f>
        <v>420292.62</v>
      </c>
      <c r="B14" s="37"/>
      <c r="E14" s="38" t="s">
        <v>628</v>
      </c>
      <c r="F14" s="39" t="s">
        <v>629</v>
      </c>
      <c r="G14" s="39">
        <v>20</v>
      </c>
      <c r="H14" s="39"/>
      <c r="I14" s="40" t="s">
        <v>270</v>
      </c>
      <c r="J14" s="41">
        <v>4</v>
      </c>
      <c r="K14" s="41">
        <v>60.69</v>
      </c>
      <c r="L14" s="41"/>
      <c r="M14" s="42">
        <v>500</v>
      </c>
      <c r="N14" s="42">
        <v>623.9</v>
      </c>
      <c r="O14" s="43">
        <v>242.76</v>
      </c>
      <c r="P14" s="44">
        <v>2000</v>
      </c>
      <c r="Q14" s="44">
        <v>2495.6</v>
      </c>
      <c r="R14" s="45">
        <v>15.44</v>
      </c>
      <c r="S14" s="46">
        <v>0</v>
      </c>
      <c r="T14" s="39">
        <f t="shared" si="0"/>
        <v>20</v>
      </c>
      <c r="U14" s="47">
        <f t="shared" si="1"/>
        <v>8.768023369837806E-2</v>
      </c>
      <c r="V14" s="48">
        <f t="shared" si="2"/>
        <v>123.89999999999998</v>
      </c>
      <c r="W14" s="49">
        <f t="shared" si="3"/>
        <v>4.384011684918903E-3</v>
      </c>
      <c r="X14" s="44">
        <f t="shared" si="4"/>
        <v>480.32288566787554</v>
      </c>
      <c r="Y14" s="44">
        <f t="shared" si="5"/>
        <v>495.59999999999991</v>
      </c>
      <c r="Z14" s="44">
        <f t="shared" si="6"/>
        <v>1599.5610688276715</v>
      </c>
      <c r="AA14" s="50">
        <f t="shared" si="7"/>
        <v>2975.9228856678756</v>
      </c>
      <c r="AB14" s="51">
        <f t="shared" si="8"/>
        <v>1497.7163565802166</v>
      </c>
      <c r="AC14" s="44">
        <f t="shared" si="9"/>
        <v>2786.444649501756</v>
      </c>
      <c r="AD14" s="44">
        <f t="shared" si="10"/>
        <v>664.58142018026047</v>
      </c>
      <c r="AE14" s="44">
        <f t="shared" si="18"/>
        <v>0</v>
      </c>
      <c r="AF14" s="52">
        <f>HLOOKUP(I14,GasAvoidedCostsWOCC!$A$5:$G$50,G14+1,FALSE)</f>
        <v>12.854199367046983</v>
      </c>
      <c r="AG14" s="44">
        <f t="shared" si="11"/>
        <v>3120.4854383443253</v>
      </c>
      <c r="AH14" s="52">
        <f>HLOOKUP(I14,GasAvoidedCostsWOCC!$A$5:$Q$50,T14+1,FALSE)</f>
        <v>12.854199367046983</v>
      </c>
      <c r="AI14" s="44">
        <f t="shared" si="12"/>
        <v>0</v>
      </c>
      <c r="AJ14" s="44">
        <f t="shared" si="13"/>
        <v>3120.4854383443253</v>
      </c>
      <c r="AK14" s="44">
        <f>HLOOKUP(I14,GasAvoidedCostsWOCC!$A$5:$Q$50,G14+1,FALSE)*J14*L14</f>
        <v>0</v>
      </c>
      <c r="AL14" s="44">
        <f t="shared" si="14"/>
        <v>3120.4854383443253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3120.4854383443253</v>
      </c>
      <c r="AN14" s="48">
        <f t="shared" si="15"/>
        <v>4097.1154023590188</v>
      </c>
      <c r="AO14" s="47">
        <f t="shared" si="16"/>
        <v>2.0834955995736264</v>
      </c>
      <c r="AP14" s="47">
        <f t="shared" si="17"/>
        <v>1.4703738698314441</v>
      </c>
    </row>
    <row r="15" spans="1:42" ht="13.5" customHeight="1" x14ac:dyDescent="0.35">
      <c r="A15" s="57" t="s">
        <v>249</v>
      </c>
      <c r="B15" s="37"/>
      <c r="E15" s="38" t="s">
        <v>630</v>
      </c>
      <c r="F15" s="39" t="s">
        <v>631</v>
      </c>
      <c r="G15" s="39">
        <v>20</v>
      </c>
      <c r="H15" s="39"/>
      <c r="I15" s="40" t="s">
        <v>270</v>
      </c>
      <c r="J15" s="41">
        <v>824</v>
      </c>
      <c r="K15" s="41">
        <v>60.69</v>
      </c>
      <c r="L15" s="41"/>
      <c r="M15" s="42">
        <v>250</v>
      </c>
      <c r="N15" s="42">
        <v>623.9</v>
      </c>
      <c r="O15" s="43">
        <v>50008.560000000398</v>
      </c>
      <c r="P15" s="44">
        <v>206000</v>
      </c>
      <c r="Q15" s="44">
        <v>514093.6</v>
      </c>
      <c r="R15" s="45">
        <v>15.44</v>
      </c>
      <c r="S15" s="46">
        <v>0</v>
      </c>
      <c r="T15" s="39">
        <f t="shared" si="0"/>
        <v>20</v>
      </c>
      <c r="U15" s="47">
        <f t="shared" si="1"/>
        <v>18.062128141866026</v>
      </c>
      <c r="V15" s="48">
        <f t="shared" si="2"/>
        <v>373.9</v>
      </c>
      <c r="W15" s="49">
        <f t="shared" si="3"/>
        <v>0.90310640709330126</v>
      </c>
      <c r="X15" s="44">
        <f t="shared" si="4"/>
        <v>98946.514447583162</v>
      </c>
      <c r="Y15" s="44">
        <f t="shared" si="5"/>
        <v>308093.59999999998</v>
      </c>
      <c r="Z15" s="44">
        <f t="shared" si="6"/>
        <v>329509.58017850295</v>
      </c>
      <c r="AA15" s="50">
        <f t="shared" si="7"/>
        <v>613040.1144475831</v>
      </c>
      <c r="AB15" s="51">
        <f t="shared" si="8"/>
        <v>308529.56945552706</v>
      </c>
      <c r="AC15" s="44">
        <f t="shared" si="9"/>
        <v>574007.59779736237</v>
      </c>
      <c r="AD15" s="44">
        <f t="shared" si="10"/>
        <v>136903.77255713366</v>
      </c>
      <c r="AE15" s="44">
        <f t="shared" si="18"/>
        <v>0</v>
      </c>
      <c r="AF15" s="52">
        <f>HLOOKUP(I15,GasAvoidedCostsWOCC!$A$5:$G$50,G15+1,FALSE)</f>
        <v>12.854199367046983</v>
      </c>
      <c r="AG15" s="44">
        <f t="shared" si="11"/>
        <v>642820.00029893103</v>
      </c>
      <c r="AH15" s="52">
        <f>HLOOKUP(I15,GasAvoidedCostsWOCC!$A$5:$Q$50,T15+1,FALSE)</f>
        <v>12.854199367046983</v>
      </c>
      <c r="AI15" s="44">
        <f t="shared" si="12"/>
        <v>0</v>
      </c>
      <c r="AJ15" s="44">
        <f t="shared" si="13"/>
        <v>642820.00029893103</v>
      </c>
      <c r="AK15" s="44">
        <f>HLOOKUP(I15,GasAvoidedCostsWOCC!$A$5:$Q$50,G15+1,FALSE)*J15*L15</f>
        <v>0</v>
      </c>
      <c r="AL15" s="44">
        <f t="shared" si="14"/>
        <v>642820.00029893103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642820.00029893103</v>
      </c>
      <c r="AN15" s="48">
        <f t="shared" si="15"/>
        <v>844005.77288595785</v>
      </c>
      <c r="AO15" s="47">
        <f t="shared" si="16"/>
        <v>2.08349559957361</v>
      </c>
      <c r="AP15" s="47">
        <f t="shared" si="17"/>
        <v>1.4703738698314424</v>
      </c>
    </row>
    <row r="16" spans="1:42" ht="13.5" customHeight="1" x14ac:dyDescent="0.35">
      <c r="A16" s="54">
        <f>SUM(U5:U999)</f>
        <v>20.272756823877803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364862.41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785655.03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2.1077977382494018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1.3195603312627726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18230625</v>
      </c>
      <c r="D2" s="20" t="s">
        <v>317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18230625</v>
      </c>
      <c r="D5" s="61" t="s">
        <v>317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18230247</v>
      </c>
      <c r="D2" s="20" t="s">
        <v>318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18230247</v>
      </c>
      <c r="D5" s="61" t="s">
        <v>318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K9" sqref="K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18230434</v>
      </c>
      <c r="D2" s="20" t="s">
        <v>319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18230434</v>
      </c>
      <c r="D5" s="61" t="s">
        <v>319</v>
      </c>
      <c r="E5" s="38" t="s">
        <v>649</v>
      </c>
      <c r="F5" s="39" t="s">
        <v>650</v>
      </c>
      <c r="G5" s="39">
        <v>14</v>
      </c>
      <c r="H5" s="39"/>
      <c r="I5" s="40" t="s">
        <v>270</v>
      </c>
      <c r="J5" s="41">
        <v>109</v>
      </c>
      <c r="K5" s="41">
        <v>0.8</v>
      </c>
      <c r="L5" s="41"/>
      <c r="M5" s="42">
        <v>0</v>
      </c>
      <c r="N5" s="42">
        <v>0</v>
      </c>
      <c r="O5" s="43">
        <v>87.199999999999804</v>
      </c>
      <c r="P5" s="44">
        <v>0</v>
      </c>
      <c r="Q5" s="44">
        <v>0</v>
      </c>
      <c r="R5" s="45">
        <v>7.49</v>
      </c>
      <c r="S5" s="46">
        <v>0</v>
      </c>
      <c r="T5" s="39">
        <f t="shared" ref="T5:T24" si="0">G5+H5</f>
        <v>14</v>
      </c>
      <c r="U5" s="47">
        <f t="shared" ref="U5:U24" si="1">(O5/$A$10)*T5</f>
        <v>0.27203850610570807</v>
      </c>
      <c r="V5" s="48">
        <f t="shared" ref="V5:V24" si="2">N5-M5</f>
        <v>0</v>
      </c>
      <c r="W5" s="49">
        <f t="shared" ref="W5:W24" si="3">(O5/A$10)</f>
        <v>1.9431321864693433E-2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7226.3159137647372</v>
      </c>
      <c r="AE5" s="44">
        <v>0</v>
      </c>
      <c r="AF5" s="52">
        <f>HLOOKUP(I5,GasAvoidedCostsWOCC!$A$5:$G$50,G5+1,FALSE)</f>
        <v>9.6025378328158837</v>
      </c>
      <c r="AG5" s="44">
        <f t="shared" ref="AG5:AG24" si="11">AF5*J5*K5</f>
        <v>837.34129902154518</v>
      </c>
      <c r="AH5" s="52">
        <f>HLOOKUP(I5,GasAvoidedCostsWOCC!$A$5:$Q$50,T5+1,FALSE)</f>
        <v>9.6025378328158837</v>
      </c>
      <c r="AI5" s="44">
        <f t="shared" ref="AI5:AI24" si="12">AH5*J5*L5</f>
        <v>0</v>
      </c>
      <c r="AJ5" s="44">
        <f>AG5+AI5</f>
        <v>837.34129902154518</v>
      </c>
      <c r="AK5" s="44">
        <f>HLOOKUP(I5,GasAvoidedCostsWOCC!$A$5:$Q$50,G5+1,FALSE)*J5*L5</f>
        <v>0</v>
      </c>
      <c r="AL5" s="44">
        <f>AG5+AI5-AK5</f>
        <v>837.34129902154518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837.34129902154507</v>
      </c>
      <c r="AN5" s="48">
        <f>AM5*1.1+AD5+AE5</f>
        <v>8147.3913426884365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/>
      <c r="B6" s="97" t="s">
        <v>33</v>
      </c>
      <c r="C6" s="98">
        <v>18230434</v>
      </c>
      <c r="D6" s="61" t="s">
        <v>319</v>
      </c>
      <c r="E6" s="38" t="s">
        <v>653</v>
      </c>
      <c r="F6" s="39" t="s">
        <v>654</v>
      </c>
      <c r="G6" s="39">
        <v>14</v>
      </c>
      <c r="H6" s="39"/>
      <c r="I6" s="40" t="s">
        <v>270</v>
      </c>
      <c r="J6" s="41">
        <v>539</v>
      </c>
      <c r="K6" s="41">
        <v>2.1</v>
      </c>
      <c r="L6" s="41"/>
      <c r="M6" s="42">
        <v>0</v>
      </c>
      <c r="N6" s="42">
        <v>0</v>
      </c>
      <c r="O6" s="43">
        <v>1131.9000000000001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3.531197076388207</v>
      </c>
      <c r="V6" s="48">
        <f t="shared" si="2"/>
        <v>0</v>
      </c>
      <c r="W6" s="49">
        <f t="shared" si="3"/>
        <v>0.25222836259915765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81391.006693300471</v>
      </c>
      <c r="AE6" s="44">
        <v>0</v>
      </c>
      <c r="AF6" s="52">
        <f>HLOOKUP(I6,GasAvoidedCostsWOCC!$A$5:$G$50,G6+1,FALSE)</f>
        <v>9.6025378328158837</v>
      </c>
      <c r="AG6" s="44">
        <f t="shared" si="11"/>
        <v>10869.112572964299</v>
      </c>
      <c r="AH6" s="52">
        <f>HLOOKUP(I6,GasAvoidedCostsWOCC!$A$5:$Q$50,T6+1,FALSE)</f>
        <v>9.6025378328158837</v>
      </c>
      <c r="AI6" s="44">
        <f t="shared" si="12"/>
        <v>0</v>
      </c>
      <c r="AJ6" s="44">
        <f t="shared" ref="AJ6:AJ24" si="13">AG6+AI6</f>
        <v>10869.112572964299</v>
      </c>
      <c r="AK6" s="44">
        <f>HLOOKUP(I6,GasAvoidedCostsWOCC!$A$5:$Q$50,G6+1,FALSE)*J6*L6</f>
        <v>0</v>
      </c>
      <c r="AL6" s="44">
        <f t="shared" ref="AL6:AL24" si="14">AG6+AI6-AK6</f>
        <v>10869.112572964299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10869.112572964299</v>
      </c>
      <c r="AN6" s="48">
        <f t="shared" ref="AN6:AN24" si="15">AM6*1.1+AD6+AE6</f>
        <v>93347.030523561203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 t="s">
        <v>33</v>
      </c>
      <c r="C7" s="98">
        <v>18230434</v>
      </c>
      <c r="D7" s="61" t="s">
        <v>319</v>
      </c>
      <c r="E7" s="38" t="s">
        <v>655</v>
      </c>
      <c r="F7" s="39" t="s">
        <v>654</v>
      </c>
      <c r="G7" s="39">
        <v>14</v>
      </c>
      <c r="H7" s="39"/>
      <c r="I7" s="40" t="s">
        <v>270</v>
      </c>
      <c r="J7" s="41">
        <v>1354</v>
      </c>
      <c r="K7" s="41">
        <v>2.4</v>
      </c>
      <c r="L7" s="41"/>
      <c r="M7" s="42">
        <v>0</v>
      </c>
      <c r="N7" s="42">
        <v>0</v>
      </c>
      <c r="O7" s="43">
        <v>3249.6000000000799</v>
      </c>
      <c r="P7" s="44">
        <v>0</v>
      </c>
      <c r="Q7" s="44">
        <v>0</v>
      </c>
      <c r="R7" s="45">
        <v>17.88</v>
      </c>
      <c r="S7" s="46">
        <v>0</v>
      </c>
      <c r="T7" s="39">
        <f t="shared" si="0"/>
        <v>14</v>
      </c>
      <c r="U7" s="47">
        <f t="shared" si="1"/>
        <v>10.137801943132255</v>
      </c>
      <c r="V7" s="48">
        <f t="shared" si="2"/>
        <v>0</v>
      </c>
      <c r="W7" s="49">
        <f t="shared" si="3"/>
        <v>0.72412871022373249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214286.49776534547</v>
      </c>
      <c r="AE7" s="44">
        <v>0</v>
      </c>
      <c r="AF7" s="52">
        <f>HLOOKUP(I7,GasAvoidedCostsWOCC!$A$5:$G$50,G7+1,FALSE)</f>
        <v>9.6025378328158837</v>
      </c>
      <c r="AG7" s="44">
        <f t="shared" si="11"/>
        <v>31204.406941518497</v>
      </c>
      <c r="AH7" s="52">
        <f>HLOOKUP(I7,GasAvoidedCostsWOCC!$A$5:$Q$50,T7+1,FALSE)</f>
        <v>9.6025378328158837</v>
      </c>
      <c r="AI7" s="44">
        <f t="shared" si="12"/>
        <v>0</v>
      </c>
      <c r="AJ7" s="44">
        <f t="shared" si="13"/>
        <v>31204.406941518497</v>
      </c>
      <c r="AK7" s="44">
        <f>HLOOKUP(I7,GasAvoidedCostsWOCC!$A$5:$Q$50,G7+1,FALSE)*J7*L7</f>
        <v>0</v>
      </c>
      <c r="AL7" s="44">
        <f t="shared" si="14"/>
        <v>31204.406941518497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31204.406941518493</v>
      </c>
      <c r="AN7" s="48">
        <f t="shared" si="15"/>
        <v>248611.34540101583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/>
      <c r="B8" s="97" t="s">
        <v>33</v>
      </c>
      <c r="C8" s="98">
        <v>18230434</v>
      </c>
      <c r="D8" s="61" t="s">
        <v>319</v>
      </c>
      <c r="E8" s="38" t="s">
        <v>656</v>
      </c>
      <c r="F8" s="39" t="s">
        <v>657</v>
      </c>
      <c r="G8" s="39">
        <v>14</v>
      </c>
      <c r="H8" s="39"/>
      <c r="I8" s="40" t="s">
        <v>270</v>
      </c>
      <c r="J8" s="41">
        <v>1</v>
      </c>
      <c r="K8" s="41">
        <v>2.1</v>
      </c>
      <c r="L8" s="41"/>
      <c r="M8" s="42">
        <v>0</v>
      </c>
      <c r="N8" s="42">
        <v>0</v>
      </c>
      <c r="O8" s="43">
        <v>2.1</v>
      </c>
      <c r="P8" s="44">
        <v>0</v>
      </c>
      <c r="Q8" s="44">
        <v>0</v>
      </c>
      <c r="R8" s="45">
        <v>17.059999999999999</v>
      </c>
      <c r="S8" s="46">
        <v>0</v>
      </c>
      <c r="T8" s="39">
        <f t="shared" si="0"/>
        <v>14</v>
      </c>
      <c r="U8" s="47">
        <f t="shared" si="1"/>
        <v>6.5513860415365617E-3</v>
      </c>
      <c r="V8" s="48">
        <f t="shared" si="2"/>
        <v>0</v>
      </c>
      <c r="W8" s="49">
        <f t="shared" si="3"/>
        <v>4.6795614582404013E-4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151.00372299313631</v>
      </c>
      <c r="AE8" s="44">
        <v>0</v>
      </c>
      <c r="AF8" s="52">
        <f>HLOOKUP(I8,GasAvoidedCostsWOCC!$A$5:$G$50,G8+1,FALSE)</f>
        <v>9.6025378328158837</v>
      </c>
      <c r="AG8" s="44">
        <f t="shared" si="11"/>
        <v>20.165329448913358</v>
      </c>
      <c r="AH8" s="52">
        <f>HLOOKUP(I8,GasAvoidedCostsWOCC!$A$5:$Q$50,T8+1,FALSE)</f>
        <v>9.6025378328158837</v>
      </c>
      <c r="AI8" s="44">
        <f t="shared" si="12"/>
        <v>0</v>
      </c>
      <c r="AJ8" s="44">
        <f t="shared" si="13"/>
        <v>20.165329448913358</v>
      </c>
      <c r="AK8" s="44">
        <f>HLOOKUP(I8,GasAvoidedCostsWOCC!$A$5:$Q$50,G8+1,FALSE)*J8*L8</f>
        <v>0</v>
      </c>
      <c r="AL8" s="44">
        <f t="shared" si="14"/>
        <v>20.165329448913358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20.165329448913358</v>
      </c>
      <c r="AN8" s="48">
        <f t="shared" si="15"/>
        <v>173.185585386941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97" t="s">
        <v>33</v>
      </c>
      <c r="C9" s="98">
        <v>18230434</v>
      </c>
      <c r="D9" s="61" t="s">
        <v>319</v>
      </c>
      <c r="E9" s="38" t="s">
        <v>663</v>
      </c>
      <c r="F9" s="39" t="s">
        <v>664</v>
      </c>
      <c r="G9" s="39">
        <v>14</v>
      </c>
      <c r="H9" s="39"/>
      <c r="I9" s="40" t="s">
        <v>270</v>
      </c>
      <c r="J9" s="41">
        <v>7</v>
      </c>
      <c r="K9" s="41">
        <v>2.4</v>
      </c>
      <c r="L9" s="41"/>
      <c r="M9" s="42">
        <v>0</v>
      </c>
      <c r="N9" s="42">
        <v>0</v>
      </c>
      <c r="O9" s="43">
        <v>16.8</v>
      </c>
      <c r="P9" s="44">
        <v>0</v>
      </c>
      <c r="Q9" s="44">
        <v>0</v>
      </c>
      <c r="R9" s="45">
        <v>17.88</v>
      </c>
      <c r="S9" s="46">
        <v>0</v>
      </c>
      <c r="T9" s="39">
        <f t="shared" si="0"/>
        <v>14</v>
      </c>
      <c r="U9" s="47">
        <f t="shared" si="1"/>
        <v>5.2411088332292494E-2</v>
      </c>
      <c r="V9" s="48">
        <f t="shared" si="2"/>
        <v>0</v>
      </c>
      <c r="W9" s="49">
        <f t="shared" si="3"/>
        <v>3.743649166592321E-3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1107.832706320102</v>
      </c>
      <c r="AE9" s="44">
        <f t="shared" ref="AE9:AE24" si="18">-PV(GasDiscountRate,T9,S9)*J9</f>
        <v>0</v>
      </c>
      <c r="AF9" s="52">
        <f>HLOOKUP(I9,GasAvoidedCostsWOCC!$A$5:$G$50,G9+1,FALSE)</f>
        <v>9.6025378328158837</v>
      </c>
      <c r="AG9" s="44">
        <f t="shared" si="11"/>
        <v>161.32263559130683</v>
      </c>
      <c r="AH9" s="52">
        <f>HLOOKUP(I9,GasAvoidedCostsWOCC!$A$5:$Q$50,T9+1,FALSE)</f>
        <v>9.6025378328158837</v>
      </c>
      <c r="AI9" s="44">
        <f t="shared" si="12"/>
        <v>0</v>
      </c>
      <c r="AJ9" s="44">
        <f t="shared" si="13"/>
        <v>161.32263559130683</v>
      </c>
      <c r="AK9" s="44">
        <f>HLOOKUP(I9,GasAvoidedCostsWOCC!$A$5:$Q$50,G9+1,FALSE)*J9*L9</f>
        <v>0</v>
      </c>
      <c r="AL9" s="44">
        <f t="shared" si="14"/>
        <v>161.32263559130683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161.32263559130683</v>
      </c>
      <c r="AN9" s="48">
        <f t="shared" si="15"/>
        <v>1285.2876054705396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4487.6000000000804</v>
      </c>
      <c r="B10" s="97" t="s">
        <v>33</v>
      </c>
      <c r="C10" s="98">
        <v>18230434</v>
      </c>
      <c r="D10" s="61" t="s">
        <v>319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97" t="s">
        <v>33</v>
      </c>
      <c r="C11" s="98">
        <v>18230434</v>
      </c>
      <c r="D11" s="61" t="s">
        <v>319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97" t="s">
        <v>33</v>
      </c>
      <c r="C12" s="98">
        <v>18230434</v>
      </c>
      <c r="D12" s="61" t="s">
        <v>319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97" t="s">
        <v>33</v>
      </c>
      <c r="C13" s="98">
        <v>18230434</v>
      </c>
      <c r="D13" s="61" t="s">
        <v>319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97" t="s">
        <v>33</v>
      </c>
      <c r="C14" s="98">
        <v>18230434</v>
      </c>
      <c r="D14" s="61" t="s">
        <v>319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97" t="s">
        <v>33</v>
      </c>
      <c r="C15" s="98">
        <v>18230434</v>
      </c>
      <c r="D15" s="61" t="s">
        <v>319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13.999999999999998</v>
      </c>
      <c r="B16" s="97" t="s">
        <v>33</v>
      </c>
      <c r="C16" s="98">
        <v>18230434</v>
      </c>
      <c r="D16" s="61" t="s">
        <v>319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97" t="s">
        <v>33</v>
      </c>
      <c r="C17" s="98">
        <v>18230434</v>
      </c>
      <c r="D17" s="61" t="s">
        <v>319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97" t="s">
        <v>33</v>
      </c>
      <c r="C18" s="98">
        <v>18230434</v>
      </c>
      <c r="D18" s="61" t="s">
        <v>319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97" t="s">
        <v>33</v>
      </c>
      <c r="C19" s="98">
        <v>18230434</v>
      </c>
      <c r="D19" s="61" t="s">
        <v>319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97" t="s">
        <v>33</v>
      </c>
      <c r="C20" s="98">
        <v>18230434</v>
      </c>
      <c r="D20" s="61" t="s">
        <v>319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C18" sqref="C1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18230687</v>
      </c>
      <c r="D2" s="20" t="s">
        <v>320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18230687</v>
      </c>
      <c r="D5" s="61" t="s">
        <v>320</v>
      </c>
      <c r="E5" s="38" t="s">
        <v>667</v>
      </c>
      <c r="F5" s="39" t="s">
        <v>668</v>
      </c>
      <c r="G5" s="39"/>
      <c r="H5" s="39"/>
      <c r="I5" s="40" t="s">
        <v>274</v>
      </c>
      <c r="J5" s="41">
        <v>34</v>
      </c>
      <c r="K5" s="41"/>
      <c r="L5" s="41"/>
      <c r="M5" s="42"/>
      <c r="N5" s="42"/>
      <c r="O5" s="43">
        <v>0</v>
      </c>
      <c r="P5" s="44">
        <v>2425</v>
      </c>
      <c r="Q5" s="44">
        <v>0</v>
      </c>
      <c r="R5" s="45">
        <v>0</v>
      </c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-2425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str">
        <f>HLOOKUP(I5,GasAvoidedCostsWOCC!$A$5:$G$50,G5+1,FALSE)</f>
        <v>SF Space Heat</v>
      </c>
      <c r="AG5" s="44" t="e">
        <f t="shared" ref="AG5:AG24" si="11">AF5*J5*K5</f>
        <v>#VALUE!</v>
      </c>
      <c r="AH5" s="52" t="str">
        <f>HLOOKUP(I5,GasAvoidedCostsWOCC!$A$5:$Q$50,T5+1,FALSE)</f>
        <v>SF Space Heat</v>
      </c>
      <c r="AI5" s="44" t="e">
        <f t="shared" ref="AI5:AI24" si="12">AH5*J5*L5</f>
        <v>#VALUE!</v>
      </c>
      <c r="AJ5" s="44" t="e">
        <f>AG5+AI5</f>
        <v>#VALUE!</v>
      </c>
      <c r="AK5" s="44" t="e">
        <f>HLOOKUP(I5,GasAvoidedCostsWOCC!$A$5:$Q$50,G5+1,FALSE)*J5*L5</f>
        <v>#VALUE!</v>
      </c>
      <c r="AL5" s="44" t="e">
        <f>AG5+AI5-AK5</f>
        <v>#VALUE!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1156208.98</v>
      </c>
      <c r="B6" s="97" t="s">
        <v>33</v>
      </c>
      <c r="C6" s="98">
        <v>18230687</v>
      </c>
      <c r="D6" s="61" t="s">
        <v>320</v>
      </c>
      <c r="E6" s="38" t="s">
        <v>674</v>
      </c>
      <c r="F6" s="39" t="s">
        <v>675</v>
      </c>
      <c r="G6" s="39">
        <v>11</v>
      </c>
      <c r="H6" s="39"/>
      <c r="I6" s="40" t="s">
        <v>274</v>
      </c>
      <c r="J6" s="41">
        <v>1255</v>
      </c>
      <c r="K6" s="41">
        <v>33</v>
      </c>
      <c r="L6" s="41"/>
      <c r="M6" s="42">
        <v>75</v>
      </c>
      <c r="N6" s="42">
        <v>189</v>
      </c>
      <c r="O6" s="43">
        <v>41415</v>
      </c>
      <c r="P6" s="44">
        <v>92580.97</v>
      </c>
      <c r="Q6" s="44">
        <v>237195</v>
      </c>
      <c r="R6" s="45">
        <v>0</v>
      </c>
      <c r="S6" s="46">
        <v>0</v>
      </c>
      <c r="T6" s="39">
        <f t="shared" si="0"/>
        <v>11</v>
      </c>
      <c r="U6" s="47">
        <f t="shared" si="1"/>
        <v>1.2966093735324504</v>
      </c>
      <c r="V6" s="48">
        <f t="shared" si="2"/>
        <v>114</v>
      </c>
      <c r="W6" s="49">
        <f t="shared" si="3"/>
        <v>0.11787357941204095</v>
      </c>
      <c r="X6" s="44">
        <f t="shared" si="4"/>
        <v>47182.336174509241</v>
      </c>
      <c r="Y6" s="44">
        <f t="shared" si="5"/>
        <v>144614.03</v>
      </c>
      <c r="Z6" s="44">
        <f t="shared" si="6"/>
        <v>183468.8271954541</v>
      </c>
      <c r="AA6" s="50">
        <f t="shared" si="7"/>
        <v>284377.33617450926</v>
      </c>
      <c r="AB6" s="51">
        <f t="shared" si="8"/>
        <v>171787.29138151131</v>
      </c>
      <c r="AC6" s="44">
        <f t="shared" si="9"/>
        <v>266270.91402107605</v>
      </c>
      <c r="AD6" s="44">
        <f t="shared" si="10"/>
        <v>0</v>
      </c>
      <c r="AE6" s="44">
        <v>0</v>
      </c>
      <c r="AF6" s="52">
        <f>HLOOKUP(I6,GasAvoidedCostsWOCC!$A$5:$G$50,G6+1,FALSE)</f>
        <v>8.3814672267569037</v>
      </c>
      <c r="AG6" s="44">
        <f t="shared" si="11"/>
        <v>347118.4651961372</v>
      </c>
      <c r="AH6" s="52">
        <f>HLOOKUP(I6,GasAvoidedCostsWOCC!$A$5:$Q$50,T6+1,FALSE)</f>
        <v>8.3814672267569037</v>
      </c>
      <c r="AI6" s="44">
        <f t="shared" si="12"/>
        <v>0</v>
      </c>
      <c r="AJ6" s="44">
        <f t="shared" ref="AJ6:AJ24" si="13">AG6+AI6</f>
        <v>347118.4651961372</v>
      </c>
      <c r="AK6" s="44">
        <f>HLOOKUP(I6,GasAvoidedCostsWOCC!$A$5:$Q$50,G6+1,FALSE)*J6*L6</f>
        <v>0</v>
      </c>
      <c r="AL6" s="44">
        <f t="shared" ref="AL6:AL24" si="14">AG6+AI6-AK6</f>
        <v>347118.4651961372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347118.4651961372</v>
      </c>
      <c r="AN6" s="48">
        <f t="shared" ref="AN6:AN24" si="15">AM6*1.1+AD6+AE6</f>
        <v>381830.31171575096</v>
      </c>
      <c r="AO6" s="47">
        <f t="shared" ref="AO6:AO24" si="16">IFERROR(AM6/AB6,0)</f>
        <v>2.0206294796583304</v>
      </c>
      <c r="AP6" s="47">
        <f t="shared" ref="AP6:AP24" si="17">AN6/AC6</f>
        <v>1.4339918166410321</v>
      </c>
    </row>
    <row r="7" spans="1:42" ht="13.5" customHeight="1" x14ac:dyDescent="0.35">
      <c r="A7" s="36" t="s">
        <v>240</v>
      </c>
      <c r="B7" s="97" t="s">
        <v>33</v>
      </c>
      <c r="C7" s="98">
        <v>18230687</v>
      </c>
      <c r="D7" s="61" t="s">
        <v>320</v>
      </c>
      <c r="E7" s="38" t="s">
        <v>676</v>
      </c>
      <c r="F7" s="39" t="s">
        <v>675</v>
      </c>
      <c r="G7" s="39">
        <v>11</v>
      </c>
      <c r="H7" s="39"/>
      <c r="I7" s="40" t="s">
        <v>274</v>
      </c>
      <c r="J7" s="41">
        <v>3615</v>
      </c>
      <c r="K7" s="41">
        <v>33</v>
      </c>
      <c r="L7" s="41"/>
      <c r="M7" s="42">
        <v>75</v>
      </c>
      <c r="N7" s="42">
        <v>189</v>
      </c>
      <c r="O7" s="43">
        <v>119295</v>
      </c>
      <c r="P7" s="44">
        <v>265991.99</v>
      </c>
      <c r="Q7" s="44">
        <v>683235</v>
      </c>
      <c r="R7" s="45">
        <v>6.0759999999999996</v>
      </c>
      <c r="S7" s="46">
        <v>0</v>
      </c>
      <c r="T7" s="39">
        <f t="shared" si="0"/>
        <v>11</v>
      </c>
      <c r="U7" s="47">
        <f t="shared" si="1"/>
        <v>3.7348548887010424</v>
      </c>
      <c r="V7" s="48">
        <f t="shared" si="2"/>
        <v>114</v>
      </c>
      <c r="W7" s="49">
        <f t="shared" si="3"/>
        <v>0.33953226260918568</v>
      </c>
      <c r="X7" s="44">
        <f t="shared" si="4"/>
        <v>135907.68547478158</v>
      </c>
      <c r="Y7" s="44">
        <f t="shared" si="5"/>
        <v>417243.01</v>
      </c>
      <c r="Z7" s="44">
        <f t="shared" si="6"/>
        <v>528477.93650324026</v>
      </c>
      <c r="AA7" s="50">
        <f t="shared" si="7"/>
        <v>819142.68547478155</v>
      </c>
      <c r="AB7" s="51">
        <f t="shared" si="8"/>
        <v>494829.52856108634</v>
      </c>
      <c r="AC7" s="44">
        <f t="shared" si="9"/>
        <v>766987.5332160875</v>
      </c>
      <c r="AD7" s="44">
        <f t="shared" si="10"/>
        <v>166359.8091661112</v>
      </c>
      <c r="AE7" s="44">
        <v>0</v>
      </c>
      <c r="AF7" s="52">
        <f>HLOOKUP(I7,GasAvoidedCostsWOCC!$A$5:$G$50,G7+1,FALSE)</f>
        <v>8.3814672267569037</v>
      </c>
      <c r="AG7" s="44">
        <f t="shared" si="11"/>
        <v>999867.13281596487</v>
      </c>
      <c r="AH7" s="52">
        <f>HLOOKUP(I7,GasAvoidedCostsWOCC!$A$5:$Q$50,T7+1,FALSE)</f>
        <v>8.3814672267569037</v>
      </c>
      <c r="AI7" s="44">
        <f t="shared" si="12"/>
        <v>0</v>
      </c>
      <c r="AJ7" s="44">
        <f t="shared" si="13"/>
        <v>999867.13281596487</v>
      </c>
      <c r="AK7" s="44">
        <f>HLOOKUP(I7,GasAvoidedCostsWOCC!$A$5:$Q$50,G7+1,FALSE)*J7*L7</f>
        <v>0</v>
      </c>
      <c r="AL7" s="44">
        <f t="shared" si="14"/>
        <v>999867.13281596487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999867.13281596487</v>
      </c>
      <c r="AN7" s="48">
        <f t="shared" si="15"/>
        <v>1266213.6552636728</v>
      </c>
      <c r="AO7" s="47">
        <f t="shared" si="16"/>
        <v>2.0206294796583304</v>
      </c>
      <c r="AP7" s="47">
        <f t="shared" si="17"/>
        <v>1.6508920946267007</v>
      </c>
    </row>
    <row r="8" spans="1:42" ht="13.5" customHeight="1" x14ac:dyDescent="0.35">
      <c r="A8" s="53">
        <f>SUMIF('Program Costs'!D:D,C2,'Program Costs'!O:O)</f>
        <v>400279.14999999991</v>
      </c>
      <c r="B8" s="97" t="s">
        <v>33</v>
      </c>
      <c r="C8" s="98">
        <v>18230687</v>
      </c>
      <c r="D8" s="61" t="s">
        <v>320</v>
      </c>
      <c r="E8" s="38" t="s">
        <v>677</v>
      </c>
      <c r="F8" s="39" t="s">
        <v>678</v>
      </c>
      <c r="G8" s="39">
        <v>11</v>
      </c>
      <c r="H8" s="39"/>
      <c r="I8" s="40" t="s">
        <v>274</v>
      </c>
      <c r="J8" s="41">
        <v>17</v>
      </c>
      <c r="K8" s="41">
        <v>33</v>
      </c>
      <c r="L8" s="41"/>
      <c r="M8" s="42">
        <v>150</v>
      </c>
      <c r="N8" s="42">
        <v>189</v>
      </c>
      <c r="O8" s="43">
        <v>561</v>
      </c>
      <c r="P8" s="44">
        <v>2442.34</v>
      </c>
      <c r="Q8" s="44">
        <v>3213</v>
      </c>
      <c r="R8" s="45">
        <v>6.0759999999999996</v>
      </c>
      <c r="S8" s="46">
        <v>0</v>
      </c>
      <c r="T8" s="39">
        <f t="shared" si="0"/>
        <v>11</v>
      </c>
      <c r="U8" s="47">
        <f t="shared" si="1"/>
        <v>1.7563632948248333E-2</v>
      </c>
      <c r="V8" s="48">
        <f t="shared" si="2"/>
        <v>39</v>
      </c>
      <c r="W8" s="49">
        <f t="shared" si="3"/>
        <v>1.5966939043862121E-3</v>
      </c>
      <c r="X8" s="44">
        <f t="shared" si="4"/>
        <v>639.12327885789409</v>
      </c>
      <c r="Y8" s="44">
        <f t="shared" si="5"/>
        <v>770.65999999999985</v>
      </c>
      <c r="Z8" s="44">
        <f t="shared" si="6"/>
        <v>2485.2351094204942</v>
      </c>
      <c r="AA8" s="50">
        <f t="shared" si="7"/>
        <v>3852.1232788578941</v>
      </c>
      <c r="AB8" s="51">
        <f t="shared" si="8"/>
        <v>2326.9991661240579</v>
      </c>
      <c r="AC8" s="44">
        <f t="shared" si="9"/>
        <v>3606.8570026759307</v>
      </c>
      <c r="AD8" s="44">
        <f t="shared" si="10"/>
        <v>782.32828653496279</v>
      </c>
      <c r="AE8" s="44">
        <v>0</v>
      </c>
      <c r="AF8" s="52">
        <f>HLOOKUP(I8,GasAvoidedCostsWOCC!$A$5:$G$50,G8+1,FALSE)</f>
        <v>8.3814672267569037</v>
      </c>
      <c r="AG8" s="44">
        <f t="shared" si="11"/>
        <v>4702.0031142106236</v>
      </c>
      <c r="AH8" s="52">
        <f>HLOOKUP(I8,GasAvoidedCostsWOCC!$A$5:$Q$50,T8+1,FALSE)</f>
        <v>8.3814672267569037</v>
      </c>
      <c r="AI8" s="44">
        <f t="shared" si="12"/>
        <v>0</v>
      </c>
      <c r="AJ8" s="44">
        <f t="shared" si="13"/>
        <v>4702.0031142106236</v>
      </c>
      <c r="AK8" s="44">
        <f>HLOOKUP(I8,GasAvoidedCostsWOCC!$A$5:$Q$50,G8+1,FALSE)*J8*L8</f>
        <v>0</v>
      </c>
      <c r="AL8" s="44">
        <f t="shared" si="14"/>
        <v>4702.0031142106236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4702.0031142106227</v>
      </c>
      <c r="AN8" s="48">
        <f t="shared" si="15"/>
        <v>5954.5317121666485</v>
      </c>
      <c r="AO8" s="47">
        <f t="shared" si="16"/>
        <v>2.02062947965833</v>
      </c>
      <c r="AP8" s="47">
        <f t="shared" si="17"/>
        <v>1.6508920946267001</v>
      </c>
    </row>
    <row r="9" spans="1:42" ht="13.5" customHeight="1" x14ac:dyDescent="0.35">
      <c r="A9" s="36" t="s">
        <v>305</v>
      </c>
      <c r="B9" s="97" t="s">
        <v>33</v>
      </c>
      <c r="C9" s="98">
        <v>18230687</v>
      </c>
      <c r="D9" s="61" t="s">
        <v>320</v>
      </c>
      <c r="E9" s="38" t="s">
        <v>696</v>
      </c>
      <c r="F9" s="39" t="s">
        <v>697</v>
      </c>
      <c r="G9" s="39">
        <v>11</v>
      </c>
      <c r="H9" s="39"/>
      <c r="I9" s="40" t="s">
        <v>274</v>
      </c>
      <c r="J9" s="41">
        <v>3</v>
      </c>
      <c r="K9" s="41">
        <v>33</v>
      </c>
      <c r="L9" s="41"/>
      <c r="M9" s="42">
        <v>100</v>
      </c>
      <c r="N9" s="42">
        <v>189</v>
      </c>
      <c r="O9" s="43">
        <v>99</v>
      </c>
      <c r="P9" s="44">
        <v>300</v>
      </c>
      <c r="Q9" s="44">
        <v>567</v>
      </c>
      <c r="R9" s="45">
        <v>6.0759999999999996</v>
      </c>
      <c r="S9" s="46">
        <v>0</v>
      </c>
      <c r="T9" s="39">
        <f t="shared" si="0"/>
        <v>11</v>
      </c>
      <c r="U9" s="47">
        <f t="shared" si="1"/>
        <v>3.099464637926176E-3</v>
      </c>
      <c r="V9" s="48">
        <f t="shared" si="2"/>
        <v>89</v>
      </c>
      <c r="W9" s="49">
        <f t="shared" si="3"/>
        <v>2.8176951253874329E-4</v>
      </c>
      <c r="X9" s="44">
        <f t="shared" si="4"/>
        <v>112.78646097492248</v>
      </c>
      <c r="Y9" s="44">
        <f t="shared" si="5"/>
        <v>267</v>
      </c>
      <c r="Z9" s="44">
        <f t="shared" si="6"/>
        <v>438.57090166244006</v>
      </c>
      <c r="AA9" s="50">
        <f t="shared" si="7"/>
        <v>679.78646097492242</v>
      </c>
      <c r="AB9" s="51">
        <f t="shared" si="8"/>
        <v>410.64691166895136</v>
      </c>
      <c r="AC9" s="44">
        <f t="shared" si="9"/>
        <v>636.50417694281123</v>
      </c>
      <c r="AD9" s="44">
        <f t="shared" si="10"/>
        <v>138.05793291793461</v>
      </c>
      <c r="AE9" s="44">
        <f t="shared" ref="AE9:AE24" si="18">-PV(GasDiscountRate,T9,S9)*J9</f>
        <v>0</v>
      </c>
      <c r="AF9" s="52">
        <f>HLOOKUP(I9,GasAvoidedCostsWOCC!$A$5:$G$50,G9+1,FALSE)</f>
        <v>8.3814672267569037</v>
      </c>
      <c r="AG9" s="44">
        <f t="shared" si="11"/>
        <v>829.76525544893343</v>
      </c>
      <c r="AH9" s="52">
        <f>HLOOKUP(I9,GasAvoidedCostsWOCC!$A$5:$Q$50,T9+1,FALSE)</f>
        <v>8.3814672267569037</v>
      </c>
      <c r="AI9" s="44">
        <f t="shared" si="12"/>
        <v>0</v>
      </c>
      <c r="AJ9" s="44">
        <f t="shared" si="13"/>
        <v>829.76525544893343</v>
      </c>
      <c r="AK9" s="44">
        <f>HLOOKUP(I9,GasAvoidedCostsWOCC!$A$5:$Q$50,G9+1,FALSE)*J9*L9</f>
        <v>0</v>
      </c>
      <c r="AL9" s="44">
        <f t="shared" si="14"/>
        <v>829.76525544893343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829.76525544893343</v>
      </c>
      <c r="AN9" s="48">
        <f t="shared" si="15"/>
        <v>1050.7997139117615</v>
      </c>
      <c r="AO9" s="47">
        <f t="shared" si="16"/>
        <v>2.02062947965833</v>
      </c>
      <c r="AP9" s="47">
        <f t="shared" si="17"/>
        <v>1.6508920946267003</v>
      </c>
    </row>
    <row r="10" spans="1:42" ht="13.5" customHeight="1" x14ac:dyDescent="0.35">
      <c r="A10" s="54">
        <f>SUM(O5:O999)</f>
        <v>351351</v>
      </c>
      <c r="B10" s="97" t="s">
        <v>33</v>
      </c>
      <c r="C10" s="98">
        <v>18230687</v>
      </c>
      <c r="D10" s="61" t="s">
        <v>320</v>
      </c>
      <c r="E10" s="38" t="s">
        <v>698</v>
      </c>
      <c r="F10" s="39" t="s">
        <v>699</v>
      </c>
      <c r="G10" s="39">
        <v>11</v>
      </c>
      <c r="H10" s="39"/>
      <c r="I10" s="40" t="s">
        <v>274</v>
      </c>
      <c r="J10" s="41">
        <v>25</v>
      </c>
      <c r="K10" s="41">
        <v>33</v>
      </c>
      <c r="L10" s="41"/>
      <c r="M10" s="42">
        <v>150</v>
      </c>
      <c r="N10" s="42">
        <v>189</v>
      </c>
      <c r="O10" s="43">
        <v>825</v>
      </c>
      <c r="P10" s="44">
        <v>3706.19</v>
      </c>
      <c r="Q10" s="44">
        <v>4725</v>
      </c>
      <c r="R10" s="45">
        <v>6.0759999999999996</v>
      </c>
      <c r="S10" s="46">
        <v>0</v>
      </c>
      <c r="T10" s="39">
        <f t="shared" si="0"/>
        <v>11</v>
      </c>
      <c r="U10" s="47">
        <f t="shared" si="1"/>
        <v>2.5828871982718136E-2</v>
      </c>
      <c r="V10" s="48">
        <f t="shared" si="2"/>
        <v>39</v>
      </c>
      <c r="W10" s="49">
        <f t="shared" si="3"/>
        <v>2.3480792711561942E-3</v>
      </c>
      <c r="X10" s="44">
        <f t="shared" si="4"/>
        <v>939.8871747910207</v>
      </c>
      <c r="Y10" s="44">
        <f t="shared" si="5"/>
        <v>1018.81</v>
      </c>
      <c r="Z10" s="44">
        <f t="shared" si="6"/>
        <v>3654.7575138536672</v>
      </c>
      <c r="AA10" s="50">
        <f t="shared" si="7"/>
        <v>5664.8871747910207</v>
      </c>
      <c r="AB10" s="51">
        <f t="shared" si="8"/>
        <v>3422.0575972412612</v>
      </c>
      <c r="AC10" s="44">
        <f t="shared" si="9"/>
        <v>5304.2014745234274</v>
      </c>
      <c r="AD10" s="44">
        <f t="shared" si="10"/>
        <v>1150.4827743161218</v>
      </c>
      <c r="AE10" s="44">
        <f t="shared" si="18"/>
        <v>0</v>
      </c>
      <c r="AF10" s="52">
        <f>HLOOKUP(I10,GasAvoidedCostsWOCC!$A$5:$G$50,G10+1,FALSE)</f>
        <v>8.3814672267569037</v>
      </c>
      <c r="AG10" s="44">
        <f t="shared" si="11"/>
        <v>6914.7104620744458</v>
      </c>
      <c r="AH10" s="52">
        <f>HLOOKUP(I10,GasAvoidedCostsWOCC!$A$5:$Q$50,T10+1,FALSE)</f>
        <v>8.3814672267569037</v>
      </c>
      <c r="AI10" s="44">
        <f t="shared" si="12"/>
        <v>0</v>
      </c>
      <c r="AJ10" s="44">
        <f t="shared" si="13"/>
        <v>6914.7104620744458</v>
      </c>
      <c r="AK10" s="44">
        <f>HLOOKUP(I10,GasAvoidedCostsWOCC!$A$5:$Q$50,G10+1,FALSE)*J10*L10</f>
        <v>0</v>
      </c>
      <c r="AL10" s="44">
        <f t="shared" si="14"/>
        <v>6914.7104620744458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6914.7104620744458</v>
      </c>
      <c r="AN10" s="48">
        <f t="shared" si="15"/>
        <v>8756.6642825980125</v>
      </c>
      <c r="AO10" s="47">
        <f t="shared" si="16"/>
        <v>2.0206294796583304</v>
      </c>
      <c r="AP10" s="47">
        <f t="shared" si="17"/>
        <v>1.6508920946267001</v>
      </c>
    </row>
    <row r="11" spans="1:42" ht="13.5" customHeight="1" x14ac:dyDescent="0.35">
      <c r="A11" s="36" t="s">
        <v>243</v>
      </c>
      <c r="B11" s="97" t="s">
        <v>33</v>
      </c>
      <c r="C11" s="98">
        <v>18230687</v>
      </c>
      <c r="D11" s="61" t="s">
        <v>320</v>
      </c>
      <c r="E11" s="38" t="s">
        <v>700</v>
      </c>
      <c r="F11" s="39" t="s">
        <v>701</v>
      </c>
      <c r="G11" s="39">
        <v>11</v>
      </c>
      <c r="H11" s="39"/>
      <c r="I11" s="40" t="s">
        <v>274</v>
      </c>
      <c r="J11" s="41">
        <v>446</v>
      </c>
      <c r="K11" s="41">
        <v>33</v>
      </c>
      <c r="L11" s="41"/>
      <c r="M11" s="42">
        <v>100</v>
      </c>
      <c r="N11" s="42">
        <v>189</v>
      </c>
      <c r="O11" s="43">
        <v>14718</v>
      </c>
      <c r="P11" s="44">
        <v>44588.15</v>
      </c>
      <c r="Q11" s="44">
        <v>84294</v>
      </c>
      <c r="R11" s="45">
        <v>6.0759999999999996</v>
      </c>
      <c r="S11" s="46">
        <v>0</v>
      </c>
      <c r="T11" s="39">
        <f t="shared" si="0"/>
        <v>11</v>
      </c>
      <c r="U11" s="47">
        <f t="shared" si="1"/>
        <v>0.46078707617169157</v>
      </c>
      <c r="V11" s="48">
        <f t="shared" si="2"/>
        <v>89</v>
      </c>
      <c r="W11" s="49">
        <f t="shared" si="3"/>
        <v>4.1889734197426504E-2</v>
      </c>
      <c r="X11" s="44">
        <f t="shared" si="4"/>
        <v>16767.587198271809</v>
      </c>
      <c r="Y11" s="44">
        <f t="shared" si="5"/>
        <v>39705.85</v>
      </c>
      <c r="Z11" s="44">
        <f t="shared" si="6"/>
        <v>65200.874047149424</v>
      </c>
      <c r="AA11" s="50">
        <f t="shared" si="7"/>
        <v>101061.58719827181</v>
      </c>
      <c r="AB11" s="51">
        <f t="shared" si="8"/>
        <v>61049.507534784105</v>
      </c>
      <c r="AC11" s="44">
        <f t="shared" si="9"/>
        <v>94626.954305497944</v>
      </c>
      <c r="AD11" s="44">
        <f t="shared" si="10"/>
        <v>20524.612693799612</v>
      </c>
      <c r="AE11" s="44">
        <f t="shared" si="18"/>
        <v>0</v>
      </c>
      <c r="AF11" s="52">
        <f>HLOOKUP(I11,GasAvoidedCostsWOCC!$A$5:$G$50,G11+1,FALSE)</f>
        <v>8.3814672267569037</v>
      </c>
      <c r="AG11" s="44">
        <f t="shared" si="11"/>
        <v>123358.43464340811</v>
      </c>
      <c r="AH11" s="52">
        <f>HLOOKUP(I11,GasAvoidedCostsWOCC!$A$5:$Q$50,T11+1,FALSE)</f>
        <v>8.3814672267569037</v>
      </c>
      <c r="AI11" s="44">
        <f t="shared" si="12"/>
        <v>0</v>
      </c>
      <c r="AJ11" s="44">
        <f t="shared" si="13"/>
        <v>123358.43464340811</v>
      </c>
      <c r="AK11" s="44">
        <f>HLOOKUP(I11,GasAvoidedCostsWOCC!$A$5:$Q$50,G11+1,FALSE)*J11*L11</f>
        <v>0</v>
      </c>
      <c r="AL11" s="44">
        <f t="shared" si="14"/>
        <v>123358.43464340811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123358.43464340811</v>
      </c>
      <c r="AN11" s="48">
        <f t="shared" si="15"/>
        <v>156218.89080154852</v>
      </c>
      <c r="AO11" s="47">
        <f t="shared" si="16"/>
        <v>2.02062947965833</v>
      </c>
      <c r="AP11" s="47">
        <f t="shared" si="17"/>
        <v>1.6508920946266998</v>
      </c>
    </row>
    <row r="12" spans="1:42" ht="13.5" customHeight="1" x14ac:dyDescent="0.35">
      <c r="A12" s="55">
        <f>SUM(P5:P1000)</f>
        <v>1125929.97</v>
      </c>
      <c r="B12" s="97" t="s">
        <v>33</v>
      </c>
      <c r="C12" s="98">
        <v>18230687</v>
      </c>
      <c r="D12" s="61" t="s">
        <v>320</v>
      </c>
      <c r="E12" s="38" t="s">
        <v>702</v>
      </c>
      <c r="F12" s="39" t="s">
        <v>703</v>
      </c>
      <c r="G12" s="39">
        <v>11</v>
      </c>
      <c r="H12" s="39"/>
      <c r="I12" s="40" t="s">
        <v>274</v>
      </c>
      <c r="J12" s="41">
        <v>2029</v>
      </c>
      <c r="K12" s="41">
        <v>33</v>
      </c>
      <c r="L12" s="41"/>
      <c r="M12" s="42">
        <v>150</v>
      </c>
      <c r="N12" s="42">
        <v>189</v>
      </c>
      <c r="O12" s="43">
        <v>66957</v>
      </c>
      <c r="P12" s="44">
        <v>304111.87</v>
      </c>
      <c r="Q12" s="44">
        <v>383481</v>
      </c>
      <c r="R12" s="45">
        <v>6.0759999999999996</v>
      </c>
      <c r="S12" s="46">
        <v>0</v>
      </c>
      <c r="T12" s="39">
        <f t="shared" si="0"/>
        <v>11</v>
      </c>
      <c r="U12" s="47">
        <f t="shared" si="1"/>
        <v>2.0962712501174039</v>
      </c>
      <c r="V12" s="48">
        <f t="shared" si="2"/>
        <v>39</v>
      </c>
      <c r="W12" s="49">
        <f t="shared" si="3"/>
        <v>0.19057011364703672</v>
      </c>
      <c r="X12" s="44">
        <f t="shared" si="4"/>
        <v>76281.243106039241</v>
      </c>
      <c r="Y12" s="44">
        <f t="shared" si="5"/>
        <v>79369.13</v>
      </c>
      <c r="Z12" s="44">
        <f t="shared" si="6"/>
        <v>296620.11982436362</v>
      </c>
      <c r="AA12" s="50">
        <f t="shared" si="7"/>
        <v>459762.24310603924</v>
      </c>
      <c r="AB12" s="51">
        <f t="shared" si="8"/>
        <v>277734.19459210074</v>
      </c>
      <c r="AC12" s="44">
        <f t="shared" si="9"/>
        <v>430488.99167232134</v>
      </c>
      <c r="AD12" s="44">
        <f t="shared" si="10"/>
        <v>93373.181963496434</v>
      </c>
      <c r="AE12" s="44">
        <f t="shared" si="18"/>
        <v>0</v>
      </c>
      <c r="AF12" s="52">
        <f>HLOOKUP(I12,GasAvoidedCostsWOCC!$A$5:$G$50,G12+1,FALSE)</f>
        <v>8.3814672267569037</v>
      </c>
      <c r="AG12" s="44">
        <f t="shared" si="11"/>
        <v>561197.90110196196</v>
      </c>
      <c r="AH12" s="52">
        <f>HLOOKUP(I12,GasAvoidedCostsWOCC!$A$5:$Q$50,T12+1,FALSE)</f>
        <v>8.3814672267569037</v>
      </c>
      <c r="AI12" s="44">
        <f t="shared" si="12"/>
        <v>0</v>
      </c>
      <c r="AJ12" s="44">
        <f t="shared" si="13"/>
        <v>561197.90110196196</v>
      </c>
      <c r="AK12" s="44">
        <f>HLOOKUP(I12,GasAvoidedCostsWOCC!$A$5:$Q$50,G12+1,FALSE)*J12*L12</f>
        <v>0</v>
      </c>
      <c r="AL12" s="44">
        <f t="shared" si="14"/>
        <v>561197.90110196196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561197.90110196196</v>
      </c>
      <c r="AN12" s="48">
        <f t="shared" si="15"/>
        <v>710690.87317565456</v>
      </c>
      <c r="AO12" s="47">
        <f t="shared" si="16"/>
        <v>2.0206294796583304</v>
      </c>
      <c r="AP12" s="47">
        <f t="shared" si="17"/>
        <v>1.6508920946266998</v>
      </c>
    </row>
    <row r="13" spans="1:42" ht="13.5" customHeight="1" x14ac:dyDescent="0.35">
      <c r="A13" s="56" t="s">
        <v>246</v>
      </c>
      <c r="B13" s="97" t="s">
        <v>33</v>
      </c>
      <c r="C13" s="98">
        <v>18230687</v>
      </c>
      <c r="D13" s="61" t="s">
        <v>320</v>
      </c>
      <c r="E13" s="38" t="s">
        <v>704</v>
      </c>
      <c r="F13" s="39" t="s">
        <v>705</v>
      </c>
      <c r="G13" s="39">
        <v>11</v>
      </c>
      <c r="H13" s="39"/>
      <c r="I13" s="40" t="s">
        <v>274</v>
      </c>
      <c r="J13" s="41">
        <v>1571</v>
      </c>
      <c r="K13" s="41">
        <v>33</v>
      </c>
      <c r="L13" s="41"/>
      <c r="M13" s="42">
        <v>100</v>
      </c>
      <c r="N13" s="42">
        <v>189</v>
      </c>
      <c r="O13" s="43">
        <v>51843</v>
      </c>
      <c r="P13" s="44">
        <v>157091.26999999999</v>
      </c>
      <c r="Q13" s="44">
        <v>296919</v>
      </c>
      <c r="R13" s="45">
        <v>6.0759999999999996</v>
      </c>
      <c r="S13" s="46">
        <v>0</v>
      </c>
      <c r="T13" s="39">
        <f t="shared" si="0"/>
        <v>11</v>
      </c>
      <c r="U13" s="47">
        <f t="shared" si="1"/>
        <v>1.6230863153940076</v>
      </c>
      <c r="V13" s="48">
        <f t="shared" si="2"/>
        <v>89</v>
      </c>
      <c r="W13" s="49">
        <f t="shared" si="3"/>
        <v>0.14755330139945524</v>
      </c>
      <c r="X13" s="44">
        <f t="shared" si="4"/>
        <v>59062.51006386774</v>
      </c>
      <c r="Y13" s="44">
        <f t="shared" si="5"/>
        <v>139827.73000000001</v>
      </c>
      <c r="Z13" s="44">
        <f t="shared" si="6"/>
        <v>229664.96217056445</v>
      </c>
      <c r="AA13" s="50">
        <f t="shared" si="7"/>
        <v>355981.51006386772</v>
      </c>
      <c r="AB13" s="51">
        <f t="shared" si="8"/>
        <v>215042.09941064086</v>
      </c>
      <c r="AC13" s="44">
        <f t="shared" si="9"/>
        <v>333316.02065905218</v>
      </c>
      <c r="AD13" s="44">
        <f t="shared" si="10"/>
        <v>72296.33753802508</v>
      </c>
      <c r="AE13" s="44">
        <f t="shared" si="18"/>
        <v>0</v>
      </c>
      <c r="AF13" s="52">
        <f>HLOOKUP(I13,GasAvoidedCostsWOCC!$A$5:$G$50,G13+1,FALSE)</f>
        <v>8.3814672267569037</v>
      </c>
      <c r="AG13" s="44">
        <f t="shared" si="11"/>
        <v>434520.40543675818</v>
      </c>
      <c r="AH13" s="52">
        <f>HLOOKUP(I13,GasAvoidedCostsWOCC!$A$5:$Q$50,T13+1,FALSE)</f>
        <v>8.3814672267569037</v>
      </c>
      <c r="AI13" s="44">
        <f t="shared" si="12"/>
        <v>0</v>
      </c>
      <c r="AJ13" s="44">
        <f t="shared" si="13"/>
        <v>434520.40543675818</v>
      </c>
      <c r="AK13" s="44">
        <f>HLOOKUP(I13,GasAvoidedCostsWOCC!$A$5:$Q$50,G13+1,FALSE)*J13*L13</f>
        <v>0</v>
      </c>
      <c r="AL13" s="44">
        <f t="shared" si="14"/>
        <v>434520.40543675818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434520.40543675818</v>
      </c>
      <c r="AN13" s="48">
        <f t="shared" si="15"/>
        <v>550268.78351845907</v>
      </c>
      <c r="AO13" s="47">
        <f t="shared" si="16"/>
        <v>2.0206294796583304</v>
      </c>
      <c r="AP13" s="47">
        <f t="shared" si="17"/>
        <v>1.6508920946267001</v>
      </c>
    </row>
    <row r="14" spans="1:42" ht="13.5" customHeight="1" x14ac:dyDescent="0.35">
      <c r="A14" s="55">
        <f>SUM(Y5:Y1000)</f>
        <v>886353.03</v>
      </c>
      <c r="B14" s="37"/>
      <c r="E14" s="38" t="s">
        <v>706</v>
      </c>
      <c r="F14" s="39" t="s">
        <v>707</v>
      </c>
      <c r="G14" s="39">
        <v>11</v>
      </c>
      <c r="H14" s="39"/>
      <c r="I14" s="40" t="s">
        <v>274</v>
      </c>
      <c r="J14" s="41">
        <v>1686</v>
      </c>
      <c r="K14" s="41">
        <v>33</v>
      </c>
      <c r="L14" s="41"/>
      <c r="M14" s="42">
        <v>150</v>
      </c>
      <c r="N14" s="42">
        <v>189</v>
      </c>
      <c r="O14" s="43">
        <v>55638</v>
      </c>
      <c r="P14" s="44">
        <v>252692.19</v>
      </c>
      <c r="Q14" s="44">
        <v>318654</v>
      </c>
      <c r="R14" s="45">
        <v>6.0759999999999996</v>
      </c>
      <c r="S14" s="46">
        <v>0</v>
      </c>
      <c r="T14" s="39">
        <f t="shared" si="0"/>
        <v>11</v>
      </c>
      <c r="U14" s="47">
        <f t="shared" si="1"/>
        <v>1.7418991265145112</v>
      </c>
      <c r="V14" s="48">
        <f t="shared" si="2"/>
        <v>39</v>
      </c>
      <c r="W14" s="49">
        <f t="shared" si="3"/>
        <v>0.15835446604677375</v>
      </c>
      <c r="X14" s="44">
        <f t="shared" si="4"/>
        <v>63385.991067906441</v>
      </c>
      <c r="Y14" s="44">
        <f t="shared" si="5"/>
        <v>65961.81</v>
      </c>
      <c r="Z14" s="44">
        <f t="shared" si="6"/>
        <v>246476.84673429135</v>
      </c>
      <c r="AA14" s="50">
        <f t="shared" si="7"/>
        <v>382039.99106790643</v>
      </c>
      <c r="AB14" s="51">
        <f t="shared" si="8"/>
        <v>230783.5643579507</v>
      </c>
      <c r="AC14" s="44">
        <f t="shared" si="9"/>
        <v>357715.34744185995</v>
      </c>
      <c r="AD14" s="44">
        <f t="shared" si="10"/>
        <v>77588.558299879252</v>
      </c>
      <c r="AE14" s="44">
        <f t="shared" si="18"/>
        <v>0</v>
      </c>
      <c r="AF14" s="52">
        <f>HLOOKUP(I14,GasAvoidedCostsWOCC!$A$5:$G$50,G14+1,FALSE)</f>
        <v>8.3814672267569037</v>
      </c>
      <c r="AG14" s="44">
        <f t="shared" si="11"/>
        <v>466328.07356230059</v>
      </c>
      <c r="AH14" s="52">
        <f>HLOOKUP(I14,GasAvoidedCostsWOCC!$A$5:$Q$50,T14+1,FALSE)</f>
        <v>8.3814672267569037</v>
      </c>
      <c r="AI14" s="44">
        <f t="shared" si="12"/>
        <v>0</v>
      </c>
      <c r="AJ14" s="44">
        <f t="shared" si="13"/>
        <v>466328.07356230059</v>
      </c>
      <c r="AK14" s="44">
        <f>HLOOKUP(I14,GasAvoidedCostsWOCC!$A$5:$Q$50,G14+1,FALSE)*J14*L14</f>
        <v>0</v>
      </c>
      <c r="AL14" s="44">
        <f t="shared" si="14"/>
        <v>466328.07356230059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466328.07356230065</v>
      </c>
      <c r="AN14" s="48">
        <f t="shared" si="15"/>
        <v>590549.43921841006</v>
      </c>
      <c r="AO14" s="47">
        <f t="shared" si="16"/>
        <v>2.02062947965833</v>
      </c>
      <c r="AP14" s="47">
        <f t="shared" si="17"/>
        <v>1.6508920946267003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1556488.13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2412562.15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2.0206294796583304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1.6253252824850626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94"/>
  <sheetViews>
    <sheetView zoomScale="85" zoomScaleNormal="85" workbookViewId="0">
      <selection activeCell="D12" sqref="D12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495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18230611</v>
      </c>
      <c r="D2" s="20" t="s">
        <v>72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71</v>
      </c>
      <c r="C5" s="100">
        <v>18230611</v>
      </c>
      <c r="D5" s="100" t="s">
        <v>72</v>
      </c>
      <c r="E5" s="38" t="s">
        <v>326</v>
      </c>
      <c r="F5" s="39" t="s">
        <v>327</v>
      </c>
      <c r="G5" s="39"/>
      <c r="H5" s="39"/>
      <c r="I5" s="40"/>
      <c r="J5" s="41" t="s">
        <v>328</v>
      </c>
      <c r="K5" s="41"/>
      <c r="L5" s="41"/>
      <c r="M5" s="42"/>
      <c r="N5" s="42"/>
      <c r="O5" s="43"/>
      <c r="P5" s="44">
        <v>829897</v>
      </c>
      <c r="Q5" s="44"/>
      <c r="R5" s="45"/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-829897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 x14ac:dyDescent="0.35">
      <c r="A6" s="53">
        <f>SUMIF('Program Costs'!D:D,C2,'Program Costs'!L:L)</f>
        <v>4408551.68</v>
      </c>
      <c r="B6" s="97" t="s">
        <v>71</v>
      </c>
      <c r="C6" s="100">
        <v>18230611</v>
      </c>
      <c r="D6" s="100" t="s">
        <v>72</v>
      </c>
      <c r="E6" s="38" t="s">
        <v>1729</v>
      </c>
      <c r="F6" s="39" t="s">
        <v>1730</v>
      </c>
      <c r="G6" s="39"/>
      <c r="H6" s="39"/>
      <c r="I6" s="40"/>
      <c r="J6" s="41">
        <v>1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301.95</v>
      </c>
      <c r="Q6" s="44">
        <v>301.95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301.95</v>
      </c>
      <c r="AB6" s="51">
        <f t="shared" si="8"/>
        <v>0</v>
      </c>
      <c r="AC6" s="44">
        <f t="shared" si="8"/>
        <v>282.72471910112358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 x14ac:dyDescent="0.35">
      <c r="A7" s="36" t="s">
        <v>240</v>
      </c>
      <c r="B7" s="97" t="s">
        <v>71</v>
      </c>
      <c r="C7" s="100">
        <v>18230611</v>
      </c>
      <c r="D7" s="100" t="s">
        <v>72</v>
      </c>
      <c r="E7" s="38" t="s">
        <v>1731</v>
      </c>
      <c r="F7" s="39" t="s">
        <v>1732</v>
      </c>
      <c r="G7" s="39"/>
      <c r="H7" s="39"/>
      <c r="I7" s="40"/>
      <c r="J7" s="41">
        <v>6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278073.16000000015</v>
      </c>
      <c r="B8" s="97" t="s">
        <v>71</v>
      </c>
      <c r="C8" s="100">
        <v>18230611</v>
      </c>
      <c r="D8" s="100" t="s">
        <v>72</v>
      </c>
      <c r="E8" s="38" t="s">
        <v>1733</v>
      </c>
      <c r="F8" s="39" t="s">
        <v>1734</v>
      </c>
      <c r="G8" s="39"/>
      <c r="H8" s="39"/>
      <c r="I8" s="40"/>
      <c r="J8" s="41">
        <v>2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604.16999999999996</v>
      </c>
      <c r="Q8" s="44">
        <v>604.16999999999996</v>
      </c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512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>Q8+X8</f>
        <v>604.16999999999996</v>
      </c>
      <c r="AB8" s="51">
        <f t="shared" si="8"/>
        <v>0</v>
      </c>
      <c r="AC8" s="44">
        <f t="shared" si="8"/>
        <v>565.70224719101111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242</v>
      </c>
      <c r="B9" s="97" t="s">
        <v>71</v>
      </c>
      <c r="C9" s="100">
        <v>18230611</v>
      </c>
      <c r="D9" s="100" t="s">
        <v>72</v>
      </c>
      <c r="E9" s="38" t="s">
        <v>1735</v>
      </c>
      <c r="F9" s="39" t="s">
        <v>1736</v>
      </c>
      <c r="G9" s="39">
        <v>45</v>
      </c>
      <c r="H9" s="39"/>
      <c r="I9" s="40" t="s">
        <v>272</v>
      </c>
      <c r="J9" s="41">
        <v>150</v>
      </c>
      <c r="K9" s="41">
        <v>764</v>
      </c>
      <c r="L9" s="41"/>
      <c r="M9" s="42">
        <v>0</v>
      </c>
      <c r="N9" s="42">
        <v>0</v>
      </c>
      <c r="O9" s="43">
        <v>114600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45</v>
      </c>
      <c r="U9" s="47">
        <f t="shared" si="1"/>
        <v>3.7582409380207911</v>
      </c>
      <c r="V9" s="48">
        <f t="shared" si="2"/>
        <v>0</v>
      </c>
      <c r="W9" s="49">
        <f t="shared" si="3"/>
        <v>8.3516465289350916E-2</v>
      </c>
      <c r="X9" s="44">
        <f t="shared" si="4"/>
        <v>23223.687415040135</v>
      </c>
      <c r="Y9" s="44">
        <f t="shared" si="5"/>
        <v>0</v>
      </c>
      <c r="Z9" s="44">
        <f t="shared" si="6"/>
        <v>391410.34077406977</v>
      </c>
      <c r="AA9" s="50">
        <f t="shared" si="7"/>
        <v>23223.687415040135</v>
      </c>
      <c r="AB9" s="51">
        <f t="shared" si="8"/>
        <v>366489.08312178816</v>
      </c>
      <c r="AC9" s="44">
        <f t="shared" si="8"/>
        <v>21745.025669513234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2.9502602387155141</v>
      </c>
      <c r="AG9" s="44">
        <f t="shared" si="10"/>
        <v>338099.82335679792</v>
      </c>
      <c r="AH9" s="52">
        <f>HLOOKUP(I9,ElecAvoidedCostsWOCC!$A$5:$Q$50,T9+1,FALSE)</f>
        <v>2.9502602387155141</v>
      </c>
      <c r="AI9" s="44">
        <f t="shared" si="11"/>
        <v>0</v>
      </c>
      <c r="AJ9" s="44">
        <f t="shared" si="12"/>
        <v>338099.82335679792</v>
      </c>
      <c r="AK9" s="44">
        <f>HLOOKUP(I9,ElecAvoidedCostsWOCC!$A$5:$Q$50,G9+1,FALSE)*J9*L9</f>
        <v>0</v>
      </c>
      <c r="AL9" s="44">
        <f t="shared" si="13"/>
        <v>338099.82335679792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338099.82335679792</v>
      </c>
      <c r="AN9" s="48">
        <f t="shared" si="14"/>
        <v>371909.80569247773</v>
      </c>
      <c r="AO9" s="47">
        <f t="shared" si="15"/>
        <v>0.92253722942258498</v>
      </c>
      <c r="AP9" s="47">
        <f t="shared" si="16"/>
        <v>17.103212998911257</v>
      </c>
    </row>
    <row r="10" spans="1:42" ht="13.5" customHeight="1" x14ac:dyDescent="0.35">
      <c r="A10" s="54">
        <f>SUM(O6:O960)</f>
        <v>1372184.51</v>
      </c>
      <c r="B10" s="97" t="s">
        <v>71</v>
      </c>
      <c r="C10" s="100">
        <v>18230611</v>
      </c>
      <c r="D10" s="100" t="s">
        <v>72</v>
      </c>
      <c r="E10" s="38" t="s">
        <v>1737</v>
      </c>
      <c r="F10" s="39" t="s">
        <v>1738</v>
      </c>
      <c r="G10" s="39"/>
      <c r="H10" s="39"/>
      <c r="I10" s="40"/>
      <c r="J10" s="41">
        <v>18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2012.47</v>
      </c>
      <c r="Q10" s="44">
        <v>2012.47</v>
      </c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2012.47</v>
      </c>
      <c r="AB10" s="51">
        <f t="shared" si="8"/>
        <v>0</v>
      </c>
      <c r="AC10" s="44">
        <f t="shared" si="8"/>
        <v>1884.3352059925094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 x14ac:dyDescent="0.35">
      <c r="A11" s="36" t="s">
        <v>243</v>
      </c>
      <c r="B11" s="97" t="s">
        <v>71</v>
      </c>
      <c r="C11" s="100">
        <v>18230611</v>
      </c>
      <c r="D11" s="100" t="s">
        <v>72</v>
      </c>
      <c r="E11" s="38" t="s">
        <v>1739</v>
      </c>
      <c r="F11" s="39" t="s">
        <v>1740</v>
      </c>
      <c r="G11" s="39"/>
      <c r="H11" s="39"/>
      <c r="I11" s="40"/>
      <c r="J11" s="41">
        <v>4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SUM(P6:P961)</f>
        <v>4408551.6800000025</v>
      </c>
      <c r="B12" s="97" t="s">
        <v>71</v>
      </c>
      <c r="C12" s="100">
        <v>18230611</v>
      </c>
      <c r="D12" s="100" t="s">
        <v>72</v>
      </c>
      <c r="E12" s="38" t="s">
        <v>1741</v>
      </c>
      <c r="F12" s="39" t="s">
        <v>1742</v>
      </c>
      <c r="G12" s="39"/>
      <c r="H12" s="39"/>
      <c r="I12" s="40"/>
      <c r="J12" s="41">
        <v>16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1642.48</v>
      </c>
      <c r="Q12" s="44">
        <v>1642.48</v>
      </c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1642.48</v>
      </c>
      <c r="AB12" s="51">
        <f t="shared" si="8"/>
        <v>0</v>
      </c>
      <c r="AC12" s="44">
        <f t="shared" si="8"/>
        <v>1537.9026217228463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 x14ac:dyDescent="0.35">
      <c r="A13" s="56" t="s">
        <v>246</v>
      </c>
      <c r="B13" s="97" t="s">
        <v>71</v>
      </c>
      <c r="C13" s="100">
        <v>18230611</v>
      </c>
      <c r="D13" s="100" t="s">
        <v>72</v>
      </c>
      <c r="E13" s="38" t="s">
        <v>1743</v>
      </c>
      <c r="F13" s="39" t="s">
        <v>1744</v>
      </c>
      <c r="G13" s="39"/>
      <c r="H13" s="39"/>
      <c r="I13" s="40"/>
      <c r="J13" s="41">
        <v>7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526.82000000000005</v>
      </c>
      <c r="Q13" s="44">
        <v>526.82000000000005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526.82000000000005</v>
      </c>
      <c r="AB13" s="51">
        <f t="shared" si="8"/>
        <v>0</v>
      </c>
      <c r="AC13" s="44">
        <f t="shared" si="8"/>
        <v>493.27715355805248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 x14ac:dyDescent="0.35">
      <c r="A14" s="55">
        <f>SUM(Y6:Y961)</f>
        <v>446735.71000000014</v>
      </c>
      <c r="B14" s="97" t="s">
        <v>71</v>
      </c>
      <c r="C14" s="100">
        <v>18230611</v>
      </c>
      <c r="D14" s="100" t="s">
        <v>72</v>
      </c>
      <c r="E14" s="38" t="s">
        <v>1745</v>
      </c>
      <c r="F14" s="39" t="s">
        <v>1746</v>
      </c>
      <c r="G14" s="39"/>
      <c r="H14" s="39"/>
      <c r="I14" s="40"/>
      <c r="J14" s="41">
        <v>3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71</v>
      </c>
      <c r="C15" s="100">
        <v>18230611</v>
      </c>
      <c r="D15" s="100" t="s">
        <v>72</v>
      </c>
      <c r="E15" s="38" t="s">
        <v>1747</v>
      </c>
      <c r="F15" s="39" t="s">
        <v>1748</v>
      </c>
      <c r="G15" s="39"/>
      <c r="H15" s="39"/>
      <c r="I15" s="40"/>
      <c r="J15" s="41">
        <v>3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197.69</v>
      </c>
      <c r="Q15" s="44">
        <v>197.69</v>
      </c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197.69</v>
      </c>
      <c r="AB15" s="51">
        <f t="shared" si="8"/>
        <v>0</v>
      </c>
      <c r="AC15" s="44">
        <f t="shared" si="8"/>
        <v>185.10299625468164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 x14ac:dyDescent="0.35">
      <c r="A16" s="54">
        <f>SUM(U6:U960)</f>
        <v>23.489205398478084</v>
      </c>
      <c r="B16" s="97" t="s">
        <v>71</v>
      </c>
      <c r="C16" s="100">
        <v>18230611</v>
      </c>
      <c r="D16" s="100" t="s">
        <v>72</v>
      </c>
      <c r="E16" s="38" t="s">
        <v>1749</v>
      </c>
      <c r="F16" s="39" t="s">
        <v>1750</v>
      </c>
      <c r="G16" s="39">
        <v>0</v>
      </c>
      <c r="H16" s="39"/>
      <c r="I16" s="40"/>
      <c r="J16" s="41">
        <v>1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0</v>
      </c>
      <c r="Q16" s="44">
        <v>2085.7199999999998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2085.7199999999998</v>
      </c>
      <c r="Z16" s="44">
        <f t="shared" si="6"/>
        <v>0</v>
      </c>
      <c r="AA16" s="50">
        <f t="shared" si="7"/>
        <v>2085.7199999999998</v>
      </c>
      <c r="AB16" s="51">
        <f t="shared" si="8"/>
        <v>0</v>
      </c>
      <c r="AC16" s="44">
        <f t="shared" si="8"/>
        <v>1952.9213483146063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97" t="s">
        <v>71</v>
      </c>
      <c r="C17" s="100">
        <v>18230611</v>
      </c>
      <c r="D17" s="100" t="s">
        <v>72</v>
      </c>
      <c r="E17" s="38" t="s">
        <v>1751</v>
      </c>
      <c r="F17" s="39" t="s">
        <v>1752</v>
      </c>
      <c r="G17" s="39">
        <v>18</v>
      </c>
      <c r="H17" s="39"/>
      <c r="I17" s="40" t="s">
        <v>274</v>
      </c>
      <c r="J17" s="41">
        <v>16</v>
      </c>
      <c r="K17" s="41">
        <v>468</v>
      </c>
      <c r="L17" s="41"/>
      <c r="M17" s="42">
        <v>549</v>
      </c>
      <c r="N17" s="42">
        <v>549</v>
      </c>
      <c r="O17" s="43">
        <v>7488</v>
      </c>
      <c r="P17" s="44">
        <v>13468.13</v>
      </c>
      <c r="Q17" s="44">
        <v>13468.13</v>
      </c>
      <c r="R17" s="45">
        <v>123.61</v>
      </c>
      <c r="S17" s="46">
        <v>0</v>
      </c>
      <c r="T17" s="39">
        <f t="shared" si="0"/>
        <v>18</v>
      </c>
      <c r="U17" s="47">
        <f t="shared" si="1"/>
        <v>9.8225857395810412E-2</v>
      </c>
      <c r="V17" s="48">
        <f t="shared" si="2"/>
        <v>0</v>
      </c>
      <c r="W17" s="49">
        <f t="shared" si="3"/>
        <v>5.4569920775450233E-3</v>
      </c>
      <c r="X17" s="44">
        <f t="shared" si="4"/>
        <v>1517.4430310979105</v>
      </c>
      <c r="Y17" s="44">
        <f t="shared" si="5"/>
        <v>0</v>
      </c>
      <c r="Z17" s="44">
        <f t="shared" si="6"/>
        <v>25574.874622305713</v>
      </c>
      <c r="AA17" s="50">
        <f t="shared" si="7"/>
        <v>14985.573031097909</v>
      </c>
      <c r="AB17" s="51">
        <f t="shared" si="8"/>
        <v>23946.511818638308</v>
      </c>
      <c r="AC17" s="44">
        <f t="shared" si="8"/>
        <v>14031.435422376318</v>
      </c>
      <c r="AD17" s="44">
        <f t="shared" si="9"/>
        <v>20184.867339871224</v>
      </c>
      <c r="AE17" s="44">
        <f t="shared" si="17"/>
        <v>0</v>
      </c>
      <c r="AF17" s="52">
        <f>HLOOKUP(I17,ElecAvoidedCostsWOCC!$A$5:$Q$50,G17+1,FALSE)</f>
        <v>1.5052077278506986</v>
      </c>
      <c r="AG17" s="44">
        <f t="shared" si="10"/>
        <v>11270.995466146031</v>
      </c>
      <c r="AH17" s="52">
        <f>HLOOKUP(I17,ElecAvoidedCostsWOCC!$A$5:$Q$50,T17+1,FALSE)</f>
        <v>1.5052077278506986</v>
      </c>
      <c r="AI17" s="44">
        <f t="shared" si="11"/>
        <v>0</v>
      </c>
      <c r="AJ17" s="44">
        <f t="shared" si="12"/>
        <v>11270.995466146031</v>
      </c>
      <c r="AK17" s="44">
        <f>HLOOKUP(I17,ElecAvoidedCostsWOCC!$A$5:$Q$50,G17+1,FALSE)*J17*L17</f>
        <v>0</v>
      </c>
      <c r="AL17" s="44">
        <f t="shared" si="13"/>
        <v>11270.995466146031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11270.995466146031</v>
      </c>
      <c r="AN17" s="48">
        <f t="shared" si="14"/>
        <v>32582.962352631857</v>
      </c>
      <c r="AO17" s="47">
        <f t="shared" si="15"/>
        <v>0.47067378963200257</v>
      </c>
      <c r="AP17" s="47">
        <f t="shared" si="16"/>
        <v>2.3221403492810797</v>
      </c>
    </row>
    <row r="18" spans="1:42" ht="13.5" customHeight="1" x14ac:dyDescent="0.35">
      <c r="A18" s="59">
        <f>A6+A8</f>
        <v>4686624.84</v>
      </c>
      <c r="B18" s="97" t="s">
        <v>71</v>
      </c>
      <c r="C18" s="100">
        <v>18230611</v>
      </c>
      <c r="D18" s="100" t="s">
        <v>72</v>
      </c>
      <c r="E18" s="38" t="s">
        <v>1755</v>
      </c>
      <c r="F18" s="39" t="s">
        <v>1756</v>
      </c>
      <c r="G18" s="39">
        <v>0</v>
      </c>
      <c r="H18" s="39"/>
      <c r="I18" s="40"/>
      <c r="J18" s="41">
        <v>10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0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 t="s">
        <v>71</v>
      </c>
      <c r="C19" s="100">
        <v>18230611</v>
      </c>
      <c r="D19" s="100" t="s">
        <v>72</v>
      </c>
      <c r="E19" s="38" t="s">
        <v>1757</v>
      </c>
      <c r="F19" s="39" t="s">
        <v>1758</v>
      </c>
      <c r="G19" s="39">
        <v>20</v>
      </c>
      <c r="H19" s="39"/>
      <c r="I19" s="40" t="s">
        <v>274</v>
      </c>
      <c r="J19" s="41">
        <v>9</v>
      </c>
      <c r="K19" s="41">
        <v>1254</v>
      </c>
      <c r="L19" s="41"/>
      <c r="M19" s="42">
        <v>631.5</v>
      </c>
      <c r="N19" s="42">
        <v>631.5</v>
      </c>
      <c r="O19" s="43">
        <v>11286</v>
      </c>
      <c r="P19" s="44">
        <v>10292.799999999999</v>
      </c>
      <c r="Q19" s="44">
        <v>10292.799999999999</v>
      </c>
      <c r="R19" s="45">
        <v>94.8</v>
      </c>
      <c r="S19" s="46">
        <v>0</v>
      </c>
      <c r="T19" s="39">
        <f t="shared" si="0"/>
        <v>20</v>
      </c>
      <c r="U19" s="47">
        <f t="shared" si="1"/>
        <v>0.16449682849138125</v>
      </c>
      <c r="V19" s="48">
        <f t="shared" si="2"/>
        <v>0</v>
      </c>
      <c r="W19" s="49">
        <f t="shared" si="3"/>
        <v>8.2248414245690623E-3</v>
      </c>
      <c r="X19" s="44">
        <f t="shared" si="4"/>
        <v>2287.1076454288218</v>
      </c>
      <c r="Y19" s="44">
        <f t="shared" si="5"/>
        <v>0</v>
      </c>
      <c r="Z19" s="44">
        <f t="shared" si="6"/>
        <v>38546.746125446349</v>
      </c>
      <c r="AA19" s="50">
        <f t="shared" si="7"/>
        <v>12579.907645428821</v>
      </c>
      <c r="AB19" s="51">
        <f t="shared" si="8"/>
        <v>36092.458918957251</v>
      </c>
      <c r="AC19" s="44">
        <f t="shared" si="8"/>
        <v>11778.939742910879</v>
      </c>
      <c r="AD19" s="44">
        <f t="shared" si="9"/>
        <v>9181.0373655731582</v>
      </c>
      <c r="AE19" s="44">
        <f t="shared" si="17"/>
        <v>0</v>
      </c>
      <c r="AF19" s="52">
        <f>HLOOKUP(I19,ElecAvoidedCostsWOCC!$A$5:$Q$50,G19+1,FALSE)</f>
        <v>1.6314674491379657</v>
      </c>
      <c r="AG19" s="44">
        <f t="shared" si="10"/>
        <v>18412.741630971079</v>
      </c>
      <c r="AH19" s="52">
        <f>HLOOKUP(I19,ElecAvoidedCostsWOCC!$A$5:$Q$50,T19+1,FALSE)</f>
        <v>1.6314674491379657</v>
      </c>
      <c r="AI19" s="44">
        <f t="shared" si="11"/>
        <v>0</v>
      </c>
      <c r="AJ19" s="44">
        <f t="shared" si="12"/>
        <v>18412.741630971079</v>
      </c>
      <c r="AK19" s="44">
        <f>HLOOKUP(I19,ElecAvoidedCostsWOCC!$A$5:$Q$50,G19+1,FALSE)*J19*L19</f>
        <v>0</v>
      </c>
      <c r="AL19" s="44">
        <f t="shared" si="13"/>
        <v>18412.741630971079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18412.741630971082</v>
      </c>
      <c r="AN19" s="48">
        <f t="shared" si="14"/>
        <v>29435.053159641349</v>
      </c>
      <c r="AO19" s="47">
        <f t="shared" si="15"/>
        <v>0.51015481301275234</v>
      </c>
      <c r="AP19" s="47">
        <f t="shared" si="16"/>
        <v>2.4989560862094358</v>
      </c>
    </row>
    <row r="20" spans="1:42" ht="13.5" customHeight="1" x14ac:dyDescent="0.35">
      <c r="A20" s="59">
        <f>A8+SUM(Q6:Q867)</f>
        <v>5133360.5500000026</v>
      </c>
      <c r="B20" s="97" t="s">
        <v>71</v>
      </c>
      <c r="C20" s="100">
        <v>18230611</v>
      </c>
      <c r="D20" s="100" t="s">
        <v>72</v>
      </c>
      <c r="E20" s="38" t="s">
        <v>1761</v>
      </c>
      <c r="F20" s="39" t="s">
        <v>1762</v>
      </c>
      <c r="G20" s="39">
        <v>0</v>
      </c>
      <c r="H20" s="39"/>
      <c r="I20" s="40"/>
      <c r="J20" s="41">
        <v>38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59092.24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59092.24</v>
      </c>
      <c r="Z20" s="44">
        <f t="shared" si="6"/>
        <v>0</v>
      </c>
      <c r="AA20" s="50">
        <f t="shared" si="7"/>
        <v>59092.24</v>
      </c>
      <c r="AB20" s="51">
        <f t="shared" si="8"/>
        <v>0</v>
      </c>
      <c r="AC20" s="44">
        <f t="shared" si="8"/>
        <v>55329.812734082392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 x14ac:dyDescent="0.35">
      <c r="A21" s="58" t="s">
        <v>236</v>
      </c>
      <c r="B21" s="97" t="s">
        <v>71</v>
      </c>
      <c r="C21" s="100">
        <v>18230611</v>
      </c>
      <c r="D21" s="100" t="s">
        <v>72</v>
      </c>
      <c r="E21" s="38" t="s">
        <v>1763</v>
      </c>
      <c r="F21" s="39" t="s">
        <v>1764</v>
      </c>
      <c r="G21" s="39">
        <v>15</v>
      </c>
      <c r="H21" s="39"/>
      <c r="I21" s="40" t="s">
        <v>273</v>
      </c>
      <c r="J21" s="41">
        <v>120</v>
      </c>
      <c r="K21" s="41">
        <v>2594</v>
      </c>
      <c r="L21" s="41"/>
      <c r="M21" s="42">
        <v>3798.92</v>
      </c>
      <c r="N21" s="42">
        <v>3798.92</v>
      </c>
      <c r="O21" s="43">
        <v>311280</v>
      </c>
      <c r="P21" s="44">
        <v>849287.37</v>
      </c>
      <c r="Q21" s="44">
        <v>849287.37</v>
      </c>
      <c r="R21" s="45">
        <v>295.58</v>
      </c>
      <c r="S21" s="46">
        <v>0</v>
      </c>
      <c r="T21" s="39">
        <f t="shared" si="0"/>
        <v>15</v>
      </c>
      <c r="U21" s="47">
        <f t="shared" si="1"/>
        <v>3.4027493868153345</v>
      </c>
      <c r="V21" s="48">
        <f t="shared" si="2"/>
        <v>0</v>
      </c>
      <c r="W21" s="49">
        <f t="shared" si="3"/>
        <v>0.22684995912102229</v>
      </c>
      <c r="X21" s="44">
        <f t="shared" si="4"/>
        <v>63080.884978653528</v>
      </c>
      <c r="Y21" s="44">
        <f t="shared" si="5"/>
        <v>0</v>
      </c>
      <c r="Z21" s="44">
        <f t="shared" si="6"/>
        <v>1063160.6533695676</v>
      </c>
      <c r="AA21" s="50">
        <f t="shared" si="7"/>
        <v>912368.25497865351</v>
      </c>
      <c r="AB21" s="51">
        <f t="shared" ref="AB21:AC24" si="18">Z21/(1+ElecDiscountRate)^1</f>
        <v>995468.77656326548</v>
      </c>
      <c r="AC21" s="44">
        <f t="shared" si="18"/>
        <v>854277.39230210998</v>
      </c>
      <c r="AD21" s="44">
        <f t="shared" si="9"/>
        <v>327174.90971924091</v>
      </c>
      <c r="AE21" s="44">
        <f t="shared" si="17"/>
        <v>0</v>
      </c>
      <c r="AF21" s="52">
        <f>HLOOKUP(I21,ElecAvoidedCostsWOCC!$A$5:$Q$50,G21+1,FALSE)</f>
        <v>1.3071945815391408</v>
      </c>
      <c r="AG21" s="44">
        <f t="shared" si="10"/>
        <v>406903.5293415038</v>
      </c>
      <c r="AH21" s="52">
        <f>HLOOKUP(I21,ElecAvoidedCostsWOCC!$A$5:$Q$50,T21+1,FALSE)</f>
        <v>1.3071945815391408</v>
      </c>
      <c r="AI21" s="44">
        <f t="shared" si="11"/>
        <v>0</v>
      </c>
      <c r="AJ21" s="44">
        <f t="shared" si="12"/>
        <v>406903.5293415038</v>
      </c>
      <c r="AK21" s="44">
        <f>HLOOKUP(I21,ElecAvoidedCostsWOCC!$A$5:$Q$50,G21+1,FALSE)*J21*L21</f>
        <v>0</v>
      </c>
      <c r="AL21" s="44">
        <f t="shared" si="13"/>
        <v>406903.5293415038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406903.52934150374</v>
      </c>
      <c r="AN21" s="48">
        <f t="shared" si="14"/>
        <v>774768.79199489509</v>
      </c>
      <c r="AO21" s="47">
        <f t="shared" si="15"/>
        <v>0.40875569271623824</v>
      </c>
      <c r="AP21" s="47">
        <f t="shared" si="16"/>
        <v>0.90692882543344056</v>
      </c>
    </row>
    <row r="22" spans="1:42" ht="13.5" customHeight="1" x14ac:dyDescent="0.35">
      <c r="A22" s="60">
        <f>(SUM(AM6:AM961)/(SUM(AB6:AB961)))</f>
        <v>0.54593184344658652</v>
      </c>
      <c r="B22" s="97" t="s">
        <v>71</v>
      </c>
      <c r="C22" s="100">
        <v>18230611</v>
      </c>
      <c r="D22" s="100" t="s">
        <v>72</v>
      </c>
      <c r="E22" s="38" t="s">
        <v>1765</v>
      </c>
      <c r="F22" s="39" t="s">
        <v>1766</v>
      </c>
      <c r="G22" s="39"/>
      <c r="H22" s="39"/>
      <c r="I22" s="40"/>
      <c r="J22" s="41">
        <v>13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0</v>
      </c>
      <c r="Q22" s="44">
        <v>30203.37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30203.37</v>
      </c>
      <c r="Z22" s="44">
        <f t="shared" si="6"/>
        <v>0</v>
      </c>
      <c r="AA22" s="50">
        <f t="shared" si="7"/>
        <v>30203.37</v>
      </c>
      <c r="AB22" s="51">
        <f t="shared" si="18"/>
        <v>0</v>
      </c>
      <c r="AC22" s="44">
        <f t="shared" si="18"/>
        <v>28280.308988764042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 x14ac:dyDescent="0.35">
      <c r="A23" s="58" t="s">
        <v>237</v>
      </c>
      <c r="B23" s="97" t="s">
        <v>71</v>
      </c>
      <c r="C23" s="100">
        <v>18230611</v>
      </c>
      <c r="D23" s="100" t="s">
        <v>72</v>
      </c>
      <c r="E23" s="38" t="s">
        <v>1767</v>
      </c>
      <c r="F23" s="39" t="s">
        <v>1768</v>
      </c>
      <c r="G23" s="39">
        <v>15</v>
      </c>
      <c r="H23" s="39"/>
      <c r="I23" s="40" t="s">
        <v>273</v>
      </c>
      <c r="J23" s="41">
        <v>56</v>
      </c>
      <c r="K23" s="41">
        <v>1790</v>
      </c>
      <c r="L23" s="41"/>
      <c r="M23" s="42">
        <v>4282.55</v>
      </c>
      <c r="N23" s="42">
        <v>4282.55</v>
      </c>
      <c r="O23" s="43">
        <v>100240</v>
      </c>
      <c r="P23" s="44">
        <v>435285.68</v>
      </c>
      <c r="Q23" s="44">
        <v>435285.68</v>
      </c>
      <c r="R23" s="45">
        <v>198.35</v>
      </c>
      <c r="S23" s="46">
        <v>0</v>
      </c>
      <c r="T23" s="39">
        <f t="shared" si="0"/>
        <v>15</v>
      </c>
      <c r="U23" s="47">
        <f t="shared" si="1"/>
        <v>1.09577100531473</v>
      </c>
      <c r="V23" s="48">
        <f t="shared" si="2"/>
        <v>0</v>
      </c>
      <c r="W23" s="49">
        <f t="shared" si="3"/>
        <v>7.305140035431533E-2</v>
      </c>
      <c r="X23" s="44">
        <f t="shared" si="4"/>
        <v>20313.633738949593</v>
      </c>
      <c r="Y23" s="44">
        <f t="shared" si="5"/>
        <v>0</v>
      </c>
      <c r="Z23" s="44">
        <f t="shared" si="6"/>
        <v>342364.50749731902</v>
      </c>
      <c r="AA23" s="50">
        <f t="shared" si="7"/>
        <v>455599.3137389496</v>
      </c>
      <c r="AB23" s="51">
        <f t="shared" si="18"/>
        <v>320566.01825591666</v>
      </c>
      <c r="AC23" s="44">
        <f t="shared" si="18"/>
        <v>426591.11773309886</v>
      </c>
      <c r="AD23" s="44">
        <f t="shared" si="9"/>
        <v>102457.54187240456</v>
      </c>
      <c r="AE23" s="44">
        <f t="shared" si="17"/>
        <v>0</v>
      </c>
      <c r="AF23" s="52">
        <f>HLOOKUP(I23,ElecAvoidedCostsWOCC!$A$5:$Q$50,G23+1,FALSE)</f>
        <v>1.3071945815391408</v>
      </c>
      <c r="AG23" s="44">
        <f t="shared" si="10"/>
        <v>131033.18485348347</v>
      </c>
      <c r="AH23" s="52">
        <f>HLOOKUP(I23,ElecAvoidedCostsWOCC!$A$5:$Q$50,T23+1,FALSE)</f>
        <v>1.3071945815391408</v>
      </c>
      <c r="AI23" s="44">
        <f t="shared" si="11"/>
        <v>0</v>
      </c>
      <c r="AJ23" s="44">
        <f t="shared" si="12"/>
        <v>131033.18485348347</v>
      </c>
      <c r="AK23" s="44">
        <f>HLOOKUP(I23,ElecAvoidedCostsWOCC!$A$5:$Q$50,G23+1,FALSE)*J23*L23</f>
        <v>0</v>
      </c>
      <c r="AL23" s="44">
        <f t="shared" si="13"/>
        <v>131033.18485348347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131033.18485348347</v>
      </c>
      <c r="AN23" s="48">
        <f t="shared" si="14"/>
        <v>246594.0452112364</v>
      </c>
      <c r="AO23" s="47">
        <f t="shared" si="15"/>
        <v>0.40875569271623818</v>
      </c>
      <c r="AP23" s="47">
        <f t="shared" si="16"/>
        <v>0.57805714877898728</v>
      </c>
    </row>
    <row r="24" spans="1:42" ht="13.5" customHeight="1" x14ac:dyDescent="0.35">
      <c r="A24" s="60">
        <f>(SUM(AN6:AN961)/SUM(AC6:AC961))</f>
        <v>0.87956957059960517</v>
      </c>
      <c r="B24" s="97" t="s">
        <v>71</v>
      </c>
      <c r="C24" s="100">
        <v>18230611</v>
      </c>
      <c r="D24" s="100" t="s">
        <v>72</v>
      </c>
      <c r="E24" s="38" t="s">
        <v>1771</v>
      </c>
      <c r="F24" s="39" t="s">
        <v>1772</v>
      </c>
      <c r="G24" s="39"/>
      <c r="H24" s="39"/>
      <c r="I24" s="40"/>
      <c r="J24" s="41">
        <v>3</v>
      </c>
      <c r="K24" s="41">
        <v>0</v>
      </c>
      <c r="L24" s="41"/>
      <c r="M24" s="42">
        <v>0</v>
      </c>
      <c r="N24" s="42">
        <v>0</v>
      </c>
      <c r="O24" s="43">
        <v>0</v>
      </c>
      <c r="P24" s="44">
        <v>1059.76</v>
      </c>
      <c r="Q24" s="44">
        <v>1059.76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1059.76</v>
      </c>
      <c r="AB24" s="51">
        <f t="shared" si="18"/>
        <v>0</v>
      </c>
      <c r="AC24" s="44">
        <f t="shared" si="18"/>
        <v>992.28464419475654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 x14ac:dyDescent="0.35">
      <c r="B25" s="97" t="s">
        <v>71</v>
      </c>
      <c r="C25" s="100">
        <v>18230611</v>
      </c>
      <c r="D25" s="100" t="s">
        <v>72</v>
      </c>
      <c r="E25" s="38" t="s">
        <v>1773</v>
      </c>
      <c r="F25" s="39" t="s">
        <v>1774</v>
      </c>
      <c r="G25" s="39"/>
      <c r="H25" s="39"/>
      <c r="I25" s="40"/>
      <c r="J25" s="41">
        <v>1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0</v>
      </c>
      <c r="Q25" s="44">
        <v>0</v>
      </c>
      <c r="R25" s="45">
        <v>0</v>
      </c>
      <c r="S25" s="46">
        <v>0</v>
      </c>
      <c r="T25" s="39">
        <f t="shared" ref="T25:T78" si="19">G25+H25</f>
        <v>0</v>
      </c>
      <c r="U25" s="47">
        <f t="shared" ref="U25:U78" si="20">(O25/$A$10)*T25</f>
        <v>0</v>
      </c>
      <c r="V25" s="48">
        <f t="shared" ref="V25:V78" si="21">N25-M25</f>
        <v>0</v>
      </c>
      <c r="W25" s="49">
        <f t="shared" ref="W25:W78" si="22">(O25/A$10)</f>
        <v>0</v>
      </c>
      <c r="X25" s="44">
        <f t="shared" ref="X25:X78" si="23">W25*A$8</f>
        <v>0</v>
      </c>
      <c r="Y25" s="44">
        <f t="shared" ref="Y25:Y78" si="24">Q25-P25</f>
        <v>0</v>
      </c>
      <c r="Z25" s="44">
        <f t="shared" ref="Z25:Z78" si="25">X25+(A$6*W25)</f>
        <v>0</v>
      </c>
      <c r="AA25" s="50">
        <f t="shared" ref="AA25:AA78" si="26">Q25+X25</f>
        <v>0</v>
      </c>
      <c r="AB25" s="51">
        <f t="shared" ref="AB25:AB78" si="27">Z25/(1+ElecDiscountRate)^1</f>
        <v>0</v>
      </c>
      <c r="AC25" s="44">
        <f t="shared" ref="AC25:AC78" si="28">AA25/(1+ElecDiscountRate)^1</f>
        <v>0</v>
      </c>
      <c r="AD25" s="44">
        <f t="shared" ref="AD25:AD78" si="29">-PV(ElecDiscountRate,T25,R25)*J25</f>
        <v>0</v>
      </c>
      <c r="AE25" s="44">
        <f t="shared" ref="AE25:AE78" si="30">-PV(ElecDiscountRate,T25,S25)*J25</f>
        <v>0</v>
      </c>
      <c r="AF25" s="52" t="e">
        <f>HLOOKUP(I25,ElecAvoidedCostsWOCC!$A$5:$Q$50,G25+1,FALSE)</f>
        <v>#N/A</v>
      </c>
      <c r="AG25" s="44" t="e">
        <f t="shared" ref="AG25:AG78" si="31">AF25*J25*K25</f>
        <v>#N/A</v>
      </c>
      <c r="AH25" s="52" t="e">
        <f>HLOOKUP(I25,ElecAvoidedCostsWOCC!$A$5:$Q$50,T25+1,FALSE)</f>
        <v>#N/A</v>
      </c>
      <c r="AI25" s="44" t="e">
        <f t="shared" ref="AI25:AI78" si="32">AH25*J25*L25</f>
        <v>#N/A</v>
      </c>
      <c r="AJ25" s="44" t="e">
        <f t="shared" ref="AJ25:AJ78" si="33">AG25+AI25</f>
        <v>#N/A</v>
      </c>
      <c r="AK25" s="44" t="e">
        <f>HLOOKUP(I25,ElecAvoidedCostsWOCC!$A$5:$Q$50,G25+1,FALSE)*J25*L25</f>
        <v>#N/A</v>
      </c>
      <c r="AL25" s="44" t="e">
        <f t="shared" ref="AL25:AL78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78" si="35">AM25*1.1+AD25+AE25</f>
        <v>0</v>
      </c>
      <c r="AO25" s="47">
        <f t="shared" ref="AO25:AO78" si="36">IFERROR(AM25/AB25,0)</f>
        <v>0</v>
      </c>
      <c r="AP25" s="47" t="e">
        <f t="shared" ref="AP25:AP78" si="37">AN25/AC25</f>
        <v>#DIV/0!</v>
      </c>
    </row>
    <row r="26" spans="1:42" ht="13.5" customHeight="1" x14ac:dyDescent="0.35">
      <c r="B26" s="97" t="s">
        <v>71</v>
      </c>
      <c r="C26" s="100">
        <v>18230611</v>
      </c>
      <c r="D26" s="100" t="s">
        <v>72</v>
      </c>
      <c r="E26" s="38" t="s">
        <v>1775</v>
      </c>
      <c r="F26" s="39" t="s">
        <v>1776</v>
      </c>
      <c r="G26" s="39"/>
      <c r="H26" s="39"/>
      <c r="I26" s="40"/>
      <c r="J26" s="41">
        <v>1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71</v>
      </c>
      <c r="C27" s="100">
        <v>18230611</v>
      </c>
      <c r="D27" s="100" t="s">
        <v>72</v>
      </c>
      <c r="E27" s="38" t="s">
        <v>1777</v>
      </c>
      <c r="F27" s="39" t="s">
        <v>1778</v>
      </c>
      <c r="G27" s="39">
        <v>0</v>
      </c>
      <c r="H27" s="39"/>
      <c r="I27" s="40"/>
      <c r="J27" s="41">
        <v>11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x14ac:dyDescent="0.35">
      <c r="B28" s="97" t="s">
        <v>71</v>
      </c>
      <c r="C28" s="100">
        <v>18230611</v>
      </c>
      <c r="D28" s="100" t="s">
        <v>72</v>
      </c>
      <c r="E28" s="38" t="s">
        <v>1781</v>
      </c>
      <c r="F28" s="39" t="s">
        <v>1782</v>
      </c>
      <c r="G28" s="39"/>
      <c r="H28" s="39"/>
      <c r="I28" s="40"/>
      <c r="J28" s="41">
        <v>21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10986.5</v>
      </c>
      <c r="Q28" s="44">
        <v>10986.5</v>
      </c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10986.5</v>
      </c>
      <c r="AB28" s="51">
        <f t="shared" si="27"/>
        <v>0</v>
      </c>
      <c r="AC28" s="44">
        <f t="shared" si="28"/>
        <v>10286.985018726591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 x14ac:dyDescent="0.35">
      <c r="B29" s="97" t="s">
        <v>71</v>
      </c>
      <c r="C29" s="100">
        <v>18230611</v>
      </c>
      <c r="D29" s="100" t="s">
        <v>72</v>
      </c>
      <c r="E29" s="38" t="s">
        <v>1783</v>
      </c>
      <c r="F29" s="39" t="s">
        <v>1784</v>
      </c>
      <c r="G29" s="39">
        <v>0</v>
      </c>
      <c r="H29" s="39"/>
      <c r="I29" s="40"/>
      <c r="J29" s="41">
        <v>7</v>
      </c>
      <c r="K29" s="41">
        <v>0</v>
      </c>
      <c r="L29" s="41"/>
      <c r="M29" s="42">
        <v>0</v>
      </c>
      <c r="N29" s="42">
        <v>0</v>
      </c>
      <c r="O29" s="43">
        <v>0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71</v>
      </c>
      <c r="C30" s="100">
        <v>18230611</v>
      </c>
      <c r="D30" s="100" t="s">
        <v>72</v>
      </c>
      <c r="E30" s="38" t="s">
        <v>1785</v>
      </c>
      <c r="F30" s="39" t="s">
        <v>1786</v>
      </c>
      <c r="G30" s="39"/>
      <c r="H30" s="39"/>
      <c r="I30" s="40"/>
      <c r="J30" s="41">
        <v>6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2514.94</v>
      </c>
      <c r="Q30" s="44">
        <v>2514.94</v>
      </c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2514.94</v>
      </c>
      <c r="AB30" s="51">
        <f t="shared" si="27"/>
        <v>0</v>
      </c>
      <c r="AC30" s="44">
        <f t="shared" si="28"/>
        <v>2354.8127340823971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</row>
    <row r="31" spans="1:42" x14ac:dyDescent="0.35">
      <c r="B31" s="97" t="s">
        <v>71</v>
      </c>
      <c r="C31" s="100">
        <v>18230611</v>
      </c>
      <c r="D31" s="100" t="s">
        <v>72</v>
      </c>
      <c r="E31" s="38" t="s">
        <v>1787</v>
      </c>
      <c r="F31" s="39" t="s">
        <v>1788</v>
      </c>
      <c r="G31" s="39"/>
      <c r="H31" s="39"/>
      <c r="I31" s="40"/>
      <c r="J31" s="41">
        <v>150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0</v>
      </c>
      <c r="Q31" s="44">
        <v>0</v>
      </c>
      <c r="R31" s="45">
        <v>0</v>
      </c>
      <c r="S31" s="46">
        <v>0</v>
      </c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71</v>
      </c>
      <c r="C32" s="100">
        <v>18230611</v>
      </c>
      <c r="D32" s="100" t="s">
        <v>72</v>
      </c>
      <c r="E32" s="38" t="s">
        <v>1789</v>
      </c>
      <c r="F32" s="39" t="s">
        <v>1790</v>
      </c>
      <c r="G32" s="39">
        <v>20</v>
      </c>
      <c r="H32" s="39"/>
      <c r="I32" s="40" t="s">
        <v>274</v>
      </c>
      <c r="J32" s="41">
        <v>2397</v>
      </c>
      <c r="K32" s="41">
        <v>4.6500000000000004</v>
      </c>
      <c r="L32" s="41"/>
      <c r="M32" s="42">
        <v>6.46</v>
      </c>
      <c r="N32" s="42">
        <v>6.46</v>
      </c>
      <c r="O32" s="43">
        <v>11146.05</v>
      </c>
      <c r="P32" s="44">
        <v>19857.68</v>
      </c>
      <c r="Q32" s="44">
        <v>19857.68</v>
      </c>
      <c r="R32" s="45">
        <v>1.25</v>
      </c>
      <c r="S32" s="46">
        <v>0</v>
      </c>
      <c r="T32" s="39">
        <f t="shared" si="19"/>
        <v>20</v>
      </c>
      <c r="U32" s="47">
        <f t="shared" si="20"/>
        <v>0.1624570153470104</v>
      </c>
      <c r="V32" s="48">
        <f t="shared" si="21"/>
        <v>0</v>
      </c>
      <c r="W32" s="49">
        <f t="shared" si="22"/>
        <v>8.1228507673505208E-3</v>
      </c>
      <c r="X32" s="44">
        <f t="shared" si="23"/>
        <v>2258.7467810855856</v>
      </c>
      <c r="Y32" s="44">
        <f t="shared" si="24"/>
        <v>0</v>
      </c>
      <c r="Z32" s="44">
        <f t="shared" si="25"/>
        <v>38068.754177878014</v>
      </c>
      <c r="AA32" s="50">
        <f t="shared" si="26"/>
        <v>22116.426781085585</v>
      </c>
      <c r="AB32" s="51">
        <f t="shared" si="27"/>
        <v>35644.900915616119</v>
      </c>
      <c r="AC32" s="44">
        <f t="shared" si="28"/>
        <v>20708.264776297365</v>
      </c>
      <c r="AD32" s="44">
        <f t="shared" si="29"/>
        <v>32241.775910218676</v>
      </c>
      <c r="AE32" s="44">
        <f t="shared" si="30"/>
        <v>0</v>
      </c>
      <c r="AF32" s="52">
        <f>HLOOKUP(I32,ElecAvoidedCostsWOCC!$A$5:$Q$50,G32+1,FALSE)</f>
        <v>1.6314674491379657</v>
      </c>
      <c r="AG32" s="44">
        <f t="shared" si="31"/>
        <v>18184.417761464225</v>
      </c>
      <c r="AH32" s="52">
        <f>HLOOKUP(I32,ElecAvoidedCostsWOCC!$A$5:$Q$50,T32+1,FALSE)</f>
        <v>1.6314674491379657</v>
      </c>
      <c r="AI32" s="44">
        <f t="shared" si="32"/>
        <v>0</v>
      </c>
      <c r="AJ32" s="44">
        <f t="shared" si="33"/>
        <v>18184.417761464225</v>
      </c>
      <c r="AK32" s="44">
        <f>HLOOKUP(I32,ElecAvoidedCostsWOCC!$A$5:$Q$50,G32+1,FALSE)*J32*L32</f>
        <v>0</v>
      </c>
      <c r="AL32" s="44">
        <f t="shared" si="34"/>
        <v>18184.417761464225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18184.417761464225</v>
      </c>
      <c r="AN32" s="48">
        <f t="shared" si="35"/>
        <v>52244.635447829321</v>
      </c>
      <c r="AO32" s="47">
        <f t="shared" si="36"/>
        <v>0.51015481301275234</v>
      </c>
      <c r="AP32" s="47">
        <f t="shared" si="37"/>
        <v>2.5228881324536867</v>
      </c>
    </row>
    <row r="33" spans="2:42" x14ac:dyDescent="0.35">
      <c r="B33" s="97" t="s">
        <v>71</v>
      </c>
      <c r="C33" s="100">
        <v>18230611</v>
      </c>
      <c r="D33" s="100" t="s">
        <v>72</v>
      </c>
      <c r="E33" s="38" t="s">
        <v>1793</v>
      </c>
      <c r="F33" s="39" t="s">
        <v>1794</v>
      </c>
      <c r="G33" s="39"/>
      <c r="H33" s="39"/>
      <c r="I33" s="40"/>
      <c r="J33" s="41">
        <v>1282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2911.06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2911.06</v>
      </c>
      <c r="Z33" s="44">
        <f t="shared" si="25"/>
        <v>0</v>
      </c>
      <c r="AA33" s="50">
        <f t="shared" si="26"/>
        <v>2911.06</v>
      </c>
      <c r="AB33" s="51">
        <f t="shared" si="27"/>
        <v>0</v>
      </c>
      <c r="AC33" s="44">
        <f t="shared" si="28"/>
        <v>2725.711610486891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>
        <f t="shared" si="37"/>
        <v>0</v>
      </c>
    </row>
    <row r="34" spans="2:42" x14ac:dyDescent="0.35">
      <c r="B34" s="97" t="s">
        <v>71</v>
      </c>
      <c r="C34" s="100">
        <v>18230611</v>
      </c>
      <c r="D34" s="100" t="s">
        <v>72</v>
      </c>
      <c r="E34" s="38" t="s">
        <v>1795</v>
      </c>
      <c r="F34" s="39" t="s">
        <v>1796</v>
      </c>
      <c r="G34" s="39">
        <v>45</v>
      </c>
      <c r="H34" s="39"/>
      <c r="I34" s="40" t="s">
        <v>274</v>
      </c>
      <c r="J34" s="41">
        <v>11786</v>
      </c>
      <c r="K34" s="41">
        <v>0.36</v>
      </c>
      <c r="L34" s="41"/>
      <c r="M34" s="42">
        <v>1.87</v>
      </c>
      <c r="N34" s="42">
        <v>1.87</v>
      </c>
      <c r="O34" s="43">
        <v>4242.96</v>
      </c>
      <c r="P34" s="44">
        <v>37303.79</v>
      </c>
      <c r="Q34" s="44">
        <v>37303.79</v>
      </c>
      <c r="R34" s="45">
        <v>7.0000000000000007E-2</v>
      </c>
      <c r="S34" s="46">
        <v>0</v>
      </c>
      <c r="T34" s="39">
        <f t="shared" si="19"/>
        <v>45</v>
      </c>
      <c r="U34" s="47">
        <f t="shared" si="20"/>
        <v>0.1391454273157478</v>
      </c>
      <c r="V34" s="48">
        <f t="shared" si="21"/>
        <v>0</v>
      </c>
      <c r="W34" s="49">
        <f t="shared" si="22"/>
        <v>3.0921206070166178E-3</v>
      </c>
      <c r="X34" s="44">
        <f t="shared" si="23"/>
        <v>859.83574829422957</v>
      </c>
      <c r="Y34" s="44">
        <f t="shared" si="24"/>
        <v>0</v>
      </c>
      <c r="Z34" s="44">
        <f t="shared" si="25"/>
        <v>14491.60924511996</v>
      </c>
      <c r="AA34" s="50">
        <f t="shared" si="26"/>
        <v>38163.625748294231</v>
      </c>
      <c r="AB34" s="51">
        <f t="shared" si="27"/>
        <v>13568.922514157266</v>
      </c>
      <c r="AC34" s="44">
        <f t="shared" si="28"/>
        <v>35733.731974058268</v>
      </c>
      <c r="AD34" s="44">
        <f t="shared" si="29"/>
        <v>11504.22822433788</v>
      </c>
      <c r="AE34" s="44">
        <f t="shared" si="30"/>
        <v>0</v>
      </c>
      <c r="AF34" s="52">
        <f>HLOOKUP(I34,ElecAvoidedCostsWOCC!$A$5:$Q$50,G34+1,FALSE)</f>
        <v>3.2695302314196475</v>
      </c>
      <c r="AG34" s="44">
        <f t="shared" si="31"/>
        <v>13872.485990704306</v>
      </c>
      <c r="AH34" s="52">
        <f>HLOOKUP(I34,ElecAvoidedCostsWOCC!$A$5:$Q$50,T34+1,FALSE)</f>
        <v>3.2695302314196475</v>
      </c>
      <c r="AI34" s="44">
        <f t="shared" si="32"/>
        <v>0</v>
      </c>
      <c r="AJ34" s="44">
        <f t="shared" si="33"/>
        <v>13872.485990704306</v>
      </c>
      <c r="AK34" s="44">
        <f>HLOOKUP(I34,ElecAvoidedCostsWOCC!$A$5:$Q$50,G34+1,FALSE)*J34*L34</f>
        <v>0</v>
      </c>
      <c r="AL34" s="44">
        <f t="shared" si="34"/>
        <v>13872.485990704306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13872.485990704306</v>
      </c>
      <c r="AN34" s="48">
        <f t="shared" si="35"/>
        <v>26763.962814112616</v>
      </c>
      <c r="AO34" s="47">
        <f t="shared" si="36"/>
        <v>1.0223719662508437</v>
      </c>
      <c r="AP34" s="47">
        <f t="shared" si="37"/>
        <v>0.74898314101484098</v>
      </c>
    </row>
    <row r="35" spans="2:42" x14ac:dyDescent="0.35">
      <c r="B35" s="97" t="s">
        <v>71</v>
      </c>
      <c r="C35" s="100">
        <v>18230611</v>
      </c>
      <c r="D35" s="100" t="s">
        <v>72</v>
      </c>
      <c r="E35" s="38" t="s">
        <v>1797</v>
      </c>
      <c r="F35" s="39" t="s">
        <v>1798</v>
      </c>
      <c r="G35" s="39"/>
      <c r="H35" s="39"/>
      <c r="I35" s="40"/>
      <c r="J35" s="41">
        <v>840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5670.35</v>
      </c>
      <c r="R35" s="45">
        <v>0</v>
      </c>
      <c r="S35" s="46">
        <v>0</v>
      </c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5670.35</v>
      </c>
      <c r="Z35" s="44">
        <f t="shared" si="25"/>
        <v>0</v>
      </c>
      <c r="AA35" s="50">
        <f t="shared" si="26"/>
        <v>5670.35</v>
      </c>
      <c r="AB35" s="51">
        <f t="shared" si="27"/>
        <v>0</v>
      </c>
      <c r="AC35" s="44">
        <f t="shared" si="28"/>
        <v>5309.3164794007489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>
        <f t="shared" si="37"/>
        <v>0</v>
      </c>
    </row>
    <row r="36" spans="2:42" x14ac:dyDescent="0.35">
      <c r="B36" s="97" t="s">
        <v>71</v>
      </c>
      <c r="C36" s="100">
        <v>18230611</v>
      </c>
      <c r="D36" s="100" t="s">
        <v>72</v>
      </c>
      <c r="E36" s="38" t="s">
        <v>1799</v>
      </c>
      <c r="F36" s="39" t="s">
        <v>1800</v>
      </c>
      <c r="G36" s="39">
        <v>25</v>
      </c>
      <c r="H36" s="39"/>
      <c r="I36" s="40" t="s">
        <v>274</v>
      </c>
      <c r="J36" s="41">
        <v>76306</v>
      </c>
      <c r="K36" s="41">
        <v>0.8</v>
      </c>
      <c r="L36" s="41"/>
      <c r="M36" s="42">
        <v>2.37</v>
      </c>
      <c r="N36" s="42">
        <v>2.37</v>
      </c>
      <c r="O36" s="43">
        <v>61044.800000000003</v>
      </c>
      <c r="P36" s="44">
        <v>246202.28</v>
      </c>
      <c r="Q36" s="44">
        <v>246202.28</v>
      </c>
      <c r="R36" s="45">
        <v>0.17</v>
      </c>
      <c r="S36" s="46">
        <v>0</v>
      </c>
      <c r="T36" s="39">
        <f t="shared" si="19"/>
        <v>25</v>
      </c>
      <c r="U36" s="47">
        <f t="shared" si="20"/>
        <v>1.1121827923855516</v>
      </c>
      <c r="V36" s="48">
        <f t="shared" si="21"/>
        <v>0</v>
      </c>
      <c r="W36" s="49">
        <f t="shared" si="22"/>
        <v>4.4487311695422069E-2</v>
      </c>
      <c r="X36" s="44">
        <f t="shared" si="23"/>
        <v>12370.727343050979</v>
      </c>
      <c r="Y36" s="44">
        <f t="shared" si="24"/>
        <v>0</v>
      </c>
      <c r="Z36" s="44">
        <f t="shared" si="25"/>
        <v>208495.34005658756</v>
      </c>
      <c r="AA36" s="50">
        <f t="shared" si="26"/>
        <v>258573.00734305097</v>
      </c>
      <c r="AB36" s="51">
        <f t="shared" si="27"/>
        <v>195220.35585822805</v>
      </c>
      <c r="AC36" s="44">
        <f t="shared" si="28"/>
        <v>242109.55743731363</v>
      </c>
      <c r="AD36" s="44">
        <f t="shared" si="29"/>
        <v>153933.6718816444</v>
      </c>
      <c r="AE36" s="44">
        <f t="shared" si="30"/>
        <v>0</v>
      </c>
      <c r="AF36" s="52">
        <f>HLOOKUP(I36,ElecAvoidedCostsWOCC!$A$5:$Q$50,G36+1,FALSE)</f>
        <v>1.9455570023927977</v>
      </c>
      <c r="AG36" s="44">
        <f t="shared" si="31"/>
        <v>118766.13809966785</v>
      </c>
      <c r="AH36" s="52">
        <f>HLOOKUP(I36,ElecAvoidedCostsWOCC!$A$5:$Q$50,T36+1,FALSE)</f>
        <v>1.9455570023927977</v>
      </c>
      <c r="AI36" s="44">
        <f t="shared" si="32"/>
        <v>0</v>
      </c>
      <c r="AJ36" s="44">
        <f t="shared" si="33"/>
        <v>118766.13809966785</v>
      </c>
      <c r="AK36" s="44">
        <f>HLOOKUP(I36,ElecAvoidedCostsWOCC!$A$5:$Q$50,G36+1,FALSE)*J36*L36</f>
        <v>0</v>
      </c>
      <c r="AL36" s="44">
        <f t="shared" si="34"/>
        <v>118766.13809966785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118766.13809966786</v>
      </c>
      <c r="AN36" s="48">
        <f t="shared" si="35"/>
        <v>284576.42379127908</v>
      </c>
      <c r="AO36" s="47">
        <f t="shared" si="36"/>
        <v>0.60836964248706527</v>
      </c>
      <c r="AP36" s="47">
        <f t="shared" si="37"/>
        <v>1.1754035107224583</v>
      </c>
    </row>
    <row r="37" spans="2:42" x14ac:dyDescent="0.35">
      <c r="B37" s="97" t="s">
        <v>71</v>
      </c>
      <c r="C37" s="100">
        <v>18230611</v>
      </c>
      <c r="D37" s="100" t="s">
        <v>72</v>
      </c>
      <c r="E37" s="38" t="s">
        <v>1803</v>
      </c>
      <c r="F37" s="39" t="s">
        <v>1804</v>
      </c>
      <c r="G37" s="39">
        <v>45</v>
      </c>
      <c r="H37" s="39"/>
      <c r="I37" s="40" t="s">
        <v>272</v>
      </c>
      <c r="J37" s="41">
        <v>12239</v>
      </c>
      <c r="K37" s="41">
        <v>1.35</v>
      </c>
      <c r="L37" s="41"/>
      <c r="M37" s="42">
        <v>2.2000000000000002</v>
      </c>
      <c r="N37" s="42">
        <v>2.2000000000000002</v>
      </c>
      <c r="O37" s="43">
        <v>16522.650000000001</v>
      </c>
      <c r="P37" s="44">
        <v>35002.11</v>
      </c>
      <c r="Q37" s="44">
        <v>35002.11</v>
      </c>
      <c r="R37" s="45">
        <v>0.14000000000000001</v>
      </c>
      <c r="S37" s="46">
        <v>0</v>
      </c>
      <c r="T37" s="39">
        <f t="shared" si="19"/>
        <v>45</v>
      </c>
      <c r="U37" s="47">
        <f t="shared" si="20"/>
        <v>0.54185078215173843</v>
      </c>
      <c r="V37" s="48">
        <f t="shared" si="21"/>
        <v>0</v>
      </c>
      <c r="W37" s="49">
        <f t="shared" si="22"/>
        <v>1.2041128492260855E-2</v>
      </c>
      <c r="X37" s="44">
        <f t="shared" si="23"/>
        <v>3348.3146498090132</v>
      </c>
      <c r="Y37" s="44">
        <f t="shared" si="24"/>
        <v>0</v>
      </c>
      <c r="Z37" s="44">
        <f t="shared" si="25"/>
        <v>56432.251893461471</v>
      </c>
      <c r="AA37" s="50">
        <f t="shared" si="26"/>
        <v>38350.424649809014</v>
      </c>
      <c r="AB37" s="51">
        <f t="shared" si="27"/>
        <v>52839.187166162425</v>
      </c>
      <c r="AC37" s="44">
        <f t="shared" si="28"/>
        <v>35908.637312555256</v>
      </c>
      <c r="AD37" s="44">
        <f t="shared" si="29"/>
        <v>23892.796408904003</v>
      </c>
      <c r="AE37" s="44">
        <f t="shared" si="30"/>
        <v>0</v>
      </c>
      <c r="AF37" s="52">
        <f>HLOOKUP(I37,ElecAvoidedCostsWOCC!$A$5:$Q$50,G37+1,FALSE)</f>
        <v>2.9502602387155141</v>
      </c>
      <c r="AG37" s="44">
        <f t="shared" si="31"/>
        <v>48746.117333212896</v>
      </c>
      <c r="AH37" s="52">
        <f>HLOOKUP(I37,ElecAvoidedCostsWOCC!$A$5:$Q$50,T37+1,FALSE)</f>
        <v>2.9502602387155141</v>
      </c>
      <c r="AI37" s="44">
        <f t="shared" si="32"/>
        <v>0</v>
      </c>
      <c r="AJ37" s="44">
        <f t="shared" si="33"/>
        <v>48746.117333212896</v>
      </c>
      <c r="AK37" s="44">
        <f>HLOOKUP(I37,ElecAvoidedCostsWOCC!$A$5:$Q$50,G37+1,FALSE)*J37*L37</f>
        <v>0</v>
      </c>
      <c r="AL37" s="44">
        <f t="shared" si="34"/>
        <v>48746.117333212896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48746.117333212889</v>
      </c>
      <c r="AN37" s="48">
        <f t="shared" si="35"/>
        <v>77513.525475438189</v>
      </c>
      <c r="AO37" s="47">
        <f t="shared" si="36"/>
        <v>0.92253722942258487</v>
      </c>
      <c r="AP37" s="47">
        <f t="shared" si="37"/>
        <v>2.1586317743206593</v>
      </c>
    </row>
    <row r="38" spans="2:42" x14ac:dyDescent="0.35">
      <c r="B38" s="97" t="s">
        <v>71</v>
      </c>
      <c r="C38" s="100">
        <v>18230611</v>
      </c>
      <c r="D38" s="100" t="s">
        <v>72</v>
      </c>
      <c r="E38" s="38" t="s">
        <v>1805</v>
      </c>
      <c r="F38" s="39" t="s">
        <v>1806</v>
      </c>
      <c r="G38" s="39"/>
      <c r="H38" s="39"/>
      <c r="I38" s="40"/>
      <c r="J38" s="41">
        <v>594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1963.72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1963.72</v>
      </c>
      <c r="Z38" s="44">
        <f t="shared" si="25"/>
        <v>0</v>
      </c>
      <c r="AA38" s="50">
        <f t="shared" si="26"/>
        <v>1963.72</v>
      </c>
      <c r="AB38" s="51">
        <f t="shared" si="27"/>
        <v>0</v>
      </c>
      <c r="AC38" s="44">
        <f t="shared" si="28"/>
        <v>1838.689138576779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</row>
    <row r="39" spans="2:42" x14ac:dyDescent="0.35">
      <c r="B39" s="97" t="s">
        <v>71</v>
      </c>
      <c r="C39" s="100">
        <v>18230611</v>
      </c>
      <c r="D39" s="100" t="s">
        <v>72</v>
      </c>
      <c r="E39" s="38" t="s">
        <v>1807</v>
      </c>
      <c r="F39" s="39" t="s">
        <v>1808</v>
      </c>
      <c r="G39" s="39">
        <v>25</v>
      </c>
      <c r="H39" s="39"/>
      <c r="I39" s="40" t="s">
        <v>274</v>
      </c>
      <c r="J39" s="41">
        <v>29424</v>
      </c>
      <c r="K39" s="41">
        <v>0.52</v>
      </c>
      <c r="L39" s="41"/>
      <c r="M39" s="42">
        <v>2.7</v>
      </c>
      <c r="N39" s="42">
        <v>2.7</v>
      </c>
      <c r="O39" s="43">
        <v>15300.48</v>
      </c>
      <c r="P39" s="44">
        <v>109447.67999999999</v>
      </c>
      <c r="Q39" s="44">
        <v>109447.67999999999</v>
      </c>
      <c r="R39" s="45">
        <v>0.11</v>
      </c>
      <c r="S39" s="46">
        <v>0</v>
      </c>
      <c r="T39" s="39">
        <f t="shared" si="19"/>
        <v>25</v>
      </c>
      <c r="U39" s="47">
        <f t="shared" si="20"/>
        <v>0.27876134529459162</v>
      </c>
      <c r="V39" s="48">
        <f t="shared" si="21"/>
        <v>0</v>
      </c>
      <c r="W39" s="49">
        <f t="shared" si="22"/>
        <v>1.1150453811783664E-2</v>
      </c>
      <c r="X39" s="44">
        <f t="shared" si="23"/>
        <v>3100.6419268767304</v>
      </c>
      <c r="Y39" s="44">
        <f t="shared" si="24"/>
        <v>0</v>
      </c>
      <c r="Z39" s="44">
        <f t="shared" si="25"/>
        <v>52257.993811578002</v>
      </c>
      <c r="AA39" s="50">
        <f t="shared" si="26"/>
        <v>112548.32192687673</v>
      </c>
      <c r="AB39" s="51">
        <f t="shared" si="27"/>
        <v>48930.705816084272</v>
      </c>
      <c r="AC39" s="44">
        <f t="shared" si="28"/>
        <v>105382.32390156997</v>
      </c>
      <c r="AD39" s="44">
        <f t="shared" si="29"/>
        <v>38407.887110797354</v>
      </c>
      <c r="AE39" s="44">
        <f t="shared" si="30"/>
        <v>0</v>
      </c>
      <c r="AF39" s="52">
        <f>HLOOKUP(I39,ElecAvoidedCostsWOCC!$A$5:$Q$50,G39+1,FALSE)</f>
        <v>1.9455570023927977</v>
      </c>
      <c r="AG39" s="44">
        <f t="shared" si="31"/>
        <v>29767.956003970954</v>
      </c>
      <c r="AH39" s="52">
        <f>HLOOKUP(I39,ElecAvoidedCostsWOCC!$A$5:$Q$50,T39+1,FALSE)</f>
        <v>1.9455570023927977</v>
      </c>
      <c r="AI39" s="44">
        <f t="shared" si="32"/>
        <v>0</v>
      </c>
      <c r="AJ39" s="44">
        <f t="shared" si="33"/>
        <v>29767.956003970954</v>
      </c>
      <c r="AK39" s="44">
        <f>HLOOKUP(I39,ElecAvoidedCostsWOCC!$A$5:$Q$50,G39+1,FALSE)*J39*L39</f>
        <v>0</v>
      </c>
      <c r="AL39" s="44">
        <f t="shared" si="34"/>
        <v>29767.956003970954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29767.956003970954</v>
      </c>
      <c r="AN39" s="48">
        <f t="shared" si="35"/>
        <v>71152.638715165405</v>
      </c>
      <c r="AO39" s="47">
        <f t="shared" si="36"/>
        <v>0.60836964248706527</v>
      </c>
      <c r="AP39" s="47">
        <f t="shared" si="37"/>
        <v>0.67518570554226875</v>
      </c>
    </row>
    <row r="40" spans="2:42" x14ac:dyDescent="0.35">
      <c r="B40" s="97" t="s">
        <v>71</v>
      </c>
      <c r="C40" s="100">
        <v>18230611</v>
      </c>
      <c r="D40" s="100" t="s">
        <v>72</v>
      </c>
      <c r="E40" s="38" t="s">
        <v>1809</v>
      </c>
      <c r="F40" s="39" t="s">
        <v>1810</v>
      </c>
      <c r="G40" s="39">
        <v>0</v>
      </c>
      <c r="H40" s="39"/>
      <c r="I40" s="40"/>
      <c r="J40" s="41">
        <v>13520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0</v>
      </c>
      <c r="Q40" s="44">
        <v>1131.58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1131.58</v>
      </c>
      <c r="Z40" s="44">
        <f t="shared" si="25"/>
        <v>0</v>
      </c>
      <c r="AA40" s="50">
        <f t="shared" si="26"/>
        <v>1131.58</v>
      </c>
      <c r="AB40" s="51">
        <f t="shared" si="27"/>
        <v>0</v>
      </c>
      <c r="AC40" s="44">
        <f t="shared" si="28"/>
        <v>1059.5318352059924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</row>
    <row r="41" spans="2:42" x14ac:dyDescent="0.35">
      <c r="B41" s="97" t="s">
        <v>71</v>
      </c>
      <c r="C41" s="100">
        <v>18230611</v>
      </c>
      <c r="D41" s="100" t="s">
        <v>72</v>
      </c>
      <c r="E41" s="38" t="s">
        <v>1811</v>
      </c>
      <c r="F41" s="39" t="s">
        <v>1812</v>
      </c>
      <c r="G41" s="39">
        <v>45</v>
      </c>
      <c r="H41" s="39"/>
      <c r="I41" s="40" t="s">
        <v>274</v>
      </c>
      <c r="J41" s="41">
        <v>29444</v>
      </c>
      <c r="K41" s="41">
        <v>0.4</v>
      </c>
      <c r="L41" s="41"/>
      <c r="M41" s="42">
        <v>2.2000000000000002</v>
      </c>
      <c r="N41" s="42">
        <v>2.2000000000000002</v>
      </c>
      <c r="O41" s="43">
        <v>11777.6</v>
      </c>
      <c r="P41" s="44">
        <v>86786.01</v>
      </c>
      <c r="Q41" s="44">
        <v>86786.01</v>
      </c>
      <c r="R41" s="45">
        <v>0</v>
      </c>
      <c r="S41" s="46">
        <v>0</v>
      </c>
      <c r="T41" s="39">
        <f t="shared" si="19"/>
        <v>45</v>
      </c>
      <c r="U41" s="47">
        <f t="shared" si="20"/>
        <v>0.38623960271931657</v>
      </c>
      <c r="V41" s="48">
        <f t="shared" si="21"/>
        <v>0</v>
      </c>
      <c r="W41" s="49">
        <f t="shared" si="22"/>
        <v>8.5831022826514791E-3</v>
      </c>
      <c r="X41" s="44">
        <f t="shared" si="23"/>
        <v>2386.7303743401112</v>
      </c>
      <c r="Y41" s="44">
        <f t="shared" si="24"/>
        <v>0</v>
      </c>
      <c r="Z41" s="44">
        <f t="shared" si="25"/>
        <v>40225.780362135127</v>
      </c>
      <c r="AA41" s="50">
        <f t="shared" si="26"/>
        <v>89172.740374340108</v>
      </c>
      <c r="AB41" s="51">
        <f t="shared" si="27"/>
        <v>37664.588354059102</v>
      </c>
      <c r="AC41" s="44">
        <f t="shared" si="28"/>
        <v>83495.075256872762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3.2695302314196475</v>
      </c>
      <c r="AG41" s="44">
        <f t="shared" si="31"/>
        <v>38507.219253568044</v>
      </c>
      <c r="AH41" s="52">
        <f>HLOOKUP(I41,ElecAvoidedCostsWOCC!$A$5:$Q$50,T41+1,FALSE)</f>
        <v>3.2695302314196475</v>
      </c>
      <c r="AI41" s="44">
        <f t="shared" si="32"/>
        <v>0</v>
      </c>
      <c r="AJ41" s="44">
        <f t="shared" si="33"/>
        <v>38507.219253568044</v>
      </c>
      <c r="AK41" s="44">
        <f>HLOOKUP(I41,ElecAvoidedCostsWOCC!$A$5:$Q$50,G41+1,FALSE)*J41*L41</f>
        <v>0</v>
      </c>
      <c r="AL41" s="44">
        <f t="shared" si="34"/>
        <v>38507.219253568044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38507.219253568044</v>
      </c>
      <c r="AN41" s="48">
        <f t="shared" si="35"/>
        <v>42357.941178924855</v>
      </c>
      <c r="AO41" s="47">
        <f t="shared" si="36"/>
        <v>1.0223719662508439</v>
      </c>
      <c r="AP41" s="47">
        <f t="shared" si="37"/>
        <v>0.50731065333626646</v>
      </c>
    </row>
    <row r="42" spans="2:42" x14ac:dyDescent="0.35">
      <c r="B42" s="97" t="s">
        <v>71</v>
      </c>
      <c r="C42" s="100">
        <v>18230611</v>
      </c>
      <c r="D42" s="100" t="s">
        <v>72</v>
      </c>
      <c r="E42" s="38" t="s">
        <v>1815</v>
      </c>
      <c r="F42" s="39" t="s">
        <v>1816</v>
      </c>
      <c r="G42" s="39">
        <v>25</v>
      </c>
      <c r="H42" s="39"/>
      <c r="I42" s="40" t="s">
        <v>274</v>
      </c>
      <c r="J42" s="41">
        <v>6270</v>
      </c>
      <c r="K42" s="41">
        <v>0.37</v>
      </c>
      <c r="L42" s="41"/>
      <c r="M42" s="42">
        <v>1.84</v>
      </c>
      <c r="N42" s="42">
        <v>1.84</v>
      </c>
      <c r="O42" s="43">
        <v>2319.9</v>
      </c>
      <c r="P42" s="44">
        <v>14997.84</v>
      </c>
      <c r="Q42" s="44">
        <v>14997.84</v>
      </c>
      <c r="R42" s="45">
        <v>0.15</v>
      </c>
      <c r="S42" s="46">
        <v>0</v>
      </c>
      <c r="T42" s="39">
        <f t="shared" si="19"/>
        <v>25</v>
      </c>
      <c r="U42" s="47">
        <f t="shared" si="20"/>
        <v>4.2266546209591013E-2</v>
      </c>
      <c r="V42" s="48">
        <f t="shared" si="21"/>
        <v>0</v>
      </c>
      <c r="W42" s="49">
        <f t="shared" si="22"/>
        <v>1.6906618483836405E-3</v>
      </c>
      <c r="X42" s="44">
        <f t="shared" si="23"/>
        <v>470.12768267148004</v>
      </c>
      <c r="Y42" s="44">
        <f t="shared" si="24"/>
        <v>0</v>
      </c>
      <c r="Z42" s="44">
        <f t="shared" si="25"/>
        <v>7923.4978146750827</v>
      </c>
      <c r="AA42" s="50">
        <f t="shared" si="26"/>
        <v>15467.96768267148</v>
      </c>
      <c r="AB42" s="51">
        <f t="shared" si="27"/>
        <v>7419.0054444523239</v>
      </c>
      <c r="AC42" s="44">
        <f t="shared" si="28"/>
        <v>14483.115807744831</v>
      </c>
      <c r="AD42" s="44">
        <f t="shared" si="29"/>
        <v>11160.5300026277</v>
      </c>
      <c r="AE42" s="44">
        <f t="shared" si="30"/>
        <v>0</v>
      </c>
      <c r="AF42" s="52">
        <f>HLOOKUP(I42,ElecAvoidedCostsWOCC!$A$5:$Q$50,G42+1,FALSE)</f>
        <v>1.9455570023927977</v>
      </c>
      <c r="AG42" s="44">
        <f t="shared" si="31"/>
        <v>4513.4976898510513</v>
      </c>
      <c r="AH42" s="52">
        <f>HLOOKUP(I42,ElecAvoidedCostsWOCC!$A$5:$Q$50,T42+1,FALSE)</f>
        <v>1.9455570023927977</v>
      </c>
      <c r="AI42" s="44">
        <f t="shared" si="32"/>
        <v>0</v>
      </c>
      <c r="AJ42" s="44">
        <f t="shared" si="33"/>
        <v>4513.4976898510513</v>
      </c>
      <c r="AK42" s="44">
        <f>HLOOKUP(I42,ElecAvoidedCostsWOCC!$A$5:$Q$50,G42+1,FALSE)*J42*L42</f>
        <v>0</v>
      </c>
      <c r="AL42" s="44">
        <f t="shared" si="34"/>
        <v>4513.4976898510513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4513.4976898510513</v>
      </c>
      <c r="AN42" s="48">
        <f t="shared" si="35"/>
        <v>16125.377461463857</v>
      </c>
      <c r="AO42" s="47">
        <f t="shared" si="36"/>
        <v>0.60836964248706527</v>
      </c>
      <c r="AP42" s="47">
        <f t="shared" si="37"/>
        <v>1.1133914604784716</v>
      </c>
    </row>
    <row r="43" spans="2:42" x14ac:dyDescent="0.35">
      <c r="B43" s="97" t="s">
        <v>71</v>
      </c>
      <c r="C43" s="100">
        <v>18230611</v>
      </c>
      <c r="D43" s="100" t="s">
        <v>72</v>
      </c>
      <c r="E43" s="38" t="s">
        <v>1817</v>
      </c>
      <c r="F43" s="39" t="s">
        <v>1818</v>
      </c>
      <c r="G43" s="39">
        <v>45</v>
      </c>
      <c r="H43" s="39"/>
      <c r="I43" s="40" t="s">
        <v>272</v>
      </c>
      <c r="J43" s="41">
        <v>1824</v>
      </c>
      <c r="K43" s="41">
        <v>0.77</v>
      </c>
      <c r="L43" s="41"/>
      <c r="M43" s="42">
        <v>1.1299999999999999</v>
      </c>
      <c r="N43" s="42">
        <v>1.1299999999999999</v>
      </c>
      <c r="O43" s="43">
        <v>1404.48</v>
      </c>
      <c r="P43" s="44">
        <v>2679.46</v>
      </c>
      <c r="Q43" s="44">
        <v>2679.46</v>
      </c>
      <c r="R43" s="45">
        <v>0.14000000000000001</v>
      </c>
      <c r="S43" s="46">
        <v>0</v>
      </c>
      <c r="T43" s="39">
        <f t="shared" si="19"/>
        <v>45</v>
      </c>
      <c r="U43" s="47">
        <f t="shared" si="20"/>
        <v>4.6059111977586747E-2</v>
      </c>
      <c r="V43" s="48">
        <f t="shared" si="21"/>
        <v>0</v>
      </c>
      <c r="W43" s="49">
        <f t="shared" si="22"/>
        <v>1.02353582172415E-3</v>
      </c>
      <c r="X43" s="44">
        <f t="shared" si="23"/>
        <v>284.61784032003118</v>
      </c>
      <c r="Y43" s="44">
        <f t="shared" si="24"/>
        <v>0</v>
      </c>
      <c r="Z43" s="44">
        <f t="shared" si="25"/>
        <v>4796.9284067222125</v>
      </c>
      <c r="AA43" s="50">
        <f t="shared" si="26"/>
        <v>2964.0778403200311</v>
      </c>
      <c r="AB43" s="51">
        <f t="shared" si="27"/>
        <v>4491.5059988035691</v>
      </c>
      <c r="AC43" s="44">
        <f t="shared" si="28"/>
        <v>2775.3537830711898</v>
      </c>
      <c r="AD43" s="44">
        <f t="shared" si="29"/>
        <v>3560.7860650249941</v>
      </c>
      <c r="AE43" s="44">
        <f t="shared" si="30"/>
        <v>0</v>
      </c>
      <c r="AF43" s="52">
        <f>HLOOKUP(I43,ElecAvoidedCostsWOCC!$A$5:$Q$50,G43+1,FALSE)</f>
        <v>2.9502602387155141</v>
      </c>
      <c r="AG43" s="44">
        <f t="shared" si="31"/>
        <v>4143.5815000711655</v>
      </c>
      <c r="AH43" s="52">
        <f>HLOOKUP(I43,ElecAvoidedCostsWOCC!$A$5:$Q$50,T43+1,FALSE)</f>
        <v>2.9502602387155141</v>
      </c>
      <c r="AI43" s="44">
        <f t="shared" si="32"/>
        <v>0</v>
      </c>
      <c r="AJ43" s="44">
        <f t="shared" si="33"/>
        <v>4143.5815000711655</v>
      </c>
      <c r="AK43" s="44">
        <f>HLOOKUP(I43,ElecAvoidedCostsWOCC!$A$5:$Q$50,G43+1,FALSE)*J43*L43</f>
        <v>0</v>
      </c>
      <c r="AL43" s="44">
        <f t="shared" si="34"/>
        <v>4143.5815000711655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4143.5815000711655</v>
      </c>
      <c r="AN43" s="48">
        <f t="shared" si="35"/>
        <v>8118.7257151032763</v>
      </c>
      <c r="AO43" s="47">
        <f t="shared" si="36"/>
        <v>0.92253722942258509</v>
      </c>
      <c r="AP43" s="47">
        <f t="shared" si="37"/>
        <v>2.925293980401714</v>
      </c>
    </row>
    <row r="44" spans="2:42" x14ac:dyDescent="0.35">
      <c r="B44" s="97" t="s">
        <v>71</v>
      </c>
      <c r="C44" s="100">
        <v>18230611</v>
      </c>
      <c r="D44" s="100" t="s">
        <v>72</v>
      </c>
      <c r="E44" s="38" t="s">
        <v>1819</v>
      </c>
      <c r="F44" s="39" t="s">
        <v>1820</v>
      </c>
      <c r="G44" s="39"/>
      <c r="H44" s="39"/>
      <c r="I44" s="40"/>
      <c r="J44" s="41">
        <v>16607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0</v>
      </c>
      <c r="Q44" s="44">
        <v>0</v>
      </c>
      <c r="R44" s="45">
        <v>0</v>
      </c>
      <c r="S44" s="46">
        <v>0</v>
      </c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97" t="s">
        <v>71</v>
      </c>
      <c r="C45" s="100">
        <v>18230611</v>
      </c>
      <c r="D45" s="100" t="s">
        <v>72</v>
      </c>
      <c r="E45" s="38" t="s">
        <v>1821</v>
      </c>
      <c r="F45" s="39" t="s">
        <v>1822</v>
      </c>
      <c r="G45" s="39">
        <v>45</v>
      </c>
      <c r="H45" s="39"/>
      <c r="I45" s="40" t="s">
        <v>272</v>
      </c>
      <c r="J45" s="41">
        <v>344</v>
      </c>
      <c r="K45" s="41">
        <v>2.0499999999999998</v>
      </c>
      <c r="L45" s="41"/>
      <c r="M45" s="42">
        <v>2.75</v>
      </c>
      <c r="N45" s="42">
        <v>2.75</v>
      </c>
      <c r="O45" s="43">
        <v>705.2</v>
      </c>
      <c r="P45" s="44">
        <v>1229.8</v>
      </c>
      <c r="Q45" s="44">
        <v>1229.8</v>
      </c>
      <c r="R45" s="45">
        <v>0.21</v>
      </c>
      <c r="S45" s="46">
        <v>0</v>
      </c>
      <c r="T45" s="39">
        <f t="shared" si="19"/>
        <v>45</v>
      </c>
      <c r="U45" s="47">
        <f t="shared" si="20"/>
        <v>2.3126627482480473E-2</v>
      </c>
      <c r="V45" s="48">
        <f t="shared" si="21"/>
        <v>0</v>
      </c>
      <c r="W45" s="49">
        <f t="shared" si="22"/>
        <v>5.1392505516623273E-4</v>
      </c>
      <c r="X45" s="44">
        <f t="shared" si="23"/>
        <v>142.90876409324875</v>
      </c>
      <c r="Y45" s="44">
        <f t="shared" si="24"/>
        <v>0</v>
      </c>
      <c r="Z45" s="44">
        <f t="shared" si="25"/>
        <v>2408.5739294404366</v>
      </c>
      <c r="AA45" s="50">
        <f t="shared" si="26"/>
        <v>1372.7087640932486</v>
      </c>
      <c r="AB45" s="51">
        <f t="shared" si="27"/>
        <v>2255.2190350565884</v>
      </c>
      <c r="AC45" s="44">
        <f t="shared" si="28"/>
        <v>1285.3078315479856</v>
      </c>
      <c r="AD45" s="44">
        <f t="shared" si="29"/>
        <v>1007.3276368162813</v>
      </c>
      <c r="AE45" s="44">
        <f t="shared" si="30"/>
        <v>0</v>
      </c>
      <c r="AF45" s="52">
        <f>HLOOKUP(I45,ElecAvoidedCostsWOCC!$A$5:$Q$50,G45+1,FALSE)</f>
        <v>2.9502602387155141</v>
      </c>
      <c r="AG45" s="44">
        <f t="shared" si="31"/>
        <v>2080.5235203421803</v>
      </c>
      <c r="AH45" s="52">
        <f>HLOOKUP(I45,ElecAvoidedCostsWOCC!$A$5:$Q$50,T45+1,FALSE)</f>
        <v>2.9502602387155141</v>
      </c>
      <c r="AI45" s="44">
        <f t="shared" si="32"/>
        <v>0</v>
      </c>
      <c r="AJ45" s="44">
        <f t="shared" si="33"/>
        <v>2080.5235203421803</v>
      </c>
      <c r="AK45" s="44">
        <f>HLOOKUP(I45,ElecAvoidedCostsWOCC!$A$5:$Q$50,G45+1,FALSE)*J45*L45</f>
        <v>0</v>
      </c>
      <c r="AL45" s="44">
        <f t="shared" si="34"/>
        <v>2080.5235203421803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2080.5235203421803</v>
      </c>
      <c r="AN45" s="48">
        <f t="shared" si="35"/>
        <v>3295.9035091926798</v>
      </c>
      <c r="AO45" s="47">
        <f t="shared" si="36"/>
        <v>0.92253722942258487</v>
      </c>
      <c r="AP45" s="47">
        <f t="shared" si="37"/>
        <v>2.5642911591250432</v>
      </c>
    </row>
    <row r="46" spans="2:42" x14ac:dyDescent="0.35">
      <c r="B46" s="97" t="s">
        <v>71</v>
      </c>
      <c r="C46" s="100">
        <v>18230611</v>
      </c>
      <c r="D46" s="100" t="s">
        <v>72</v>
      </c>
      <c r="E46" s="38" t="s">
        <v>1825</v>
      </c>
      <c r="F46" s="39" t="s">
        <v>1826</v>
      </c>
      <c r="G46" s="39">
        <v>25</v>
      </c>
      <c r="H46" s="39"/>
      <c r="I46" s="40" t="s">
        <v>274</v>
      </c>
      <c r="J46" s="41">
        <v>200</v>
      </c>
      <c r="K46" s="41">
        <v>4.58</v>
      </c>
      <c r="L46" s="41"/>
      <c r="M46" s="42">
        <v>2.75</v>
      </c>
      <c r="N46" s="42">
        <v>2.75</v>
      </c>
      <c r="O46" s="43">
        <v>916</v>
      </c>
      <c r="P46" s="44">
        <v>715</v>
      </c>
      <c r="Q46" s="44">
        <v>715</v>
      </c>
      <c r="R46" s="45">
        <v>4.8099999999999996</v>
      </c>
      <c r="S46" s="46">
        <v>0</v>
      </c>
      <c r="T46" s="39">
        <f t="shared" si="19"/>
        <v>25</v>
      </c>
      <c r="U46" s="47">
        <f t="shared" si="20"/>
        <v>1.6688717758517765E-2</v>
      </c>
      <c r="V46" s="48">
        <f t="shared" si="21"/>
        <v>0</v>
      </c>
      <c r="W46" s="49">
        <f t="shared" si="22"/>
        <v>6.6754871034071064E-4</v>
      </c>
      <c r="X46" s="44">
        <f t="shared" si="23"/>
        <v>185.62737933836618</v>
      </c>
      <c r="Y46" s="44">
        <f t="shared" si="24"/>
        <v>0</v>
      </c>
      <c r="Z46" s="44">
        <f t="shared" si="25"/>
        <v>3128.5503677927391</v>
      </c>
      <c r="AA46" s="50">
        <f t="shared" si="26"/>
        <v>900.62737933836615</v>
      </c>
      <c r="AB46" s="51">
        <f t="shared" si="27"/>
        <v>2929.3542769594933</v>
      </c>
      <c r="AC46" s="44">
        <f t="shared" si="28"/>
        <v>843.28406305090459</v>
      </c>
      <c r="AD46" s="44">
        <f t="shared" si="29"/>
        <v>11415.661735808448</v>
      </c>
      <c r="AE46" s="44">
        <f t="shared" si="30"/>
        <v>0</v>
      </c>
      <c r="AF46" s="52">
        <f>HLOOKUP(I46,ElecAvoidedCostsWOCC!$A$5:$Q$50,G46+1,FALSE)</f>
        <v>1.9455570023927977</v>
      </c>
      <c r="AG46" s="44">
        <f t="shared" si="31"/>
        <v>1782.1302141918027</v>
      </c>
      <c r="AH46" s="52">
        <f>HLOOKUP(I46,ElecAvoidedCostsWOCC!$A$5:$Q$50,T46+1,FALSE)</f>
        <v>1.9455570023927977</v>
      </c>
      <c r="AI46" s="44">
        <f t="shared" si="32"/>
        <v>0</v>
      </c>
      <c r="AJ46" s="44">
        <f t="shared" si="33"/>
        <v>1782.1302141918027</v>
      </c>
      <c r="AK46" s="44">
        <f>HLOOKUP(I46,ElecAvoidedCostsWOCC!$A$5:$Q$50,G46+1,FALSE)*J46*L46</f>
        <v>0</v>
      </c>
      <c r="AL46" s="44">
        <f t="shared" si="34"/>
        <v>1782.1302141918027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1782.1302141918029</v>
      </c>
      <c r="AN46" s="48">
        <f t="shared" si="35"/>
        <v>13376.004971419432</v>
      </c>
      <c r="AO46" s="47">
        <f t="shared" si="36"/>
        <v>0.60836964248706538</v>
      </c>
      <c r="AP46" s="47">
        <f t="shared" si="37"/>
        <v>15.861802158369491</v>
      </c>
    </row>
    <row r="47" spans="2:42" x14ac:dyDescent="0.35">
      <c r="B47" s="97" t="s">
        <v>71</v>
      </c>
      <c r="C47" s="100">
        <v>18230611</v>
      </c>
      <c r="D47" s="100" t="s">
        <v>72</v>
      </c>
      <c r="E47" s="38" t="s">
        <v>1827</v>
      </c>
      <c r="F47" s="39" t="s">
        <v>1828</v>
      </c>
      <c r="G47" s="39"/>
      <c r="H47" s="39"/>
      <c r="I47" s="40"/>
      <c r="J47" s="41">
        <v>13364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3857.64</v>
      </c>
      <c r="R47" s="45">
        <v>0</v>
      </c>
      <c r="S47" s="46">
        <v>0</v>
      </c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3857.64</v>
      </c>
      <c r="Z47" s="44">
        <f t="shared" si="25"/>
        <v>0</v>
      </c>
      <c r="AA47" s="50">
        <f t="shared" si="26"/>
        <v>3857.64</v>
      </c>
      <c r="AB47" s="51">
        <f t="shared" si="27"/>
        <v>0</v>
      </c>
      <c r="AC47" s="44">
        <f t="shared" si="28"/>
        <v>3612.022471910112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>
        <f t="shared" si="37"/>
        <v>0</v>
      </c>
    </row>
    <row r="48" spans="2:42" x14ac:dyDescent="0.35">
      <c r="B48" s="97" t="s">
        <v>71</v>
      </c>
      <c r="C48" s="100">
        <v>18230611</v>
      </c>
      <c r="D48" s="100" t="s">
        <v>72</v>
      </c>
      <c r="E48" s="38" t="s">
        <v>1829</v>
      </c>
      <c r="F48" s="39" t="s">
        <v>1830</v>
      </c>
      <c r="G48" s="39">
        <v>45</v>
      </c>
      <c r="H48" s="39"/>
      <c r="I48" s="40" t="s">
        <v>274</v>
      </c>
      <c r="J48" s="41">
        <v>8131</v>
      </c>
      <c r="K48" s="41">
        <v>0.83</v>
      </c>
      <c r="L48" s="41"/>
      <c r="M48" s="42">
        <v>2.75</v>
      </c>
      <c r="N48" s="42">
        <v>2.75</v>
      </c>
      <c r="O48" s="43">
        <v>6748.73</v>
      </c>
      <c r="P48" s="44">
        <v>35845.97</v>
      </c>
      <c r="Q48" s="44">
        <v>35845.97</v>
      </c>
      <c r="R48" s="45">
        <v>0.13</v>
      </c>
      <c r="S48" s="46">
        <v>0</v>
      </c>
      <c r="T48" s="39">
        <f t="shared" si="19"/>
        <v>45</v>
      </c>
      <c r="U48" s="47">
        <f t="shared" si="20"/>
        <v>0.22132070999693765</v>
      </c>
      <c r="V48" s="48">
        <f t="shared" si="21"/>
        <v>0</v>
      </c>
      <c r="W48" s="49">
        <f t="shared" si="22"/>
        <v>4.9182379999319478E-3</v>
      </c>
      <c r="X48" s="44">
        <f t="shared" si="23"/>
        <v>1367.6299822731573</v>
      </c>
      <c r="Y48" s="44">
        <f t="shared" si="24"/>
        <v>0</v>
      </c>
      <c r="Z48" s="44">
        <f t="shared" si="25"/>
        <v>23049.936379512983</v>
      </c>
      <c r="AA48" s="50">
        <f t="shared" si="26"/>
        <v>37213.599982273161</v>
      </c>
      <c r="AB48" s="51">
        <f t="shared" si="27"/>
        <v>21582.337434000918</v>
      </c>
      <c r="AC48" s="44">
        <f t="shared" si="28"/>
        <v>34844.19473995614</v>
      </c>
      <c r="AD48" s="44">
        <f t="shared" si="29"/>
        <v>14739.417662568021</v>
      </c>
      <c r="AE48" s="44">
        <f t="shared" si="30"/>
        <v>0</v>
      </c>
      <c r="AF48" s="52">
        <f>HLOOKUP(I48,ElecAvoidedCostsWOCC!$A$5:$Q$50,G48+1,FALSE)</f>
        <v>3.2695302314196475</v>
      </c>
      <c r="AG48" s="44">
        <f t="shared" si="31"/>
        <v>22065.176758688714</v>
      </c>
      <c r="AH48" s="52">
        <f>HLOOKUP(I48,ElecAvoidedCostsWOCC!$A$5:$Q$50,T48+1,FALSE)</f>
        <v>3.2695302314196475</v>
      </c>
      <c r="AI48" s="44">
        <f t="shared" si="32"/>
        <v>0</v>
      </c>
      <c r="AJ48" s="44">
        <f t="shared" si="33"/>
        <v>22065.176758688714</v>
      </c>
      <c r="AK48" s="44">
        <f>HLOOKUP(I48,ElecAvoidedCostsWOCC!$A$5:$Q$50,G48+1,FALSE)*J48*L48</f>
        <v>0</v>
      </c>
      <c r="AL48" s="44">
        <f t="shared" si="34"/>
        <v>22065.176758688714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22065.176758688718</v>
      </c>
      <c r="AN48" s="48">
        <f t="shared" si="35"/>
        <v>39011.11209712561</v>
      </c>
      <c r="AO48" s="47">
        <f t="shared" si="36"/>
        <v>1.0223719662508441</v>
      </c>
      <c r="AP48" s="47">
        <f t="shared" si="37"/>
        <v>1.119587133187246</v>
      </c>
    </row>
    <row r="49" spans="2:42" x14ac:dyDescent="0.35">
      <c r="B49" s="97" t="s">
        <v>71</v>
      </c>
      <c r="C49" s="100">
        <v>18230611</v>
      </c>
      <c r="D49" s="100" t="s">
        <v>72</v>
      </c>
      <c r="E49" s="38" t="s">
        <v>1833</v>
      </c>
      <c r="F49" s="39" t="s">
        <v>1834</v>
      </c>
      <c r="G49" s="39"/>
      <c r="H49" s="39"/>
      <c r="I49" s="40"/>
      <c r="J49" s="41">
        <v>2985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0</v>
      </c>
      <c r="Q49" s="44">
        <v>3246.08</v>
      </c>
      <c r="R49" s="45">
        <v>0</v>
      </c>
      <c r="S49" s="46">
        <v>0</v>
      </c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3246.08</v>
      </c>
      <c r="Z49" s="44">
        <f t="shared" si="25"/>
        <v>0</v>
      </c>
      <c r="AA49" s="50">
        <f t="shared" si="26"/>
        <v>3246.08</v>
      </c>
      <c r="AB49" s="51">
        <f t="shared" si="27"/>
        <v>0</v>
      </c>
      <c r="AC49" s="44">
        <f t="shared" si="28"/>
        <v>3039.40074906367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>
        <f t="shared" si="37"/>
        <v>0</v>
      </c>
    </row>
    <row r="50" spans="2:42" x14ac:dyDescent="0.35">
      <c r="B50" s="97" t="s">
        <v>71</v>
      </c>
      <c r="C50" s="100">
        <v>18230611</v>
      </c>
      <c r="D50" s="100" t="s">
        <v>72</v>
      </c>
      <c r="E50" s="38" t="s">
        <v>1835</v>
      </c>
      <c r="F50" s="39" t="s">
        <v>1836</v>
      </c>
      <c r="G50" s="39">
        <v>25</v>
      </c>
      <c r="H50" s="39"/>
      <c r="I50" s="40" t="s">
        <v>274</v>
      </c>
      <c r="J50" s="41">
        <v>31128</v>
      </c>
      <c r="K50" s="41">
        <v>0.93</v>
      </c>
      <c r="L50" s="41"/>
      <c r="M50" s="42">
        <v>2.0299999999999998</v>
      </c>
      <c r="N50" s="42">
        <v>2.0299999999999998</v>
      </c>
      <c r="O50" s="43">
        <v>28949.040000000001</v>
      </c>
      <c r="P50" s="44">
        <v>83546.95</v>
      </c>
      <c r="Q50" s="44">
        <v>83546.95</v>
      </c>
      <c r="R50" s="45">
        <v>0.28999999999999998</v>
      </c>
      <c r="S50" s="46">
        <v>0</v>
      </c>
      <c r="T50" s="39">
        <f t="shared" si="19"/>
        <v>25</v>
      </c>
      <c r="U50" s="47">
        <f t="shared" si="20"/>
        <v>0.52742615495637679</v>
      </c>
      <c r="V50" s="48">
        <f t="shared" si="21"/>
        <v>0</v>
      </c>
      <c r="W50" s="49">
        <f t="shared" si="22"/>
        <v>2.1097046198255073E-2</v>
      </c>
      <c r="X50" s="44">
        <f t="shared" si="23"/>
        <v>5866.5223030147781</v>
      </c>
      <c r="Y50" s="44">
        <f t="shared" si="24"/>
        <v>0</v>
      </c>
      <c r="Z50" s="44">
        <f t="shared" si="25"/>
        <v>98873.940763369785</v>
      </c>
      <c r="AA50" s="50">
        <f t="shared" si="26"/>
        <v>89413.472303014772</v>
      </c>
      <c r="AB50" s="51">
        <f t="shared" si="27"/>
        <v>92578.596220383683</v>
      </c>
      <c r="AC50" s="44">
        <f t="shared" si="28"/>
        <v>83720.47968447076</v>
      </c>
      <c r="AD50" s="44">
        <f t="shared" si="29"/>
        <v>107121.15215026106</v>
      </c>
      <c r="AE50" s="44">
        <f t="shared" si="30"/>
        <v>0</v>
      </c>
      <c r="AF50" s="52">
        <f>HLOOKUP(I50,ElecAvoidedCostsWOCC!$A$5:$Q$50,G50+1,FALSE)</f>
        <v>1.9455570023927977</v>
      </c>
      <c r="AG50" s="44">
        <f t="shared" si="31"/>
        <v>56322.007484549198</v>
      </c>
      <c r="AH50" s="52">
        <f>HLOOKUP(I50,ElecAvoidedCostsWOCC!$A$5:$Q$50,T50+1,FALSE)</f>
        <v>1.9455570023927977</v>
      </c>
      <c r="AI50" s="44">
        <f t="shared" si="32"/>
        <v>0</v>
      </c>
      <c r="AJ50" s="44">
        <f t="shared" si="33"/>
        <v>56322.007484549198</v>
      </c>
      <c r="AK50" s="44">
        <f>HLOOKUP(I50,ElecAvoidedCostsWOCC!$A$5:$Q$50,G50+1,FALSE)*J50*L50</f>
        <v>0</v>
      </c>
      <c r="AL50" s="44">
        <f t="shared" si="34"/>
        <v>56322.007484549198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56322.007484549198</v>
      </c>
      <c r="AN50" s="48">
        <f t="shared" si="35"/>
        <v>169075.36038326519</v>
      </c>
      <c r="AO50" s="47">
        <f t="shared" si="36"/>
        <v>0.60836964248706538</v>
      </c>
      <c r="AP50" s="47">
        <f t="shared" si="37"/>
        <v>2.019522117174716</v>
      </c>
    </row>
    <row r="51" spans="2:42" x14ac:dyDescent="0.35">
      <c r="B51" s="97" t="s">
        <v>71</v>
      </c>
      <c r="C51" s="100">
        <v>18230611</v>
      </c>
      <c r="D51" s="100" t="s">
        <v>72</v>
      </c>
      <c r="E51" s="38" t="s">
        <v>1839</v>
      </c>
      <c r="F51" s="39" t="s">
        <v>1840</v>
      </c>
      <c r="G51" s="39"/>
      <c r="H51" s="39"/>
      <c r="I51" s="40"/>
      <c r="J51" s="41">
        <v>2089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97" t="s">
        <v>71</v>
      </c>
      <c r="C52" s="100">
        <v>18230611</v>
      </c>
      <c r="D52" s="100" t="s">
        <v>72</v>
      </c>
      <c r="E52" s="38" t="s">
        <v>1841</v>
      </c>
      <c r="F52" s="39" t="s">
        <v>1842</v>
      </c>
      <c r="G52" s="39">
        <v>45</v>
      </c>
      <c r="H52" s="39"/>
      <c r="I52" s="40" t="s">
        <v>274</v>
      </c>
      <c r="J52" s="41">
        <v>5463</v>
      </c>
      <c r="K52" s="41">
        <v>1.35</v>
      </c>
      <c r="L52" s="41"/>
      <c r="M52" s="42">
        <v>2.4300000000000002</v>
      </c>
      <c r="N52" s="42">
        <v>2.4300000000000002</v>
      </c>
      <c r="O52" s="43">
        <v>7375.05</v>
      </c>
      <c r="P52" s="44">
        <v>10740.69</v>
      </c>
      <c r="Q52" s="44">
        <v>10740.69</v>
      </c>
      <c r="R52" s="45">
        <v>0.18</v>
      </c>
      <c r="S52" s="46">
        <v>0</v>
      </c>
      <c r="T52" s="39">
        <f t="shared" si="19"/>
        <v>45</v>
      </c>
      <c r="U52" s="47">
        <f t="shared" si="20"/>
        <v>0.24186051335035114</v>
      </c>
      <c r="V52" s="48">
        <f t="shared" si="21"/>
        <v>0</v>
      </c>
      <c r="W52" s="49">
        <f t="shared" si="22"/>
        <v>5.3746780744522472E-3</v>
      </c>
      <c r="X52" s="44">
        <f t="shared" si="23"/>
        <v>1494.5537161456525</v>
      </c>
      <c r="Y52" s="44">
        <f t="shared" si="24"/>
        <v>0</v>
      </c>
      <c r="Z52" s="44">
        <f t="shared" si="25"/>
        <v>25189.099770731271</v>
      </c>
      <c r="AA52" s="50">
        <f t="shared" si="26"/>
        <v>12235.243716145653</v>
      </c>
      <c r="AB52" s="51">
        <f t="shared" si="27"/>
        <v>23585.29941079707</v>
      </c>
      <c r="AC52" s="44">
        <f t="shared" si="28"/>
        <v>11456.220708001547</v>
      </c>
      <c r="AD52" s="44">
        <f t="shared" si="29"/>
        <v>13711.870963274114</v>
      </c>
      <c r="AE52" s="44">
        <f t="shared" si="30"/>
        <v>0</v>
      </c>
      <c r="AF52" s="52">
        <f>HLOOKUP(I52,ElecAvoidedCostsWOCC!$A$5:$Q$50,G52+1,FALSE)</f>
        <v>3.2695302314196475</v>
      </c>
      <c r="AG52" s="44">
        <f t="shared" si="31"/>
        <v>24112.94893323147</v>
      </c>
      <c r="AH52" s="52">
        <f>HLOOKUP(I52,ElecAvoidedCostsWOCC!$A$5:$Q$50,T52+1,FALSE)</f>
        <v>3.2695302314196475</v>
      </c>
      <c r="AI52" s="44">
        <f t="shared" si="32"/>
        <v>0</v>
      </c>
      <c r="AJ52" s="44">
        <f t="shared" si="33"/>
        <v>24112.94893323147</v>
      </c>
      <c r="AK52" s="44">
        <f>HLOOKUP(I52,ElecAvoidedCostsWOCC!$A$5:$Q$50,G52+1,FALSE)*J52*L52</f>
        <v>0</v>
      </c>
      <c r="AL52" s="44">
        <f t="shared" si="34"/>
        <v>24112.94893323147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24112.948933231473</v>
      </c>
      <c r="AN52" s="48">
        <f t="shared" si="35"/>
        <v>40236.114789828738</v>
      </c>
      <c r="AO52" s="47">
        <f t="shared" si="36"/>
        <v>1.0223719662508439</v>
      </c>
      <c r="AP52" s="47">
        <f t="shared" si="37"/>
        <v>3.5121630261300747</v>
      </c>
    </row>
    <row r="53" spans="2:42" x14ac:dyDescent="0.35">
      <c r="B53" s="97" t="s">
        <v>71</v>
      </c>
      <c r="C53" s="100">
        <v>18230611</v>
      </c>
      <c r="D53" s="100" t="s">
        <v>72</v>
      </c>
      <c r="E53" s="38" t="s">
        <v>1845</v>
      </c>
      <c r="F53" s="39" t="s">
        <v>1846</v>
      </c>
      <c r="G53" s="39"/>
      <c r="H53" s="39"/>
      <c r="I53" s="40"/>
      <c r="J53" s="41">
        <v>5471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2.86</v>
      </c>
      <c r="R53" s="45">
        <v>0</v>
      </c>
      <c r="S53" s="46">
        <v>0</v>
      </c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2.86</v>
      </c>
      <c r="Z53" s="44">
        <f t="shared" si="25"/>
        <v>0</v>
      </c>
      <c r="AA53" s="50">
        <f t="shared" si="26"/>
        <v>2.86</v>
      </c>
      <c r="AB53" s="51">
        <f t="shared" si="27"/>
        <v>0</v>
      </c>
      <c r="AC53" s="44">
        <f t="shared" si="28"/>
        <v>2.6779026217228461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</row>
    <row r="54" spans="2:42" x14ac:dyDescent="0.35">
      <c r="B54" s="97" t="s">
        <v>71</v>
      </c>
      <c r="C54" s="100">
        <v>18230611</v>
      </c>
      <c r="D54" s="100" t="s">
        <v>72</v>
      </c>
      <c r="E54" s="38" t="s">
        <v>1847</v>
      </c>
      <c r="F54" s="39" t="s">
        <v>1848</v>
      </c>
      <c r="G54" s="39">
        <v>45</v>
      </c>
      <c r="H54" s="39"/>
      <c r="I54" s="40" t="s">
        <v>274</v>
      </c>
      <c r="J54" s="41">
        <v>6577</v>
      </c>
      <c r="K54" s="41">
        <v>0.36</v>
      </c>
      <c r="L54" s="41"/>
      <c r="M54" s="42">
        <v>1.59</v>
      </c>
      <c r="N54" s="42">
        <v>1.59</v>
      </c>
      <c r="O54" s="43">
        <v>2367.7199999999998</v>
      </c>
      <c r="P54" s="44">
        <v>14110.69</v>
      </c>
      <c r="Q54" s="44">
        <v>14110.69</v>
      </c>
      <c r="R54" s="45">
        <v>0.09</v>
      </c>
      <c r="S54" s="46">
        <v>0</v>
      </c>
      <c r="T54" s="39">
        <f t="shared" si="19"/>
        <v>45</v>
      </c>
      <c r="U54" s="47">
        <f t="shared" si="20"/>
        <v>7.7648012511087147E-2</v>
      </c>
      <c r="V54" s="48">
        <f t="shared" si="21"/>
        <v>0</v>
      </c>
      <c r="W54" s="49">
        <f t="shared" si="22"/>
        <v>1.7255113891352699E-3</v>
      </c>
      <c r="X54" s="44">
        <f t="shared" si="23"/>
        <v>479.81840459283444</v>
      </c>
      <c r="Y54" s="44">
        <f t="shared" si="24"/>
        <v>0</v>
      </c>
      <c r="Z54" s="44">
        <f t="shared" si="25"/>
        <v>8086.8245380242624</v>
      </c>
      <c r="AA54" s="50">
        <f t="shared" si="26"/>
        <v>14590.508404592834</v>
      </c>
      <c r="AB54" s="51">
        <f t="shared" si="27"/>
        <v>7571.9330880376983</v>
      </c>
      <c r="AC54" s="44">
        <f t="shared" si="28"/>
        <v>13661.52472340153</v>
      </c>
      <c r="AD54" s="44">
        <f t="shared" si="29"/>
        <v>8253.9790706071617</v>
      </c>
      <c r="AE54" s="44">
        <f t="shared" si="30"/>
        <v>0</v>
      </c>
      <c r="AF54" s="52">
        <f>HLOOKUP(I54,ElecAvoidedCostsWOCC!$A$5:$Q$50,G54+1,FALSE)</f>
        <v>3.2695302314196475</v>
      </c>
      <c r="AG54" s="44">
        <f t="shared" si="31"/>
        <v>7741.3321195369272</v>
      </c>
      <c r="AH54" s="52">
        <f>HLOOKUP(I54,ElecAvoidedCostsWOCC!$A$5:$Q$50,T54+1,FALSE)</f>
        <v>3.2695302314196475</v>
      </c>
      <c r="AI54" s="44">
        <f t="shared" si="32"/>
        <v>0</v>
      </c>
      <c r="AJ54" s="44">
        <f t="shared" si="33"/>
        <v>7741.3321195369272</v>
      </c>
      <c r="AK54" s="44">
        <f>HLOOKUP(I54,ElecAvoidedCostsWOCC!$A$5:$Q$50,G54+1,FALSE)*J54*L54</f>
        <v>0</v>
      </c>
      <c r="AL54" s="44">
        <f t="shared" si="34"/>
        <v>7741.3321195369272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7741.3321195369272</v>
      </c>
      <c r="AN54" s="48">
        <f t="shared" si="35"/>
        <v>16769.444402097783</v>
      </c>
      <c r="AO54" s="47">
        <f t="shared" si="36"/>
        <v>1.0223719662508441</v>
      </c>
      <c r="AP54" s="47">
        <f t="shared" si="37"/>
        <v>1.2274943493951693</v>
      </c>
    </row>
    <row r="55" spans="2:42" x14ac:dyDescent="0.35">
      <c r="B55" s="97" t="s">
        <v>71</v>
      </c>
      <c r="C55" s="100">
        <v>18230611</v>
      </c>
      <c r="D55" s="100" t="s">
        <v>72</v>
      </c>
      <c r="E55" s="38" t="s">
        <v>1851</v>
      </c>
      <c r="F55" s="39" t="s">
        <v>1852</v>
      </c>
      <c r="G55" s="39">
        <v>45</v>
      </c>
      <c r="H55" s="39"/>
      <c r="I55" s="40" t="s">
        <v>274</v>
      </c>
      <c r="J55" s="41">
        <v>4487</v>
      </c>
      <c r="K55" s="41">
        <v>0.17</v>
      </c>
      <c r="L55" s="41"/>
      <c r="M55" s="42">
        <v>1.29</v>
      </c>
      <c r="N55" s="42">
        <v>1.29</v>
      </c>
      <c r="O55" s="43">
        <v>762.79</v>
      </c>
      <c r="P55" s="44">
        <v>8715.69</v>
      </c>
      <c r="Q55" s="44">
        <v>8715.69</v>
      </c>
      <c r="R55" s="45">
        <v>7.0000000000000007E-2</v>
      </c>
      <c r="S55" s="46">
        <v>0</v>
      </c>
      <c r="T55" s="39">
        <f t="shared" si="19"/>
        <v>45</v>
      </c>
      <c r="U55" s="47">
        <f t="shared" si="20"/>
        <v>2.5015258334318322E-2</v>
      </c>
      <c r="V55" s="48">
        <f t="shared" si="21"/>
        <v>0</v>
      </c>
      <c r="W55" s="49">
        <f t="shared" si="22"/>
        <v>5.5589462965151824E-4</v>
      </c>
      <c r="X55" s="44">
        <f t="shared" si="23"/>
        <v>154.57937629422744</v>
      </c>
      <c r="Y55" s="44">
        <f t="shared" si="24"/>
        <v>0</v>
      </c>
      <c r="Z55" s="44">
        <f t="shared" si="25"/>
        <v>2605.2695797474062</v>
      </c>
      <c r="AA55" s="50">
        <f t="shared" si="26"/>
        <v>8870.2693762942272</v>
      </c>
      <c r="AB55" s="51">
        <f t="shared" si="27"/>
        <v>2439.3909922728521</v>
      </c>
      <c r="AC55" s="44">
        <f t="shared" si="28"/>
        <v>8305.4956706874782</v>
      </c>
      <c r="AD55" s="44">
        <f t="shared" si="29"/>
        <v>4379.7278162738894</v>
      </c>
      <c r="AE55" s="44">
        <f t="shared" si="30"/>
        <v>0</v>
      </c>
      <c r="AF55" s="52">
        <f>HLOOKUP(I55,ElecAvoidedCostsWOCC!$A$5:$Q$50,G55+1,FALSE)</f>
        <v>3.2695302314196475</v>
      </c>
      <c r="AG55" s="44">
        <f t="shared" si="31"/>
        <v>2493.964965224593</v>
      </c>
      <c r="AH55" s="52">
        <f>HLOOKUP(I55,ElecAvoidedCostsWOCC!$A$5:$Q$50,T55+1,FALSE)</f>
        <v>3.2695302314196475</v>
      </c>
      <c r="AI55" s="44">
        <f t="shared" si="32"/>
        <v>0</v>
      </c>
      <c r="AJ55" s="44">
        <f t="shared" si="33"/>
        <v>2493.964965224593</v>
      </c>
      <c r="AK55" s="44">
        <f>HLOOKUP(I55,ElecAvoidedCostsWOCC!$A$5:$Q$50,G55+1,FALSE)*J55*L55</f>
        <v>0</v>
      </c>
      <c r="AL55" s="44">
        <f t="shared" si="34"/>
        <v>2493.964965224593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2493.964965224593</v>
      </c>
      <c r="AN55" s="48">
        <f t="shared" si="35"/>
        <v>7123.0892780209415</v>
      </c>
      <c r="AO55" s="47">
        <f t="shared" si="36"/>
        <v>1.0223719662508439</v>
      </c>
      <c r="AP55" s="47">
        <f t="shared" si="37"/>
        <v>0.85763566203043196</v>
      </c>
    </row>
    <row r="56" spans="2:42" x14ac:dyDescent="0.35">
      <c r="B56" s="97" t="s">
        <v>71</v>
      </c>
      <c r="C56" s="100">
        <v>18230611</v>
      </c>
      <c r="D56" s="100" t="s">
        <v>72</v>
      </c>
      <c r="E56" s="38" t="s">
        <v>1853</v>
      </c>
      <c r="F56" s="39" t="s">
        <v>1854</v>
      </c>
      <c r="G56" s="39"/>
      <c r="H56" s="39"/>
      <c r="I56" s="40"/>
      <c r="J56" s="41">
        <v>10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44.99</v>
      </c>
      <c r="R56" s="45">
        <v>0</v>
      </c>
      <c r="S56" s="46">
        <v>0</v>
      </c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44.99</v>
      </c>
      <c r="Z56" s="44">
        <f t="shared" si="25"/>
        <v>0</v>
      </c>
      <c r="AA56" s="50">
        <f t="shared" si="26"/>
        <v>44.99</v>
      </c>
      <c r="AB56" s="51">
        <f t="shared" si="27"/>
        <v>0</v>
      </c>
      <c r="AC56" s="44">
        <f t="shared" si="28"/>
        <v>42.125468164794007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>
        <f t="shared" si="37"/>
        <v>0</v>
      </c>
    </row>
    <row r="57" spans="2:42" x14ac:dyDescent="0.35">
      <c r="B57" s="97" t="s">
        <v>71</v>
      </c>
      <c r="C57" s="100">
        <v>18230611</v>
      </c>
      <c r="D57" s="100" t="s">
        <v>72</v>
      </c>
      <c r="E57" s="38" t="s">
        <v>1855</v>
      </c>
      <c r="F57" s="39" t="s">
        <v>1856</v>
      </c>
      <c r="G57" s="39"/>
      <c r="H57" s="39"/>
      <c r="I57" s="40"/>
      <c r="J57" s="41">
        <v>429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7017.21</v>
      </c>
      <c r="Q57" s="44">
        <v>7017.21</v>
      </c>
      <c r="R57" s="45">
        <v>0</v>
      </c>
      <c r="S57" s="46">
        <v>0</v>
      </c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7017.21</v>
      </c>
      <c r="AB57" s="51">
        <f t="shared" si="27"/>
        <v>0</v>
      </c>
      <c r="AC57" s="44">
        <f t="shared" si="28"/>
        <v>6570.4213483146068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>
        <f t="shared" si="37"/>
        <v>0</v>
      </c>
    </row>
    <row r="58" spans="2:42" x14ac:dyDescent="0.35">
      <c r="B58" s="97" t="s">
        <v>71</v>
      </c>
      <c r="C58" s="100">
        <v>18230611</v>
      </c>
      <c r="D58" s="100" t="s">
        <v>72</v>
      </c>
      <c r="E58" s="38" t="s">
        <v>1857</v>
      </c>
      <c r="F58" s="39" t="s">
        <v>1858</v>
      </c>
      <c r="G58" s="39"/>
      <c r="H58" s="39"/>
      <c r="I58" s="40"/>
      <c r="J58" s="41">
        <v>10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0</v>
      </c>
      <c r="Q58" s="44">
        <v>57.01</v>
      </c>
      <c r="R58" s="45">
        <v>0</v>
      </c>
      <c r="S58" s="46">
        <v>0</v>
      </c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57.01</v>
      </c>
      <c r="Z58" s="44">
        <f t="shared" si="25"/>
        <v>0</v>
      </c>
      <c r="AA58" s="50">
        <f t="shared" si="26"/>
        <v>57.01</v>
      </c>
      <c r="AB58" s="51">
        <f t="shared" si="27"/>
        <v>0</v>
      </c>
      <c r="AC58" s="44">
        <f t="shared" si="28"/>
        <v>53.380149812734075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>
        <f t="shared" si="37"/>
        <v>0</v>
      </c>
    </row>
    <row r="59" spans="2:42" x14ac:dyDescent="0.35">
      <c r="B59" s="97" t="s">
        <v>71</v>
      </c>
      <c r="C59" s="100">
        <v>18230611</v>
      </c>
      <c r="D59" s="100" t="s">
        <v>72</v>
      </c>
      <c r="E59" s="38" t="s">
        <v>1859</v>
      </c>
      <c r="F59" s="39" t="s">
        <v>1860</v>
      </c>
      <c r="G59" s="39"/>
      <c r="H59" s="39"/>
      <c r="I59" s="40"/>
      <c r="J59" s="41">
        <v>401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7106.5</v>
      </c>
      <c r="Q59" s="44">
        <v>7106.5</v>
      </c>
      <c r="R59" s="45">
        <v>0</v>
      </c>
      <c r="S59" s="46">
        <v>0</v>
      </c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7106.5</v>
      </c>
      <c r="AB59" s="51">
        <f t="shared" si="27"/>
        <v>0</v>
      </c>
      <c r="AC59" s="44">
        <f t="shared" si="28"/>
        <v>6654.0262172284638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>
        <f t="shared" si="37"/>
        <v>0</v>
      </c>
    </row>
    <row r="60" spans="2:42" x14ac:dyDescent="0.35">
      <c r="B60" s="97" t="s">
        <v>71</v>
      </c>
      <c r="C60" s="100">
        <v>18230611</v>
      </c>
      <c r="D60" s="100" t="s">
        <v>72</v>
      </c>
      <c r="E60" s="38" t="s">
        <v>1861</v>
      </c>
      <c r="F60" s="39" t="s">
        <v>1862</v>
      </c>
      <c r="G60" s="39"/>
      <c r="H60" s="39"/>
      <c r="I60" s="40"/>
      <c r="J60" s="41">
        <v>8</v>
      </c>
      <c r="K60" s="41">
        <v>0</v>
      </c>
      <c r="L60" s="41"/>
      <c r="M60" s="42">
        <v>0</v>
      </c>
      <c r="N60" s="42">
        <v>0</v>
      </c>
      <c r="O60" s="43">
        <v>0</v>
      </c>
      <c r="P60" s="44">
        <v>122.3</v>
      </c>
      <c r="Q60" s="44">
        <v>122.3</v>
      </c>
      <c r="R60" s="45">
        <v>0</v>
      </c>
      <c r="S60" s="46">
        <v>0</v>
      </c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122.3</v>
      </c>
      <c r="AB60" s="51">
        <f t="shared" si="27"/>
        <v>0</v>
      </c>
      <c r="AC60" s="44">
        <f t="shared" si="28"/>
        <v>114.51310861423219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>
        <f t="shared" si="37"/>
        <v>0</v>
      </c>
    </row>
    <row r="61" spans="2:42" x14ac:dyDescent="0.35">
      <c r="B61" s="97" t="s">
        <v>71</v>
      </c>
      <c r="C61" s="100">
        <v>18230611</v>
      </c>
      <c r="D61" s="100" t="s">
        <v>72</v>
      </c>
      <c r="E61" s="38" t="s">
        <v>1863</v>
      </c>
      <c r="F61" s="39" t="s">
        <v>1864</v>
      </c>
      <c r="G61" s="39"/>
      <c r="H61" s="39"/>
      <c r="I61" s="40"/>
      <c r="J61" s="41">
        <v>2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339.77</v>
      </c>
      <c r="Q61" s="44">
        <v>339.77</v>
      </c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339.77</v>
      </c>
      <c r="AB61" s="51">
        <f t="shared" si="27"/>
        <v>0</v>
      </c>
      <c r="AC61" s="44">
        <f t="shared" si="28"/>
        <v>318.13670411985015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>
        <f t="shared" si="37"/>
        <v>0</v>
      </c>
    </row>
    <row r="62" spans="2:42" x14ac:dyDescent="0.35">
      <c r="B62" s="97" t="s">
        <v>71</v>
      </c>
      <c r="C62" s="100">
        <v>18230611</v>
      </c>
      <c r="D62" s="100" t="s">
        <v>72</v>
      </c>
      <c r="E62" s="38" t="s">
        <v>1865</v>
      </c>
      <c r="F62" s="39" t="s">
        <v>1866</v>
      </c>
      <c r="G62" s="39"/>
      <c r="H62" s="39"/>
      <c r="I62" s="40"/>
      <c r="J62" s="41">
        <v>2</v>
      </c>
      <c r="K62" s="41">
        <v>0</v>
      </c>
      <c r="L62" s="41"/>
      <c r="M62" s="42">
        <v>0</v>
      </c>
      <c r="N62" s="42">
        <v>0</v>
      </c>
      <c r="O62" s="43">
        <v>0</v>
      </c>
      <c r="P62" s="44">
        <v>0</v>
      </c>
      <c r="Q62" s="44">
        <v>0</v>
      </c>
      <c r="R62" s="45">
        <v>0</v>
      </c>
      <c r="S62" s="46">
        <v>0</v>
      </c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97" t="s">
        <v>71</v>
      </c>
      <c r="C63" s="100">
        <v>18230611</v>
      </c>
      <c r="D63" s="100" t="s">
        <v>72</v>
      </c>
      <c r="E63" s="38" t="s">
        <v>1867</v>
      </c>
      <c r="F63" s="39" t="s">
        <v>1868</v>
      </c>
      <c r="G63" s="39"/>
      <c r="H63" s="39"/>
      <c r="I63" s="40" t="s">
        <v>274</v>
      </c>
      <c r="J63" s="41">
        <v>5</v>
      </c>
      <c r="K63" s="41">
        <v>0</v>
      </c>
      <c r="L63" s="41"/>
      <c r="M63" s="42">
        <v>0</v>
      </c>
      <c r="N63" s="42">
        <v>0</v>
      </c>
      <c r="O63" s="43">
        <v>0</v>
      </c>
      <c r="P63" s="44">
        <v>670.85</v>
      </c>
      <c r="Q63" s="44">
        <v>670.85</v>
      </c>
      <c r="R63" s="45">
        <v>0</v>
      </c>
      <c r="S63" s="46">
        <v>0</v>
      </c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670.85</v>
      </c>
      <c r="AB63" s="51">
        <f t="shared" si="27"/>
        <v>0</v>
      </c>
      <c r="AC63" s="44">
        <f t="shared" si="28"/>
        <v>628.13670411985015</v>
      </c>
      <c r="AD63" s="44">
        <f t="shared" si="29"/>
        <v>0</v>
      </c>
      <c r="AE63" s="44">
        <f t="shared" si="30"/>
        <v>0</v>
      </c>
      <c r="AF63" s="52" t="str">
        <f>HLOOKUP(I63,ElecAvoidedCostsWOCC!$A$5:$Q$50,G63+1,FALSE)</f>
        <v>SF Space Heat</v>
      </c>
      <c r="AG63" s="44" t="e">
        <f t="shared" si="31"/>
        <v>#VALUE!</v>
      </c>
      <c r="AH63" s="52" t="str">
        <f>HLOOKUP(I63,ElecAvoidedCostsWOCC!$A$5:$Q$50,T63+1,FALSE)</f>
        <v>SF Space Heat</v>
      </c>
      <c r="AI63" s="44" t="e">
        <f t="shared" si="32"/>
        <v>#VALUE!</v>
      </c>
      <c r="AJ63" s="44" t="e">
        <f t="shared" si="33"/>
        <v>#VALUE!</v>
      </c>
      <c r="AK63" s="44" t="e">
        <f>HLOOKUP(I63,ElecAvoidedCostsWOCC!$A$5:$Q$50,G63+1,FALSE)*J63*L63</f>
        <v>#VALUE!</v>
      </c>
      <c r="AL63" s="44" t="e">
        <f t="shared" si="34"/>
        <v>#VALUE!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>
        <f t="shared" si="37"/>
        <v>0</v>
      </c>
    </row>
    <row r="64" spans="2:42" x14ac:dyDescent="0.35">
      <c r="B64" s="97" t="s">
        <v>71</v>
      </c>
      <c r="C64" s="100">
        <v>18230611</v>
      </c>
      <c r="D64" s="100" t="s">
        <v>72</v>
      </c>
      <c r="E64" s="38" t="s">
        <v>1869</v>
      </c>
      <c r="F64" s="39" t="s">
        <v>1870</v>
      </c>
      <c r="G64" s="39"/>
      <c r="H64" s="39"/>
      <c r="I64" s="40" t="s">
        <v>274</v>
      </c>
      <c r="J64" s="41">
        <v>9</v>
      </c>
      <c r="K64" s="41">
        <v>0</v>
      </c>
      <c r="L64" s="41"/>
      <c r="M64" s="42">
        <v>0</v>
      </c>
      <c r="N64" s="42">
        <v>0</v>
      </c>
      <c r="O64" s="43">
        <v>0</v>
      </c>
      <c r="P64" s="44">
        <v>1549.77</v>
      </c>
      <c r="Q64" s="44">
        <v>1549.77</v>
      </c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1549.77</v>
      </c>
      <c r="AB64" s="51">
        <f t="shared" si="27"/>
        <v>0</v>
      </c>
      <c r="AC64" s="44">
        <f t="shared" si="28"/>
        <v>1451.0955056179773</v>
      </c>
      <c r="AD64" s="44">
        <f t="shared" si="29"/>
        <v>0</v>
      </c>
      <c r="AE64" s="44">
        <f t="shared" si="30"/>
        <v>0</v>
      </c>
      <c r="AF64" s="52" t="str">
        <f>HLOOKUP(I64,ElecAvoidedCostsWOCC!$A$5:$Q$50,G64+1,FALSE)</f>
        <v>SF Space Heat</v>
      </c>
      <c r="AG64" s="44" t="e">
        <f t="shared" si="31"/>
        <v>#VALUE!</v>
      </c>
      <c r="AH64" s="52" t="str">
        <f>HLOOKUP(I64,ElecAvoidedCostsWOCC!$A$5:$Q$50,T64+1,FALSE)</f>
        <v>SF Space Heat</v>
      </c>
      <c r="AI64" s="44" t="e">
        <f t="shared" si="32"/>
        <v>#VALUE!</v>
      </c>
      <c r="AJ64" s="44" t="e">
        <f t="shared" si="33"/>
        <v>#VALUE!</v>
      </c>
      <c r="AK64" s="44" t="e">
        <f>HLOOKUP(I64,ElecAvoidedCostsWOCC!$A$5:$Q$50,G64+1,FALSE)*J64*L64</f>
        <v>#VALUE!</v>
      </c>
      <c r="AL64" s="44" t="e">
        <f t="shared" si="34"/>
        <v>#VALUE!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>
        <f t="shared" si="37"/>
        <v>0</v>
      </c>
    </row>
    <row r="65" spans="2:42" x14ac:dyDescent="0.35">
      <c r="B65" s="97" t="s">
        <v>71</v>
      </c>
      <c r="C65" s="100">
        <v>18230611</v>
      </c>
      <c r="D65" s="100" t="s">
        <v>72</v>
      </c>
      <c r="E65" s="38" t="s">
        <v>1871</v>
      </c>
      <c r="F65" s="39" t="s">
        <v>1872</v>
      </c>
      <c r="G65" s="39"/>
      <c r="H65" s="39"/>
      <c r="I65" s="40"/>
      <c r="J65" s="41">
        <v>5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0</v>
      </c>
      <c r="R65" s="45">
        <v>0</v>
      </c>
      <c r="S65" s="46">
        <v>0</v>
      </c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97" t="s">
        <v>71</v>
      </c>
      <c r="C66" s="100">
        <v>18230611</v>
      </c>
      <c r="D66" s="100" t="s">
        <v>72</v>
      </c>
      <c r="E66" s="38" t="s">
        <v>1873</v>
      </c>
      <c r="F66" s="39" t="s">
        <v>1874</v>
      </c>
      <c r="G66" s="39"/>
      <c r="H66" s="39"/>
      <c r="I66" s="40" t="s">
        <v>274</v>
      </c>
      <c r="J66" s="41">
        <v>16</v>
      </c>
      <c r="K66" s="41">
        <v>0</v>
      </c>
      <c r="L66" s="41"/>
      <c r="M66" s="42">
        <v>0</v>
      </c>
      <c r="N66" s="42">
        <v>0</v>
      </c>
      <c r="O66" s="43">
        <v>0</v>
      </c>
      <c r="P66" s="44">
        <v>3189.27</v>
      </c>
      <c r="Q66" s="44">
        <v>3189.27</v>
      </c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3189.27</v>
      </c>
      <c r="AB66" s="51">
        <f t="shared" si="27"/>
        <v>0</v>
      </c>
      <c r="AC66" s="44">
        <f t="shared" si="28"/>
        <v>2986.2078651685392</v>
      </c>
      <c r="AD66" s="44">
        <f t="shared" si="29"/>
        <v>0</v>
      </c>
      <c r="AE66" s="44">
        <f t="shared" si="30"/>
        <v>0</v>
      </c>
      <c r="AF66" s="52" t="str">
        <f>HLOOKUP(I66,ElecAvoidedCostsWOCC!$A$5:$Q$50,G66+1,FALSE)</f>
        <v>SF Space Heat</v>
      </c>
      <c r="AG66" s="44" t="e">
        <f t="shared" si="31"/>
        <v>#VALUE!</v>
      </c>
      <c r="AH66" s="52" t="str">
        <f>HLOOKUP(I66,ElecAvoidedCostsWOCC!$A$5:$Q$50,T66+1,FALSE)</f>
        <v>SF Space Heat</v>
      </c>
      <c r="AI66" s="44" t="e">
        <f t="shared" si="32"/>
        <v>#VALUE!</v>
      </c>
      <c r="AJ66" s="44" t="e">
        <f t="shared" si="33"/>
        <v>#VALUE!</v>
      </c>
      <c r="AK66" s="44" t="e">
        <f>HLOOKUP(I66,ElecAvoidedCostsWOCC!$A$5:$Q$50,G66+1,FALSE)*J66*L66</f>
        <v>#VALUE!</v>
      </c>
      <c r="AL66" s="44" t="e">
        <f t="shared" si="34"/>
        <v>#VALUE!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>
        <f t="shared" si="37"/>
        <v>0</v>
      </c>
    </row>
    <row r="67" spans="2:42" x14ac:dyDescent="0.35">
      <c r="B67" s="97" t="s">
        <v>71</v>
      </c>
      <c r="C67" s="100">
        <v>18230611</v>
      </c>
      <c r="D67" s="100" t="s">
        <v>72</v>
      </c>
      <c r="E67" s="38" t="s">
        <v>1875</v>
      </c>
      <c r="F67" s="39" t="s">
        <v>1876</v>
      </c>
      <c r="G67" s="39">
        <v>45</v>
      </c>
      <c r="H67" s="39"/>
      <c r="I67" s="40" t="s">
        <v>268</v>
      </c>
      <c r="J67" s="41">
        <v>2</v>
      </c>
      <c r="K67" s="41">
        <v>129</v>
      </c>
      <c r="L67" s="41"/>
      <c r="M67" s="42">
        <v>708.1</v>
      </c>
      <c r="N67" s="42">
        <v>708.1</v>
      </c>
      <c r="O67" s="43">
        <v>258</v>
      </c>
      <c r="P67" s="44">
        <v>1841.06</v>
      </c>
      <c r="Q67" s="44">
        <v>1841.06</v>
      </c>
      <c r="R67" s="45">
        <v>13.4</v>
      </c>
      <c r="S67" s="46">
        <v>0</v>
      </c>
      <c r="T67" s="39">
        <f t="shared" si="19"/>
        <v>45</v>
      </c>
      <c r="U67" s="47">
        <f t="shared" si="20"/>
        <v>8.4609612740782214E-3</v>
      </c>
      <c r="V67" s="48">
        <f t="shared" si="21"/>
        <v>0</v>
      </c>
      <c r="W67" s="49">
        <f t="shared" si="22"/>
        <v>1.8802136164618269E-4</v>
      </c>
      <c r="X67" s="44">
        <f t="shared" si="23"/>
        <v>52.283694180456848</v>
      </c>
      <c r="Y67" s="44">
        <f t="shared" si="24"/>
        <v>0</v>
      </c>
      <c r="Z67" s="44">
        <f t="shared" si="25"/>
        <v>881.18558394162301</v>
      </c>
      <c r="AA67" s="50">
        <f t="shared" si="26"/>
        <v>1893.3436941804569</v>
      </c>
      <c r="AB67" s="51">
        <f t="shared" si="27"/>
        <v>825.08013477680049</v>
      </c>
      <c r="AC67" s="44">
        <f t="shared" si="28"/>
        <v>1772.7937211427497</v>
      </c>
      <c r="AD67" s="44">
        <f t="shared" si="29"/>
        <v>373.70405131058055</v>
      </c>
      <c r="AE67" s="44">
        <f t="shared" si="30"/>
        <v>0</v>
      </c>
      <c r="AF67" s="52">
        <f>HLOOKUP(I67,ElecAvoidedCostsWOCC!$A$5:$Q$50,G67+1,FALSE)</f>
        <v>2.5378999404709686</v>
      </c>
      <c r="AG67" s="44">
        <f t="shared" si="31"/>
        <v>654.77818464150994</v>
      </c>
      <c r="AH67" s="52">
        <f>HLOOKUP(I67,ElecAvoidedCostsWOCC!$A$5:$Q$50,T67+1,FALSE)</f>
        <v>2.5378999404709686</v>
      </c>
      <c r="AI67" s="44">
        <f t="shared" si="32"/>
        <v>0</v>
      </c>
      <c r="AJ67" s="44">
        <f t="shared" si="33"/>
        <v>654.77818464150994</v>
      </c>
      <c r="AK67" s="44">
        <f>HLOOKUP(I67,ElecAvoidedCostsWOCC!$A$5:$Q$50,G67+1,FALSE)*J67*L67</f>
        <v>0</v>
      </c>
      <c r="AL67" s="44">
        <f t="shared" si="34"/>
        <v>654.77818464150994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654.77818464150994</v>
      </c>
      <c r="AN67" s="48">
        <f t="shared" si="35"/>
        <v>1093.9600544162415</v>
      </c>
      <c r="AO67" s="47">
        <f t="shared" si="36"/>
        <v>0.7935934426764979</v>
      </c>
      <c r="AP67" s="47">
        <f t="shared" si="37"/>
        <v>0.61708254117183503</v>
      </c>
    </row>
    <row r="68" spans="2:42" x14ac:dyDescent="0.35">
      <c r="B68" s="97" t="s">
        <v>71</v>
      </c>
      <c r="C68" s="100">
        <v>18230611</v>
      </c>
      <c r="D68" s="100" t="s">
        <v>72</v>
      </c>
      <c r="E68" s="38" t="s">
        <v>1877</v>
      </c>
      <c r="F68" s="39" t="s">
        <v>1878</v>
      </c>
      <c r="G68" s="39">
        <v>45</v>
      </c>
      <c r="H68" s="39"/>
      <c r="I68" s="40" t="s">
        <v>268</v>
      </c>
      <c r="J68" s="41">
        <v>105</v>
      </c>
      <c r="K68" s="41">
        <v>129</v>
      </c>
      <c r="L68" s="41"/>
      <c r="M68" s="42">
        <v>730.01</v>
      </c>
      <c r="N68" s="42">
        <v>730.01</v>
      </c>
      <c r="O68" s="43">
        <v>13545</v>
      </c>
      <c r="P68" s="44">
        <v>117990.73</v>
      </c>
      <c r="Q68" s="44">
        <v>117990.73</v>
      </c>
      <c r="R68" s="45">
        <v>48.49</v>
      </c>
      <c r="S68" s="46">
        <v>0</v>
      </c>
      <c r="T68" s="39">
        <f t="shared" si="19"/>
        <v>45</v>
      </c>
      <c r="U68" s="47">
        <f t="shared" si="20"/>
        <v>0.44420046688910664</v>
      </c>
      <c r="V68" s="48">
        <f t="shared" si="21"/>
        <v>0</v>
      </c>
      <c r="W68" s="49">
        <f t="shared" si="22"/>
        <v>9.8711214864245916E-3</v>
      </c>
      <c r="X68" s="44">
        <f t="shared" si="23"/>
        <v>2744.8939444739849</v>
      </c>
      <c r="Y68" s="44">
        <f t="shared" si="24"/>
        <v>0</v>
      </c>
      <c r="Z68" s="44">
        <f t="shared" si="25"/>
        <v>46262.243156935219</v>
      </c>
      <c r="AA68" s="50">
        <f t="shared" si="26"/>
        <v>120735.62394447398</v>
      </c>
      <c r="AB68" s="51">
        <f t="shared" si="27"/>
        <v>43316.70707578204</v>
      </c>
      <c r="AC68" s="44">
        <f t="shared" si="28"/>
        <v>113048.33702666101</v>
      </c>
      <c r="AD68" s="44">
        <f t="shared" si="29"/>
        <v>70996.100449449819</v>
      </c>
      <c r="AE68" s="44">
        <f t="shared" si="30"/>
        <v>0</v>
      </c>
      <c r="AF68" s="52">
        <f>HLOOKUP(I68,ElecAvoidedCostsWOCC!$A$5:$Q$50,G68+1,FALSE)</f>
        <v>2.5378999404709686</v>
      </c>
      <c r="AG68" s="44">
        <f t="shared" si="31"/>
        <v>34375.85469367927</v>
      </c>
      <c r="AH68" s="52">
        <f>HLOOKUP(I68,ElecAvoidedCostsWOCC!$A$5:$Q$50,T68+1,FALSE)</f>
        <v>2.5378999404709686</v>
      </c>
      <c r="AI68" s="44">
        <f t="shared" si="32"/>
        <v>0</v>
      </c>
      <c r="AJ68" s="44">
        <f t="shared" si="33"/>
        <v>34375.85469367927</v>
      </c>
      <c r="AK68" s="44">
        <f>HLOOKUP(I68,ElecAvoidedCostsWOCC!$A$5:$Q$50,G68+1,FALSE)*J68*L68</f>
        <v>0</v>
      </c>
      <c r="AL68" s="44">
        <f t="shared" si="34"/>
        <v>34375.85469367927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34375.85469367927</v>
      </c>
      <c r="AN68" s="48">
        <f t="shared" si="35"/>
        <v>108809.54061249702</v>
      </c>
      <c r="AO68" s="47">
        <f t="shared" si="36"/>
        <v>0.79359344267649756</v>
      </c>
      <c r="AP68" s="47">
        <f t="shared" si="37"/>
        <v>0.96250456640362314</v>
      </c>
    </row>
    <row r="69" spans="2:42" x14ac:dyDescent="0.35">
      <c r="B69" s="97" t="s">
        <v>71</v>
      </c>
      <c r="C69" s="100">
        <v>18230611</v>
      </c>
      <c r="D69" s="100" t="s">
        <v>72</v>
      </c>
      <c r="E69" s="38" t="s">
        <v>1879</v>
      </c>
      <c r="F69" s="39" t="s">
        <v>1880</v>
      </c>
      <c r="G69" s="39"/>
      <c r="H69" s="39"/>
      <c r="I69" s="40"/>
      <c r="J69" s="41">
        <v>2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0</v>
      </c>
      <c r="Q69" s="44">
        <v>22.68</v>
      </c>
      <c r="R69" s="45">
        <v>0</v>
      </c>
      <c r="S69" s="46">
        <v>0</v>
      </c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22.68</v>
      </c>
      <c r="Z69" s="44">
        <f t="shared" si="25"/>
        <v>0</v>
      </c>
      <c r="AA69" s="50">
        <f t="shared" si="26"/>
        <v>22.68</v>
      </c>
      <c r="AB69" s="51">
        <f t="shared" si="27"/>
        <v>0</v>
      </c>
      <c r="AC69" s="44">
        <f t="shared" si="28"/>
        <v>21.235955056179773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>
        <f t="shared" si="37"/>
        <v>0</v>
      </c>
    </row>
    <row r="70" spans="2:42" x14ac:dyDescent="0.35">
      <c r="B70" s="97" t="s">
        <v>71</v>
      </c>
      <c r="C70" s="100">
        <v>18230611</v>
      </c>
      <c r="D70" s="100" t="s">
        <v>72</v>
      </c>
      <c r="E70" s="38" t="s">
        <v>1881</v>
      </c>
      <c r="F70" s="39" t="s">
        <v>1882</v>
      </c>
      <c r="G70" s="39">
        <v>45</v>
      </c>
      <c r="H70" s="39"/>
      <c r="I70" s="40" t="s">
        <v>272</v>
      </c>
      <c r="J70" s="41">
        <v>88</v>
      </c>
      <c r="K70" s="41">
        <v>129</v>
      </c>
      <c r="L70" s="41"/>
      <c r="M70" s="42">
        <v>708.1</v>
      </c>
      <c r="N70" s="42">
        <v>708.1</v>
      </c>
      <c r="O70" s="43">
        <v>11352</v>
      </c>
      <c r="P70" s="44">
        <v>102848.93</v>
      </c>
      <c r="Q70" s="44">
        <v>102848.93</v>
      </c>
      <c r="R70" s="45">
        <v>39.56</v>
      </c>
      <c r="S70" s="46">
        <v>0</v>
      </c>
      <c r="T70" s="39">
        <f t="shared" si="19"/>
        <v>45</v>
      </c>
      <c r="U70" s="47">
        <f t="shared" si="20"/>
        <v>0.37228229605944169</v>
      </c>
      <c r="V70" s="48">
        <f t="shared" si="21"/>
        <v>0</v>
      </c>
      <c r="W70" s="49">
        <f t="shared" si="22"/>
        <v>8.2729399124320379E-3</v>
      </c>
      <c r="X70" s="44">
        <f t="shared" si="23"/>
        <v>2300.4825439401011</v>
      </c>
      <c r="Y70" s="44">
        <f t="shared" si="24"/>
        <v>0</v>
      </c>
      <c r="Z70" s="44">
        <f t="shared" si="25"/>
        <v>38772.165693431416</v>
      </c>
      <c r="AA70" s="50">
        <f t="shared" si="26"/>
        <v>105149.4125439401</v>
      </c>
      <c r="AB70" s="51">
        <f t="shared" si="27"/>
        <v>36303.525930179225</v>
      </c>
      <c r="AC70" s="44">
        <f t="shared" si="28"/>
        <v>98454.506127284723</v>
      </c>
      <c r="AD70" s="44">
        <f t="shared" si="29"/>
        <v>48543.598498003659</v>
      </c>
      <c r="AE70" s="44">
        <f t="shared" si="30"/>
        <v>0</v>
      </c>
      <c r="AF70" s="52">
        <f>HLOOKUP(I70,ElecAvoidedCostsWOCC!$A$5:$Q$50,G70+1,FALSE)</f>
        <v>2.9502602387155141</v>
      </c>
      <c r="AG70" s="44">
        <f t="shared" si="31"/>
        <v>33491.354229898519</v>
      </c>
      <c r="AH70" s="52">
        <f>HLOOKUP(I70,ElecAvoidedCostsWOCC!$A$5:$Q$50,T70+1,FALSE)</f>
        <v>2.9502602387155141</v>
      </c>
      <c r="AI70" s="44">
        <f t="shared" si="32"/>
        <v>0</v>
      </c>
      <c r="AJ70" s="44">
        <f t="shared" si="33"/>
        <v>33491.354229898519</v>
      </c>
      <c r="AK70" s="44">
        <f>HLOOKUP(I70,ElecAvoidedCostsWOCC!$A$5:$Q$50,G70+1,FALSE)*J70*L70</f>
        <v>0</v>
      </c>
      <c r="AL70" s="44">
        <f t="shared" si="34"/>
        <v>33491.354229898519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33491.354229898512</v>
      </c>
      <c r="AN70" s="48">
        <f t="shared" si="35"/>
        <v>85384.088150892028</v>
      </c>
      <c r="AO70" s="47">
        <f t="shared" si="36"/>
        <v>0.92253722942258487</v>
      </c>
      <c r="AP70" s="47">
        <f t="shared" si="37"/>
        <v>0.86724408571513334</v>
      </c>
    </row>
    <row r="71" spans="2:42" x14ac:dyDescent="0.35">
      <c r="B71" s="97" t="s">
        <v>71</v>
      </c>
      <c r="C71" s="100">
        <v>18230611</v>
      </c>
      <c r="D71" s="100" t="s">
        <v>72</v>
      </c>
      <c r="E71" s="38" t="s">
        <v>1883</v>
      </c>
      <c r="F71" s="39" t="s">
        <v>1884</v>
      </c>
      <c r="G71" s="39"/>
      <c r="H71" s="39"/>
      <c r="I71" s="40"/>
      <c r="J71" s="41">
        <v>2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1841.06</v>
      </c>
      <c r="Q71" s="44">
        <v>1841.06</v>
      </c>
      <c r="R71" s="45">
        <v>0</v>
      </c>
      <c r="S71" s="46">
        <v>0</v>
      </c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1841.06</v>
      </c>
      <c r="AB71" s="51">
        <f t="shared" si="27"/>
        <v>0</v>
      </c>
      <c r="AC71" s="44">
        <f t="shared" si="28"/>
        <v>1723.8389513108614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>
        <f t="shared" si="37"/>
        <v>0</v>
      </c>
    </row>
    <row r="72" spans="2:42" x14ac:dyDescent="0.35">
      <c r="B72" s="97" t="s">
        <v>71</v>
      </c>
      <c r="C72" s="100">
        <v>18230611</v>
      </c>
      <c r="D72" s="100" t="s">
        <v>72</v>
      </c>
      <c r="E72" s="38" t="s">
        <v>1885</v>
      </c>
      <c r="F72" s="39" t="s">
        <v>1886</v>
      </c>
      <c r="G72" s="39"/>
      <c r="H72" s="39"/>
      <c r="I72" s="40"/>
      <c r="J72" s="41">
        <v>2</v>
      </c>
      <c r="K72" s="41">
        <v>0</v>
      </c>
      <c r="L72" s="41"/>
      <c r="M72" s="42">
        <v>0</v>
      </c>
      <c r="N72" s="42">
        <v>0</v>
      </c>
      <c r="O72" s="43">
        <v>0</v>
      </c>
      <c r="P72" s="44">
        <v>0</v>
      </c>
      <c r="Q72" s="44">
        <v>2296.5</v>
      </c>
      <c r="R72" s="45">
        <v>0</v>
      </c>
      <c r="S72" s="46">
        <v>0</v>
      </c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2296.5</v>
      </c>
      <c r="Z72" s="44">
        <f t="shared" si="25"/>
        <v>0</v>
      </c>
      <c r="AA72" s="50">
        <f t="shared" si="26"/>
        <v>2296.5</v>
      </c>
      <c r="AB72" s="51">
        <f t="shared" si="27"/>
        <v>0</v>
      </c>
      <c r="AC72" s="44">
        <f t="shared" si="28"/>
        <v>2150.2808988764045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>
        <f t="shared" si="37"/>
        <v>0</v>
      </c>
    </row>
    <row r="73" spans="2:42" x14ac:dyDescent="0.35">
      <c r="B73" s="97" t="s">
        <v>71</v>
      </c>
      <c r="C73" s="100">
        <v>18230611</v>
      </c>
      <c r="D73" s="100" t="s">
        <v>72</v>
      </c>
      <c r="E73" s="38" t="s">
        <v>1887</v>
      </c>
      <c r="F73" s="39" t="s">
        <v>1888</v>
      </c>
      <c r="G73" s="39"/>
      <c r="H73" s="39"/>
      <c r="I73" s="40"/>
      <c r="J73" s="41">
        <v>15</v>
      </c>
      <c r="K73" s="41">
        <v>0</v>
      </c>
      <c r="L73" s="41"/>
      <c r="M73" s="42">
        <v>0</v>
      </c>
      <c r="N73" s="42">
        <v>0</v>
      </c>
      <c r="O73" s="43">
        <v>0</v>
      </c>
      <c r="P73" s="44">
        <v>16322.51</v>
      </c>
      <c r="Q73" s="44">
        <v>16322.51</v>
      </c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16322.51</v>
      </c>
      <c r="AB73" s="51">
        <f t="shared" si="27"/>
        <v>0</v>
      </c>
      <c r="AC73" s="44">
        <f t="shared" si="28"/>
        <v>15283.249063670411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>
        <f t="shared" si="37"/>
        <v>0</v>
      </c>
    </row>
    <row r="74" spans="2:42" x14ac:dyDescent="0.35">
      <c r="B74" s="97" t="s">
        <v>71</v>
      </c>
      <c r="C74" s="100">
        <v>18230611</v>
      </c>
      <c r="D74" s="100" t="s">
        <v>72</v>
      </c>
      <c r="E74" s="38" t="s">
        <v>1889</v>
      </c>
      <c r="F74" s="39" t="s">
        <v>1890</v>
      </c>
      <c r="G74" s="39"/>
      <c r="H74" s="39"/>
      <c r="I74" s="40"/>
      <c r="J74" s="41">
        <v>16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0</v>
      </c>
      <c r="Q74" s="44">
        <v>6851.64</v>
      </c>
      <c r="R74" s="45">
        <v>0</v>
      </c>
      <c r="S74" s="46">
        <v>0</v>
      </c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6851.64</v>
      </c>
      <c r="Z74" s="44">
        <f t="shared" si="25"/>
        <v>0</v>
      </c>
      <c r="AA74" s="50">
        <f t="shared" si="26"/>
        <v>6851.64</v>
      </c>
      <c r="AB74" s="51">
        <f t="shared" si="27"/>
        <v>0</v>
      </c>
      <c r="AC74" s="44">
        <f t="shared" si="28"/>
        <v>6415.393258426966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>
        <f t="shared" si="37"/>
        <v>0</v>
      </c>
    </row>
    <row r="75" spans="2:42" x14ac:dyDescent="0.35">
      <c r="B75" s="97" t="s">
        <v>71</v>
      </c>
      <c r="C75" s="100">
        <v>18230611</v>
      </c>
      <c r="D75" s="100" t="s">
        <v>72</v>
      </c>
      <c r="E75" s="38" t="s">
        <v>1891</v>
      </c>
      <c r="F75" s="39" t="s">
        <v>1892</v>
      </c>
      <c r="G75" s="39"/>
      <c r="H75" s="39"/>
      <c r="I75" s="40"/>
      <c r="J75" s="41">
        <v>7</v>
      </c>
      <c r="K75" s="41">
        <v>0</v>
      </c>
      <c r="L75" s="41"/>
      <c r="M75" s="42">
        <v>0</v>
      </c>
      <c r="N75" s="42">
        <v>0</v>
      </c>
      <c r="O75" s="43">
        <v>0</v>
      </c>
      <c r="P75" s="44">
        <v>9191.9699999999993</v>
      </c>
      <c r="Q75" s="44">
        <v>9191.9699999999993</v>
      </c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9191.9699999999993</v>
      </c>
      <c r="AB75" s="51">
        <f t="shared" si="27"/>
        <v>0</v>
      </c>
      <c r="AC75" s="44">
        <f t="shared" si="28"/>
        <v>8606.7134831460662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>
        <f t="shared" si="37"/>
        <v>0</v>
      </c>
    </row>
    <row r="76" spans="2:42" x14ac:dyDescent="0.35">
      <c r="B76" s="97" t="s">
        <v>71</v>
      </c>
      <c r="C76" s="100">
        <v>18230611</v>
      </c>
      <c r="D76" s="100" t="s">
        <v>72</v>
      </c>
      <c r="E76" s="38" t="s">
        <v>1893</v>
      </c>
      <c r="F76" s="39" t="s">
        <v>1894</v>
      </c>
      <c r="G76" s="39"/>
      <c r="H76" s="39"/>
      <c r="I76" s="40"/>
      <c r="J76" s="41">
        <v>10</v>
      </c>
      <c r="K76" s="41">
        <v>0</v>
      </c>
      <c r="L76" s="41"/>
      <c r="M76" s="42">
        <v>0</v>
      </c>
      <c r="N76" s="42">
        <v>0</v>
      </c>
      <c r="O76" s="43">
        <v>0</v>
      </c>
      <c r="P76" s="44">
        <v>0</v>
      </c>
      <c r="Q76" s="44">
        <v>29484.82</v>
      </c>
      <c r="R76" s="45">
        <v>0</v>
      </c>
      <c r="S76" s="46">
        <v>0</v>
      </c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29484.82</v>
      </c>
      <c r="Z76" s="44">
        <f t="shared" si="25"/>
        <v>0</v>
      </c>
      <c r="AA76" s="50">
        <f t="shared" si="26"/>
        <v>29484.82</v>
      </c>
      <c r="AB76" s="51">
        <f t="shared" si="27"/>
        <v>0</v>
      </c>
      <c r="AC76" s="44">
        <f t="shared" si="28"/>
        <v>27607.509363295878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>
        <f t="shared" si="37"/>
        <v>0</v>
      </c>
    </row>
    <row r="77" spans="2:42" x14ac:dyDescent="0.35">
      <c r="B77" s="97" t="s">
        <v>71</v>
      </c>
      <c r="C77" s="100">
        <v>18230611</v>
      </c>
      <c r="D77" s="100" t="s">
        <v>72</v>
      </c>
      <c r="E77" s="38" t="s">
        <v>1895</v>
      </c>
      <c r="F77" s="39" t="s">
        <v>1896</v>
      </c>
      <c r="G77" s="39"/>
      <c r="H77" s="39"/>
      <c r="I77" s="40"/>
      <c r="J77" s="41">
        <v>8</v>
      </c>
      <c r="K77" s="41">
        <v>0</v>
      </c>
      <c r="L77" s="41"/>
      <c r="M77" s="42">
        <v>0</v>
      </c>
      <c r="N77" s="42">
        <v>0</v>
      </c>
      <c r="O77" s="43">
        <v>0</v>
      </c>
      <c r="P77" s="44">
        <v>2679.72</v>
      </c>
      <c r="Q77" s="44">
        <v>2679.72</v>
      </c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2679.72</v>
      </c>
      <c r="AB77" s="51">
        <f t="shared" si="27"/>
        <v>0</v>
      </c>
      <c r="AC77" s="44">
        <f t="shared" si="28"/>
        <v>2509.1011235955052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>
        <f t="shared" si="37"/>
        <v>0</v>
      </c>
    </row>
    <row r="78" spans="2:42" x14ac:dyDescent="0.35">
      <c r="B78" s="97" t="s">
        <v>71</v>
      </c>
      <c r="C78" s="100">
        <v>18230611</v>
      </c>
      <c r="D78" s="100" t="s">
        <v>72</v>
      </c>
      <c r="E78" s="38" t="s">
        <v>1897</v>
      </c>
      <c r="F78" s="39" t="s">
        <v>1898</v>
      </c>
      <c r="G78" s="39"/>
      <c r="H78" s="39"/>
      <c r="I78" s="40"/>
      <c r="J78" s="41">
        <v>10</v>
      </c>
      <c r="K78" s="41">
        <v>0</v>
      </c>
      <c r="L78" s="41"/>
      <c r="M78" s="42">
        <v>0</v>
      </c>
      <c r="N78" s="42">
        <v>0</v>
      </c>
      <c r="O78" s="43">
        <v>0</v>
      </c>
      <c r="P78" s="44">
        <v>0</v>
      </c>
      <c r="Q78" s="44">
        <v>23325.65</v>
      </c>
      <c r="R78" s="45">
        <v>0</v>
      </c>
      <c r="S78" s="46">
        <v>0</v>
      </c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23325.65</v>
      </c>
      <c r="Z78" s="44">
        <f t="shared" si="25"/>
        <v>0</v>
      </c>
      <c r="AA78" s="50">
        <f t="shared" si="26"/>
        <v>23325.65</v>
      </c>
      <c r="AB78" s="51">
        <f t="shared" si="27"/>
        <v>0</v>
      </c>
      <c r="AC78" s="44">
        <f t="shared" si="28"/>
        <v>21840.49625468165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>
        <f t="shared" si="37"/>
        <v>0</v>
      </c>
    </row>
    <row r="79" spans="2:42" x14ac:dyDescent="0.35">
      <c r="B79" s="97" t="s">
        <v>71</v>
      </c>
      <c r="C79" s="100">
        <v>18230611</v>
      </c>
      <c r="D79" s="100" t="s">
        <v>72</v>
      </c>
      <c r="E79" s="38" t="s">
        <v>1899</v>
      </c>
      <c r="F79" s="39" t="s">
        <v>1900</v>
      </c>
      <c r="G79" s="39"/>
      <c r="H79" s="39"/>
      <c r="I79" s="40"/>
      <c r="J79" s="41">
        <v>7</v>
      </c>
      <c r="K79" s="41">
        <v>0</v>
      </c>
      <c r="L79" s="41"/>
      <c r="M79" s="42">
        <v>0</v>
      </c>
      <c r="N79" s="42">
        <v>0</v>
      </c>
      <c r="O79" s="43">
        <v>0</v>
      </c>
      <c r="P79" s="44">
        <v>3713.71</v>
      </c>
      <c r="Q79" s="44">
        <v>3713.71</v>
      </c>
      <c r="R79" s="45"/>
      <c r="S79" s="46"/>
      <c r="T79" s="39">
        <f t="shared" ref="T79:T136" si="38">G79+H79</f>
        <v>0</v>
      </c>
      <c r="U79" s="47">
        <f t="shared" ref="U79:U136" si="39">(O79/$A$10)*T79</f>
        <v>0</v>
      </c>
      <c r="V79" s="48">
        <f t="shared" ref="V79:V136" si="40">N79-M79</f>
        <v>0</v>
      </c>
      <c r="W79" s="49">
        <f t="shared" ref="W79:W136" si="41">(O79/A$10)</f>
        <v>0</v>
      </c>
      <c r="X79" s="44">
        <f t="shared" ref="X79:X136" si="42">W79*A$8</f>
        <v>0</v>
      </c>
      <c r="Y79" s="44">
        <f t="shared" ref="Y79:Y136" si="43">Q79-P79</f>
        <v>0</v>
      </c>
      <c r="Z79" s="44">
        <f t="shared" ref="Z79:Z136" si="44">X79+(A$6*W79)</f>
        <v>0</v>
      </c>
      <c r="AA79" s="50">
        <f t="shared" ref="AA79:AA136" si="45">Q79+X79</f>
        <v>3713.71</v>
      </c>
      <c r="AB79" s="51">
        <f t="shared" ref="AB79:AB136" si="46">Z79/(1+ElecDiscountRate)^1</f>
        <v>0</v>
      </c>
      <c r="AC79" s="44">
        <f t="shared" ref="AC79:AC136" si="47">AA79/(1+ElecDiscountRate)^1</f>
        <v>3477.2565543071159</v>
      </c>
      <c r="AD79" s="44">
        <f t="shared" ref="AD79:AD136" si="48">-PV(ElecDiscountRate,T79,R79)*J79</f>
        <v>0</v>
      </c>
      <c r="AE79" s="44">
        <f t="shared" ref="AE79:AE136" si="49">-PV(ElecDiscountRate,T79,S79)*J79</f>
        <v>0</v>
      </c>
      <c r="AF79" s="52" t="e">
        <f>HLOOKUP(I79,ElecAvoidedCostsWOCC!$A$5:$Q$50,G79+1,FALSE)</f>
        <v>#N/A</v>
      </c>
      <c r="AG79" s="44" t="e">
        <f t="shared" ref="AG79:AG136" si="50">AF79*J79*K79</f>
        <v>#N/A</v>
      </c>
      <c r="AH79" s="52" t="e">
        <f>HLOOKUP(I79,ElecAvoidedCostsWOCC!$A$5:$Q$50,T79+1,FALSE)</f>
        <v>#N/A</v>
      </c>
      <c r="AI79" s="44" t="e">
        <f t="shared" ref="AI79:AI136" si="51">AH79*J79*L79</f>
        <v>#N/A</v>
      </c>
      <c r="AJ79" s="44" t="e">
        <f t="shared" ref="AJ79:AJ136" si="52">AG79+AI79</f>
        <v>#N/A</v>
      </c>
      <c r="AK79" s="44" t="e">
        <f>HLOOKUP(I79,ElecAvoidedCostsWOCC!$A$5:$Q$50,G79+1,FALSE)*J79*L79</f>
        <v>#N/A</v>
      </c>
      <c r="AL79" s="44" t="e">
        <f t="shared" ref="AL79:AL136" si="53">AG79+AI79-AK79</f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ref="AN79:AN136" si="54">AM79*1.1+AD79+AE79</f>
        <v>0</v>
      </c>
      <c r="AO79" s="47">
        <f t="shared" ref="AO79:AO136" si="55">IFERROR(AM79/AB79,0)</f>
        <v>0</v>
      </c>
      <c r="AP79" s="47">
        <f t="shared" ref="AP79:AP136" si="56">AN79/AC79</f>
        <v>0</v>
      </c>
    </row>
    <row r="80" spans="2:42" x14ac:dyDescent="0.35">
      <c r="B80" s="97" t="s">
        <v>71</v>
      </c>
      <c r="C80" s="100">
        <v>18230611</v>
      </c>
      <c r="D80" s="100" t="s">
        <v>72</v>
      </c>
      <c r="E80" s="38" t="s">
        <v>1901</v>
      </c>
      <c r="F80" s="39" t="s">
        <v>1902</v>
      </c>
      <c r="G80" s="39"/>
      <c r="H80" s="39"/>
      <c r="I80" s="40"/>
      <c r="J80" s="41">
        <v>1</v>
      </c>
      <c r="K80" s="41">
        <v>0</v>
      </c>
      <c r="L80" s="41"/>
      <c r="M80" s="42">
        <v>0</v>
      </c>
      <c r="N80" s="42">
        <v>0</v>
      </c>
      <c r="O80" s="43">
        <v>0</v>
      </c>
      <c r="P80" s="44">
        <v>0</v>
      </c>
      <c r="Q80" s="44">
        <v>302.39999999999998</v>
      </c>
      <c r="R80" s="45">
        <v>0</v>
      </c>
      <c r="S80" s="46">
        <v>0</v>
      </c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302.39999999999998</v>
      </c>
      <c r="Z80" s="44">
        <f t="shared" si="44"/>
        <v>0</v>
      </c>
      <c r="AA80" s="50">
        <f t="shared" si="45"/>
        <v>302.39999999999998</v>
      </c>
      <c r="AB80" s="51">
        <f t="shared" si="46"/>
        <v>0</v>
      </c>
      <c r="AC80" s="44">
        <f t="shared" si="47"/>
        <v>283.14606741573027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>
        <f t="shared" si="56"/>
        <v>0</v>
      </c>
    </row>
    <row r="81" spans="2:42" x14ac:dyDescent="0.35">
      <c r="B81" s="97" t="s">
        <v>71</v>
      </c>
      <c r="C81" s="100">
        <v>18230611</v>
      </c>
      <c r="D81" s="100" t="s">
        <v>72</v>
      </c>
      <c r="E81" s="38" t="s">
        <v>1903</v>
      </c>
      <c r="F81" s="39" t="s">
        <v>1904</v>
      </c>
      <c r="G81" s="39"/>
      <c r="H81" s="39"/>
      <c r="I81" s="40"/>
      <c r="J81" s="41">
        <v>15</v>
      </c>
      <c r="K81" s="41">
        <v>0</v>
      </c>
      <c r="L81" s="41"/>
      <c r="M81" s="42">
        <v>0</v>
      </c>
      <c r="N81" s="42">
        <v>0</v>
      </c>
      <c r="O81" s="43">
        <v>0</v>
      </c>
      <c r="P81" s="44">
        <v>6468.14</v>
      </c>
      <c r="Q81" s="44">
        <v>6468.14</v>
      </c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6468.14</v>
      </c>
      <c r="AB81" s="51">
        <f t="shared" si="46"/>
        <v>0</v>
      </c>
      <c r="AC81" s="44">
        <f t="shared" si="47"/>
        <v>6056.3108614232206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>
        <f t="shared" si="56"/>
        <v>0</v>
      </c>
    </row>
    <row r="82" spans="2:42" x14ac:dyDescent="0.35">
      <c r="B82" s="97" t="s">
        <v>71</v>
      </c>
      <c r="C82" s="100">
        <v>18230611</v>
      </c>
      <c r="D82" s="100" t="s">
        <v>72</v>
      </c>
      <c r="E82" s="38" t="s">
        <v>1905</v>
      </c>
      <c r="F82" s="39" t="s">
        <v>1906</v>
      </c>
      <c r="G82" s="39"/>
      <c r="H82" s="39"/>
      <c r="I82" s="40"/>
      <c r="J82" s="41">
        <v>1</v>
      </c>
      <c r="K82" s="41">
        <v>0</v>
      </c>
      <c r="L82" s="41"/>
      <c r="M82" s="42">
        <v>0</v>
      </c>
      <c r="N82" s="42">
        <v>0</v>
      </c>
      <c r="O82" s="43">
        <v>0</v>
      </c>
      <c r="P82" s="44">
        <v>0</v>
      </c>
      <c r="Q82" s="44">
        <v>967.2</v>
      </c>
      <c r="R82" s="45">
        <v>0</v>
      </c>
      <c r="S82" s="46">
        <v>0</v>
      </c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967.2</v>
      </c>
      <c r="Z82" s="44">
        <f t="shared" si="44"/>
        <v>0</v>
      </c>
      <c r="AA82" s="50">
        <f t="shared" si="45"/>
        <v>967.2</v>
      </c>
      <c r="AB82" s="51">
        <f t="shared" si="46"/>
        <v>0</v>
      </c>
      <c r="AC82" s="44">
        <f t="shared" si="47"/>
        <v>905.61797752808991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>
        <f t="shared" si="56"/>
        <v>0</v>
      </c>
    </row>
    <row r="83" spans="2:42" x14ac:dyDescent="0.35">
      <c r="B83" s="97" t="s">
        <v>71</v>
      </c>
      <c r="C83" s="100">
        <v>18230611</v>
      </c>
      <c r="D83" s="100" t="s">
        <v>72</v>
      </c>
      <c r="E83" s="38" t="s">
        <v>1907</v>
      </c>
      <c r="F83" s="39" t="s">
        <v>1908</v>
      </c>
      <c r="G83" s="39"/>
      <c r="H83" s="39"/>
      <c r="I83" s="40"/>
      <c r="J83" s="41">
        <v>5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5676.01</v>
      </c>
      <c r="Q83" s="44">
        <v>5676.01</v>
      </c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5676.01</v>
      </c>
      <c r="AB83" s="51">
        <f t="shared" si="46"/>
        <v>0</v>
      </c>
      <c r="AC83" s="44">
        <f t="shared" si="47"/>
        <v>5314.6161048689137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>
        <f t="shared" si="56"/>
        <v>0</v>
      </c>
    </row>
    <row r="84" spans="2:42" x14ac:dyDescent="0.35">
      <c r="B84" s="97" t="s">
        <v>71</v>
      </c>
      <c r="C84" s="100">
        <v>18230611</v>
      </c>
      <c r="D84" s="100" t="s">
        <v>72</v>
      </c>
      <c r="E84" s="38" t="s">
        <v>1909</v>
      </c>
      <c r="F84" s="39" t="s">
        <v>1910</v>
      </c>
      <c r="G84" s="39"/>
      <c r="H84" s="39"/>
      <c r="I84" s="40"/>
      <c r="J84" s="41">
        <v>7</v>
      </c>
      <c r="K84" s="41">
        <v>0</v>
      </c>
      <c r="L84" s="41"/>
      <c r="M84" s="42">
        <v>0</v>
      </c>
      <c r="N84" s="42">
        <v>0</v>
      </c>
      <c r="O84" s="43">
        <v>0</v>
      </c>
      <c r="P84" s="44">
        <v>0</v>
      </c>
      <c r="Q84" s="44">
        <v>24330.26</v>
      </c>
      <c r="R84" s="45">
        <v>0</v>
      </c>
      <c r="S84" s="46">
        <v>0</v>
      </c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24330.26</v>
      </c>
      <c r="Z84" s="44">
        <f t="shared" si="44"/>
        <v>0</v>
      </c>
      <c r="AA84" s="50">
        <f t="shared" si="45"/>
        <v>24330.26</v>
      </c>
      <c r="AB84" s="51">
        <f t="shared" si="46"/>
        <v>0</v>
      </c>
      <c r="AC84" s="44">
        <f t="shared" si="47"/>
        <v>22781.142322097374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>
        <f t="shared" si="56"/>
        <v>0</v>
      </c>
    </row>
    <row r="85" spans="2:42" x14ac:dyDescent="0.35">
      <c r="B85" s="97" t="s">
        <v>71</v>
      </c>
      <c r="C85" s="100">
        <v>18230611</v>
      </c>
      <c r="D85" s="100" t="s">
        <v>72</v>
      </c>
      <c r="E85" s="38" t="s">
        <v>1911</v>
      </c>
      <c r="F85" s="39" t="s">
        <v>1912</v>
      </c>
      <c r="G85" s="39"/>
      <c r="H85" s="39"/>
      <c r="I85" s="40"/>
      <c r="J85" s="41">
        <v>12</v>
      </c>
      <c r="K85" s="41">
        <v>0</v>
      </c>
      <c r="L85" s="41"/>
      <c r="M85" s="42">
        <v>0</v>
      </c>
      <c r="N85" s="42">
        <v>0</v>
      </c>
      <c r="O85" s="43">
        <v>0</v>
      </c>
      <c r="P85" s="44">
        <v>4862.6000000000004</v>
      </c>
      <c r="Q85" s="44">
        <v>4862.6000000000004</v>
      </c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4862.6000000000004</v>
      </c>
      <c r="AB85" s="51">
        <f t="shared" si="46"/>
        <v>0</v>
      </c>
      <c r="AC85" s="44">
        <f t="shared" si="47"/>
        <v>4552.9962546816478</v>
      </c>
      <c r="AD85" s="44">
        <f t="shared" si="48"/>
        <v>0</v>
      </c>
      <c r="AE85" s="44">
        <f t="shared" si="49"/>
        <v>0</v>
      </c>
      <c r="AF85" s="52" t="e">
        <f>HLOOKUP(I85,ElecAvoidedCostsWOCC!$A$5:$Q$50,G85+1,FALSE)</f>
        <v>#N/A</v>
      </c>
      <c r="AG85" s="44" t="e">
        <f t="shared" si="50"/>
        <v>#N/A</v>
      </c>
      <c r="AH85" s="52" t="e">
        <f>HLOOKUP(I85,ElecAvoidedCostsWOCC!$A$5:$Q$50,T85+1,FALSE)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HLOOKUP(I85,ElecAvoidedCostsWOCC!$A$5:$Q$50,G85+1,FALSE)*J85*L85</f>
        <v>#N/A</v>
      </c>
      <c r="AL85" s="44" t="e">
        <f t="shared" si="53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4"/>
        <v>0</v>
      </c>
      <c r="AO85" s="47">
        <f t="shared" si="55"/>
        <v>0</v>
      </c>
      <c r="AP85" s="47">
        <f t="shared" si="56"/>
        <v>0</v>
      </c>
    </row>
    <row r="86" spans="2:42" x14ac:dyDescent="0.35">
      <c r="B86" s="97" t="s">
        <v>71</v>
      </c>
      <c r="C86" s="100">
        <v>18230611</v>
      </c>
      <c r="D86" s="100" t="s">
        <v>72</v>
      </c>
      <c r="E86" s="38" t="s">
        <v>1913</v>
      </c>
      <c r="F86" s="39" t="s">
        <v>1914</v>
      </c>
      <c r="G86" s="39"/>
      <c r="H86" s="39"/>
      <c r="I86" s="40"/>
      <c r="J86" s="41">
        <v>17</v>
      </c>
      <c r="K86" s="41">
        <v>0</v>
      </c>
      <c r="L86" s="41"/>
      <c r="M86" s="42">
        <v>0</v>
      </c>
      <c r="N86" s="42">
        <v>0</v>
      </c>
      <c r="O86" s="43">
        <v>0</v>
      </c>
      <c r="P86" s="44">
        <v>0</v>
      </c>
      <c r="Q86" s="44">
        <v>21002.080000000002</v>
      </c>
      <c r="R86" s="45">
        <v>0</v>
      </c>
      <c r="S86" s="46">
        <v>0</v>
      </c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21002.080000000002</v>
      </c>
      <c r="Z86" s="44">
        <f t="shared" si="44"/>
        <v>0</v>
      </c>
      <c r="AA86" s="50">
        <f t="shared" si="45"/>
        <v>21002.080000000002</v>
      </c>
      <c r="AB86" s="51">
        <f t="shared" si="46"/>
        <v>0</v>
      </c>
      <c r="AC86" s="44">
        <f t="shared" si="47"/>
        <v>19664.868913857677</v>
      </c>
      <c r="AD86" s="44">
        <f t="shared" si="48"/>
        <v>0</v>
      </c>
      <c r="AE86" s="44">
        <f t="shared" si="49"/>
        <v>0</v>
      </c>
      <c r="AF86" s="52" t="e">
        <f>HLOOKUP(I86,ElecAvoidedCostsWOCC!$A$5:$Q$50,G86+1,FALSE)</f>
        <v>#N/A</v>
      </c>
      <c r="AG86" s="44" t="e">
        <f t="shared" si="50"/>
        <v>#N/A</v>
      </c>
      <c r="AH86" s="52" t="e">
        <f>HLOOKUP(I86,ElecAvoidedCostsWOCC!$A$5:$Q$50,T86+1,FALSE)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HLOOKUP(I86,ElecAvoidedCostsWOCC!$A$5:$Q$50,G86+1,FALSE)*J86*L86</f>
        <v>#N/A</v>
      </c>
      <c r="AL86" s="44" t="e">
        <f t="shared" si="53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4"/>
        <v>0</v>
      </c>
      <c r="AO86" s="47">
        <f t="shared" si="55"/>
        <v>0</v>
      </c>
      <c r="AP86" s="47">
        <f t="shared" si="56"/>
        <v>0</v>
      </c>
    </row>
    <row r="87" spans="2:42" x14ac:dyDescent="0.35">
      <c r="B87" s="97" t="s">
        <v>71</v>
      </c>
      <c r="C87" s="100">
        <v>18230611</v>
      </c>
      <c r="D87" s="100" t="s">
        <v>72</v>
      </c>
      <c r="E87" s="38" t="s">
        <v>1915</v>
      </c>
      <c r="F87" s="39" t="s">
        <v>1916</v>
      </c>
      <c r="G87" s="39"/>
      <c r="H87" s="39"/>
      <c r="I87" s="40"/>
      <c r="J87" s="41">
        <v>5</v>
      </c>
      <c r="K87" s="41">
        <v>0</v>
      </c>
      <c r="L87" s="41"/>
      <c r="M87" s="42">
        <v>0</v>
      </c>
      <c r="N87" s="42">
        <v>0</v>
      </c>
      <c r="O87" s="43">
        <v>0</v>
      </c>
      <c r="P87" s="44">
        <v>4936.29</v>
      </c>
      <c r="Q87" s="44">
        <v>4936.29</v>
      </c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4936.29</v>
      </c>
      <c r="AB87" s="51">
        <f t="shared" si="46"/>
        <v>0</v>
      </c>
      <c r="AC87" s="44">
        <f t="shared" si="47"/>
        <v>4621.9943820224717</v>
      </c>
      <c r="AD87" s="44">
        <f t="shared" si="48"/>
        <v>0</v>
      </c>
      <c r="AE87" s="44">
        <f t="shared" si="49"/>
        <v>0</v>
      </c>
      <c r="AF87" s="52" t="e">
        <f>HLOOKUP(I87,ElecAvoidedCostsWOCC!$A$5:$Q$50,G87+1,FALSE)</f>
        <v>#N/A</v>
      </c>
      <c r="AG87" s="44" t="e">
        <f t="shared" si="50"/>
        <v>#N/A</v>
      </c>
      <c r="AH87" s="52" t="e">
        <f>HLOOKUP(I87,ElecAvoidedCostsWOCC!$A$5:$Q$50,T87+1,FALSE)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HLOOKUP(I87,ElecAvoidedCostsWOCC!$A$5:$Q$50,G87+1,FALSE)*J87*L87</f>
        <v>#N/A</v>
      </c>
      <c r="AL87" s="44" t="e">
        <f t="shared" si="53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4"/>
        <v>0</v>
      </c>
      <c r="AO87" s="47">
        <f t="shared" si="55"/>
        <v>0</v>
      </c>
      <c r="AP87" s="47">
        <f t="shared" si="56"/>
        <v>0</v>
      </c>
    </row>
    <row r="88" spans="2:42" x14ac:dyDescent="0.35">
      <c r="B88" s="97" t="s">
        <v>71</v>
      </c>
      <c r="C88" s="100">
        <v>18230611</v>
      </c>
      <c r="D88" s="100" t="s">
        <v>72</v>
      </c>
      <c r="E88" s="38" t="s">
        <v>1917</v>
      </c>
      <c r="F88" s="39" t="s">
        <v>1918</v>
      </c>
      <c r="G88" s="39"/>
      <c r="H88" s="39"/>
      <c r="I88" s="40"/>
      <c r="J88" s="41">
        <v>9</v>
      </c>
      <c r="K88" s="41">
        <v>0</v>
      </c>
      <c r="L88" s="41"/>
      <c r="M88" s="42">
        <v>0</v>
      </c>
      <c r="N88" s="42">
        <v>0</v>
      </c>
      <c r="O88" s="43">
        <v>0</v>
      </c>
      <c r="P88" s="44">
        <v>0</v>
      </c>
      <c r="Q88" s="44">
        <v>39044.379999999997</v>
      </c>
      <c r="R88" s="45">
        <v>0</v>
      </c>
      <c r="S88" s="46">
        <v>0</v>
      </c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39044.379999999997</v>
      </c>
      <c r="Z88" s="44">
        <f t="shared" si="44"/>
        <v>0</v>
      </c>
      <c r="AA88" s="50">
        <f t="shared" si="45"/>
        <v>39044.379999999997</v>
      </c>
      <c r="AB88" s="51">
        <f t="shared" si="46"/>
        <v>0</v>
      </c>
      <c r="AC88" s="44">
        <f t="shared" si="47"/>
        <v>36558.408239700373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>
        <f t="shared" si="56"/>
        <v>0</v>
      </c>
    </row>
    <row r="89" spans="2:42" x14ac:dyDescent="0.35">
      <c r="B89" s="97" t="s">
        <v>71</v>
      </c>
      <c r="C89" s="100">
        <v>18230611</v>
      </c>
      <c r="D89" s="100" t="s">
        <v>72</v>
      </c>
      <c r="E89" s="38" t="s">
        <v>1919</v>
      </c>
      <c r="F89" s="39" t="s">
        <v>1920</v>
      </c>
      <c r="G89" s="39"/>
      <c r="H89" s="39"/>
      <c r="I89" s="40"/>
      <c r="J89" s="41">
        <v>2</v>
      </c>
      <c r="K89" s="41">
        <v>0</v>
      </c>
      <c r="L89" s="41"/>
      <c r="M89" s="42">
        <v>0</v>
      </c>
      <c r="N89" s="42">
        <v>0</v>
      </c>
      <c r="O89" s="43">
        <v>0</v>
      </c>
      <c r="P89" s="44">
        <v>4516.09</v>
      </c>
      <c r="Q89" s="44">
        <v>4516.09</v>
      </c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4516.09</v>
      </c>
      <c r="AB89" s="51">
        <f t="shared" si="46"/>
        <v>0</v>
      </c>
      <c r="AC89" s="44">
        <f t="shared" si="47"/>
        <v>4228.5486891385763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>
        <f t="shared" si="56"/>
        <v>0</v>
      </c>
    </row>
    <row r="90" spans="2:42" x14ac:dyDescent="0.35">
      <c r="B90" s="97" t="s">
        <v>71</v>
      </c>
      <c r="C90" s="100">
        <v>18230611</v>
      </c>
      <c r="D90" s="100" t="s">
        <v>72</v>
      </c>
      <c r="E90" s="38" t="s">
        <v>1921</v>
      </c>
      <c r="F90" s="39" t="s">
        <v>1922</v>
      </c>
      <c r="G90" s="39"/>
      <c r="H90" s="39"/>
      <c r="I90" s="40"/>
      <c r="J90" s="41">
        <v>13</v>
      </c>
      <c r="K90" s="41">
        <v>0</v>
      </c>
      <c r="L90" s="41"/>
      <c r="M90" s="42">
        <v>0</v>
      </c>
      <c r="N90" s="42">
        <v>0</v>
      </c>
      <c r="O90" s="43">
        <v>0</v>
      </c>
      <c r="P90" s="44">
        <v>0</v>
      </c>
      <c r="Q90" s="44">
        <v>3976.12</v>
      </c>
      <c r="R90" s="45">
        <v>0</v>
      </c>
      <c r="S90" s="46">
        <v>0</v>
      </c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3976.12</v>
      </c>
      <c r="Z90" s="44">
        <f t="shared" si="44"/>
        <v>0</v>
      </c>
      <c r="AA90" s="50">
        <f t="shared" si="45"/>
        <v>3976.12</v>
      </c>
      <c r="AB90" s="51">
        <f t="shared" si="46"/>
        <v>0</v>
      </c>
      <c r="AC90" s="44">
        <f t="shared" si="47"/>
        <v>3722.9588014981268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>
        <f t="shared" si="56"/>
        <v>0</v>
      </c>
    </row>
    <row r="91" spans="2:42" x14ac:dyDescent="0.35">
      <c r="B91" s="97" t="s">
        <v>71</v>
      </c>
      <c r="C91" s="100">
        <v>18230611</v>
      </c>
      <c r="D91" s="100" t="s">
        <v>72</v>
      </c>
      <c r="E91" s="38" t="s">
        <v>1923</v>
      </c>
      <c r="F91" s="39" t="s">
        <v>1924</v>
      </c>
      <c r="G91" s="39"/>
      <c r="H91" s="39"/>
      <c r="I91" s="40"/>
      <c r="J91" s="41">
        <v>1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1950</v>
      </c>
      <c r="Q91" s="44">
        <v>1950</v>
      </c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1950</v>
      </c>
      <c r="AB91" s="51">
        <f t="shared" si="46"/>
        <v>0</v>
      </c>
      <c r="AC91" s="44">
        <f t="shared" si="47"/>
        <v>1825.8426966292134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>
        <f t="shared" si="56"/>
        <v>0</v>
      </c>
    </row>
    <row r="92" spans="2:42" x14ac:dyDescent="0.35">
      <c r="B92" s="97" t="s">
        <v>71</v>
      </c>
      <c r="C92" s="100">
        <v>18230611</v>
      </c>
      <c r="D92" s="100" t="s">
        <v>72</v>
      </c>
      <c r="E92" s="38" t="s">
        <v>1925</v>
      </c>
      <c r="F92" s="39" t="s">
        <v>1926</v>
      </c>
      <c r="G92" s="39"/>
      <c r="H92" s="39"/>
      <c r="I92" s="40"/>
      <c r="J92" s="41">
        <v>1</v>
      </c>
      <c r="K92" s="41">
        <v>0</v>
      </c>
      <c r="L92" s="41"/>
      <c r="M92" s="42">
        <v>0</v>
      </c>
      <c r="N92" s="42">
        <v>0</v>
      </c>
      <c r="O92" s="43">
        <v>0</v>
      </c>
      <c r="P92" s="44">
        <v>0</v>
      </c>
      <c r="Q92" s="44">
        <v>5020.32</v>
      </c>
      <c r="R92" s="45">
        <v>0</v>
      </c>
      <c r="S92" s="46">
        <v>0</v>
      </c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5020.32</v>
      </c>
      <c r="Z92" s="44">
        <f t="shared" si="44"/>
        <v>0</v>
      </c>
      <c r="AA92" s="50">
        <f t="shared" si="45"/>
        <v>5020.32</v>
      </c>
      <c r="AB92" s="51">
        <f t="shared" si="46"/>
        <v>0</v>
      </c>
      <c r="AC92" s="44">
        <f t="shared" si="47"/>
        <v>4700.6741573033705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>
        <f t="shared" si="56"/>
        <v>0</v>
      </c>
    </row>
    <row r="93" spans="2:42" x14ac:dyDescent="0.35">
      <c r="B93" s="97" t="s">
        <v>71</v>
      </c>
      <c r="C93" s="100">
        <v>18230611</v>
      </c>
      <c r="D93" s="100" t="s">
        <v>72</v>
      </c>
      <c r="E93" s="38" t="s">
        <v>1927</v>
      </c>
      <c r="F93" s="39" t="s">
        <v>1928</v>
      </c>
      <c r="G93" s="39"/>
      <c r="H93" s="39"/>
      <c r="I93" s="40"/>
      <c r="J93" s="41">
        <v>3</v>
      </c>
      <c r="K93" s="41">
        <v>0</v>
      </c>
      <c r="L93" s="41"/>
      <c r="M93" s="42">
        <v>0</v>
      </c>
      <c r="N93" s="42">
        <v>0</v>
      </c>
      <c r="O93" s="43">
        <v>0</v>
      </c>
      <c r="P93" s="44">
        <v>0</v>
      </c>
      <c r="Q93" s="44">
        <v>0</v>
      </c>
      <c r="R93" s="45">
        <v>0</v>
      </c>
      <c r="S93" s="46">
        <v>0</v>
      </c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 x14ac:dyDescent="0.35">
      <c r="B94" s="97" t="s">
        <v>71</v>
      </c>
      <c r="C94" s="100">
        <v>18230611</v>
      </c>
      <c r="D94" s="100" t="s">
        <v>72</v>
      </c>
      <c r="E94" s="38" t="s">
        <v>1929</v>
      </c>
      <c r="F94" s="39" t="s">
        <v>1930</v>
      </c>
      <c r="G94" s="39"/>
      <c r="H94" s="39"/>
      <c r="I94" s="40"/>
      <c r="J94" s="41">
        <v>1</v>
      </c>
      <c r="K94" s="41">
        <v>0</v>
      </c>
      <c r="L94" s="41"/>
      <c r="M94" s="42">
        <v>0</v>
      </c>
      <c r="N94" s="42">
        <v>0</v>
      </c>
      <c r="O94" s="43">
        <v>0</v>
      </c>
      <c r="P94" s="44">
        <v>374.13</v>
      </c>
      <c r="Q94" s="44">
        <v>374.13</v>
      </c>
      <c r="R94" s="45">
        <v>0</v>
      </c>
      <c r="S94" s="46">
        <v>0</v>
      </c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374.13</v>
      </c>
      <c r="AB94" s="51">
        <f t="shared" si="46"/>
        <v>0</v>
      </c>
      <c r="AC94" s="44">
        <f t="shared" si="47"/>
        <v>350.3089887640449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>
        <f t="shared" si="56"/>
        <v>0</v>
      </c>
    </row>
    <row r="95" spans="2:42" x14ac:dyDescent="0.35">
      <c r="B95" s="97" t="s">
        <v>71</v>
      </c>
      <c r="C95" s="100">
        <v>18230611</v>
      </c>
      <c r="D95" s="100" t="s">
        <v>72</v>
      </c>
      <c r="E95" s="38" t="s">
        <v>1931</v>
      </c>
      <c r="F95" s="39" t="s">
        <v>1932</v>
      </c>
      <c r="G95" s="39"/>
      <c r="H95" s="39"/>
      <c r="I95" s="40"/>
      <c r="J95" s="41">
        <v>8</v>
      </c>
      <c r="K95" s="41">
        <v>0</v>
      </c>
      <c r="L95" s="41"/>
      <c r="M95" s="42">
        <v>0</v>
      </c>
      <c r="N95" s="42">
        <v>0</v>
      </c>
      <c r="O95" s="43">
        <v>0</v>
      </c>
      <c r="P95" s="44">
        <v>0</v>
      </c>
      <c r="Q95" s="44">
        <v>22763.79</v>
      </c>
      <c r="R95" s="45">
        <v>0</v>
      </c>
      <c r="S95" s="46">
        <v>0</v>
      </c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22763.79</v>
      </c>
      <c r="Z95" s="44">
        <f t="shared" si="44"/>
        <v>0</v>
      </c>
      <c r="AA95" s="50">
        <f t="shared" si="45"/>
        <v>22763.79</v>
      </c>
      <c r="AB95" s="51">
        <f t="shared" si="46"/>
        <v>0</v>
      </c>
      <c r="AC95" s="44">
        <f t="shared" si="47"/>
        <v>21314.41011235955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>
        <f t="shared" si="56"/>
        <v>0</v>
      </c>
    </row>
    <row r="96" spans="2:42" x14ac:dyDescent="0.35">
      <c r="B96" s="97" t="s">
        <v>71</v>
      </c>
      <c r="C96" s="100">
        <v>18230611</v>
      </c>
      <c r="D96" s="100" t="s">
        <v>72</v>
      </c>
      <c r="E96" s="38" t="s">
        <v>1933</v>
      </c>
      <c r="F96" s="39" t="s">
        <v>1934</v>
      </c>
      <c r="G96" s="39"/>
      <c r="H96" s="39"/>
      <c r="I96" s="40"/>
      <c r="J96" s="41">
        <v>6</v>
      </c>
      <c r="K96" s="41">
        <v>0</v>
      </c>
      <c r="L96" s="41"/>
      <c r="M96" s="42">
        <v>0</v>
      </c>
      <c r="N96" s="42">
        <v>0</v>
      </c>
      <c r="O96" s="43">
        <v>0</v>
      </c>
      <c r="P96" s="44">
        <v>3385.2</v>
      </c>
      <c r="Q96" s="44">
        <v>3385.2</v>
      </c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3385.2</v>
      </c>
      <c r="AB96" s="51">
        <f t="shared" si="46"/>
        <v>0</v>
      </c>
      <c r="AC96" s="44">
        <f t="shared" si="47"/>
        <v>3169.6629213483143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>
        <f t="shared" si="56"/>
        <v>0</v>
      </c>
    </row>
    <row r="97" spans="2:42" x14ac:dyDescent="0.35">
      <c r="B97" s="97" t="s">
        <v>71</v>
      </c>
      <c r="C97" s="100">
        <v>18230611</v>
      </c>
      <c r="D97" s="100" t="s">
        <v>72</v>
      </c>
      <c r="E97" s="38" t="s">
        <v>1935</v>
      </c>
      <c r="F97" s="39" t="s">
        <v>1936</v>
      </c>
      <c r="G97" s="39"/>
      <c r="H97" s="39"/>
      <c r="I97" s="40"/>
      <c r="J97" s="41">
        <v>7</v>
      </c>
      <c r="K97" s="41">
        <v>0</v>
      </c>
      <c r="L97" s="41"/>
      <c r="M97" s="42">
        <v>0</v>
      </c>
      <c r="N97" s="42">
        <v>0</v>
      </c>
      <c r="O97" s="43">
        <v>0</v>
      </c>
      <c r="P97" s="44">
        <v>0</v>
      </c>
      <c r="Q97" s="44">
        <v>0</v>
      </c>
      <c r="R97" s="45">
        <v>0</v>
      </c>
      <c r="S97" s="46">
        <v>0</v>
      </c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 x14ac:dyDescent="0.35">
      <c r="B98" s="97" t="s">
        <v>71</v>
      </c>
      <c r="C98" s="100">
        <v>18230611</v>
      </c>
      <c r="D98" s="100" t="s">
        <v>72</v>
      </c>
      <c r="E98" s="38" t="s">
        <v>1937</v>
      </c>
      <c r="F98" s="39" t="s">
        <v>1938</v>
      </c>
      <c r="G98" s="39"/>
      <c r="H98" s="39"/>
      <c r="I98" s="40"/>
      <c r="J98" s="41">
        <v>1</v>
      </c>
      <c r="K98" s="41">
        <v>0</v>
      </c>
      <c r="L98" s="41"/>
      <c r="M98" s="42">
        <v>0</v>
      </c>
      <c r="N98" s="42">
        <v>0</v>
      </c>
      <c r="O98" s="43">
        <v>0</v>
      </c>
      <c r="P98" s="44">
        <v>677.66</v>
      </c>
      <c r="Q98" s="44">
        <v>677.66</v>
      </c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677.66</v>
      </c>
      <c r="AB98" s="51">
        <f t="shared" si="46"/>
        <v>0</v>
      </c>
      <c r="AC98" s="44">
        <f t="shared" si="47"/>
        <v>634.51310861423212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>
        <f t="shared" si="56"/>
        <v>0</v>
      </c>
    </row>
    <row r="99" spans="2:42" x14ac:dyDescent="0.35">
      <c r="B99" s="97" t="s">
        <v>71</v>
      </c>
      <c r="C99" s="100">
        <v>18230611</v>
      </c>
      <c r="D99" s="100" t="s">
        <v>72</v>
      </c>
      <c r="E99" s="38" t="s">
        <v>1939</v>
      </c>
      <c r="F99" s="39" t="s">
        <v>1940</v>
      </c>
      <c r="G99" s="39">
        <v>30</v>
      </c>
      <c r="H99" s="39"/>
      <c r="I99" s="40" t="s">
        <v>272</v>
      </c>
      <c r="J99" s="41">
        <v>14</v>
      </c>
      <c r="K99" s="41">
        <v>0</v>
      </c>
      <c r="L99" s="41"/>
      <c r="M99" s="42">
        <v>50</v>
      </c>
      <c r="N99" s="42">
        <v>50</v>
      </c>
      <c r="O99" s="43">
        <v>0</v>
      </c>
      <c r="P99" s="44">
        <v>910</v>
      </c>
      <c r="Q99" s="44">
        <v>910</v>
      </c>
      <c r="R99" s="45">
        <v>0</v>
      </c>
      <c r="S99" s="46">
        <v>0</v>
      </c>
      <c r="T99" s="39">
        <f t="shared" si="38"/>
        <v>30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910</v>
      </c>
      <c r="AB99" s="51">
        <f t="shared" si="46"/>
        <v>0</v>
      </c>
      <c r="AC99" s="44">
        <f t="shared" si="47"/>
        <v>852.05992509363296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2.0370530785446261</v>
      </c>
      <c r="AG99" s="44">
        <f t="shared" si="50"/>
        <v>0</v>
      </c>
      <c r="AH99" s="52">
        <f>HLOOKUP(I99,ElecAvoidedCostsWOCC!$A$5:$Q$50,T99+1,FALSE)</f>
        <v>2.0370530785446261</v>
      </c>
      <c r="AI99" s="44">
        <f t="shared" si="51"/>
        <v>0</v>
      </c>
      <c r="AJ99" s="44">
        <f t="shared" si="52"/>
        <v>0</v>
      </c>
      <c r="AK99" s="44">
        <f>HLOOKUP(I99,ElecAvoidedCostsWOCC!$A$5:$Q$50,G99+1,FALSE)*J99*L99</f>
        <v>0</v>
      </c>
      <c r="AL99" s="44">
        <f t="shared" si="53"/>
        <v>0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>
        <f t="shared" si="56"/>
        <v>0</v>
      </c>
    </row>
    <row r="100" spans="2:42" x14ac:dyDescent="0.35">
      <c r="B100" s="97" t="s">
        <v>71</v>
      </c>
      <c r="C100" s="100">
        <v>18230611</v>
      </c>
      <c r="D100" s="100" t="s">
        <v>72</v>
      </c>
      <c r="E100" s="38" t="s">
        <v>1941</v>
      </c>
      <c r="F100" s="39" t="s">
        <v>1942</v>
      </c>
      <c r="G100" s="39"/>
      <c r="H100" s="39"/>
      <c r="I100" s="40"/>
      <c r="J100" s="41">
        <v>1</v>
      </c>
      <c r="K100" s="41">
        <v>0</v>
      </c>
      <c r="L100" s="41"/>
      <c r="M100" s="42">
        <v>0</v>
      </c>
      <c r="N100" s="42">
        <v>0</v>
      </c>
      <c r="O100" s="43">
        <v>0</v>
      </c>
      <c r="P100" s="44">
        <v>0</v>
      </c>
      <c r="Q100" s="44">
        <v>2401.2600000000002</v>
      </c>
      <c r="R100" s="45">
        <v>0</v>
      </c>
      <c r="S100" s="46">
        <v>0</v>
      </c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2401.2600000000002</v>
      </c>
      <c r="Z100" s="44">
        <f t="shared" si="44"/>
        <v>0</v>
      </c>
      <c r="AA100" s="50">
        <f t="shared" si="45"/>
        <v>2401.2600000000002</v>
      </c>
      <c r="AB100" s="51">
        <f t="shared" si="46"/>
        <v>0</v>
      </c>
      <c r="AC100" s="44">
        <f t="shared" si="47"/>
        <v>2248.370786516854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>
        <f t="shared" si="56"/>
        <v>0</v>
      </c>
    </row>
    <row r="101" spans="2:42" x14ac:dyDescent="0.35">
      <c r="B101" s="97" t="s">
        <v>71</v>
      </c>
      <c r="C101" s="100">
        <v>18230611</v>
      </c>
      <c r="D101" s="100" t="s">
        <v>72</v>
      </c>
      <c r="E101" s="38" t="s">
        <v>1943</v>
      </c>
      <c r="F101" s="39" t="s">
        <v>1944</v>
      </c>
      <c r="G101" s="39">
        <v>30</v>
      </c>
      <c r="H101" s="39"/>
      <c r="I101" s="40" t="s">
        <v>272</v>
      </c>
      <c r="J101" s="41">
        <v>28</v>
      </c>
      <c r="K101" s="41">
        <v>0</v>
      </c>
      <c r="L101" s="41"/>
      <c r="M101" s="42">
        <v>0.95</v>
      </c>
      <c r="N101" s="42">
        <v>0.95</v>
      </c>
      <c r="O101" s="43">
        <v>0</v>
      </c>
      <c r="P101" s="44">
        <v>80198.41</v>
      </c>
      <c r="Q101" s="44">
        <v>80198.41</v>
      </c>
      <c r="R101" s="45">
        <v>0</v>
      </c>
      <c r="S101" s="46"/>
      <c r="T101" s="39">
        <f t="shared" si="38"/>
        <v>30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80198.41</v>
      </c>
      <c r="AB101" s="51">
        <f t="shared" si="46"/>
        <v>0</v>
      </c>
      <c r="AC101" s="44">
        <f t="shared" si="47"/>
        <v>75092.144194756547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2.0370530785446261</v>
      </c>
      <c r="AG101" s="44">
        <f t="shared" si="50"/>
        <v>0</v>
      </c>
      <c r="AH101" s="52">
        <f>HLOOKUP(I101,ElecAvoidedCostsWOCC!$A$5:$Q$50,T101+1,FALSE)</f>
        <v>2.0370530785446261</v>
      </c>
      <c r="AI101" s="44">
        <f t="shared" si="51"/>
        <v>0</v>
      </c>
      <c r="AJ101" s="44">
        <f t="shared" si="52"/>
        <v>0</v>
      </c>
      <c r="AK101" s="44">
        <f>HLOOKUP(I101,ElecAvoidedCostsWOCC!$A$5:$Q$50,G101+1,FALSE)*J101*L101</f>
        <v>0</v>
      </c>
      <c r="AL101" s="44">
        <f t="shared" si="53"/>
        <v>0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>
        <f t="shared" si="56"/>
        <v>0</v>
      </c>
    </row>
    <row r="102" spans="2:42" x14ac:dyDescent="0.35">
      <c r="B102" s="97" t="s">
        <v>71</v>
      </c>
      <c r="C102" s="100">
        <v>18230611</v>
      </c>
      <c r="D102" s="100" t="s">
        <v>72</v>
      </c>
      <c r="E102" s="38" t="s">
        <v>1945</v>
      </c>
      <c r="F102" s="39" t="s">
        <v>1946</v>
      </c>
      <c r="G102" s="39">
        <v>30</v>
      </c>
      <c r="H102" s="39"/>
      <c r="I102" s="40" t="s">
        <v>272</v>
      </c>
      <c r="J102" s="41">
        <v>46</v>
      </c>
      <c r="K102" s="41">
        <v>0</v>
      </c>
      <c r="L102" s="41"/>
      <c r="M102" s="42">
        <v>100</v>
      </c>
      <c r="N102" s="42">
        <v>100</v>
      </c>
      <c r="O102" s="43">
        <v>0</v>
      </c>
      <c r="P102" s="44">
        <v>5980</v>
      </c>
      <c r="Q102" s="44">
        <v>5980</v>
      </c>
      <c r="R102" s="45">
        <v>0</v>
      </c>
      <c r="S102" s="46">
        <v>0</v>
      </c>
      <c r="T102" s="39">
        <f t="shared" si="38"/>
        <v>30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5980</v>
      </c>
      <c r="AB102" s="51">
        <f t="shared" si="46"/>
        <v>0</v>
      </c>
      <c r="AC102" s="44">
        <f t="shared" si="47"/>
        <v>5599.2509363295876</v>
      </c>
      <c r="AD102" s="44">
        <f t="shared" si="48"/>
        <v>0</v>
      </c>
      <c r="AE102" s="44">
        <f t="shared" si="49"/>
        <v>0</v>
      </c>
      <c r="AF102" s="52">
        <f>HLOOKUP(I102,ElecAvoidedCostsWOCC!$A$5:$Q$50,G102+1,FALSE)</f>
        <v>2.0370530785446261</v>
      </c>
      <c r="AG102" s="44">
        <f t="shared" si="50"/>
        <v>0</v>
      </c>
      <c r="AH102" s="52">
        <f>HLOOKUP(I102,ElecAvoidedCostsWOCC!$A$5:$Q$50,T102+1,FALSE)</f>
        <v>2.0370530785446261</v>
      </c>
      <c r="AI102" s="44">
        <f t="shared" si="51"/>
        <v>0</v>
      </c>
      <c r="AJ102" s="44">
        <f t="shared" si="52"/>
        <v>0</v>
      </c>
      <c r="AK102" s="44">
        <f>HLOOKUP(I102,ElecAvoidedCostsWOCC!$A$5:$Q$50,G102+1,FALSE)*J102*L102</f>
        <v>0</v>
      </c>
      <c r="AL102" s="44">
        <f t="shared" si="53"/>
        <v>0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>
        <f t="shared" si="56"/>
        <v>0</v>
      </c>
    </row>
    <row r="103" spans="2:42" x14ac:dyDescent="0.35">
      <c r="B103" s="97" t="s">
        <v>71</v>
      </c>
      <c r="C103" s="100">
        <v>18230611</v>
      </c>
      <c r="D103" s="100" t="s">
        <v>72</v>
      </c>
      <c r="E103" s="38" t="s">
        <v>1947</v>
      </c>
      <c r="F103" s="39" t="s">
        <v>1948</v>
      </c>
      <c r="G103" s="39">
        <v>30</v>
      </c>
      <c r="H103" s="39"/>
      <c r="I103" s="40" t="s">
        <v>272</v>
      </c>
      <c r="J103" s="41">
        <v>5</v>
      </c>
      <c r="K103" s="41">
        <v>0</v>
      </c>
      <c r="L103" s="41"/>
      <c r="M103" s="42">
        <v>0.95</v>
      </c>
      <c r="N103" s="42">
        <v>0.95</v>
      </c>
      <c r="O103" s="43">
        <v>0</v>
      </c>
      <c r="P103" s="44">
        <v>8702.43</v>
      </c>
      <c r="Q103" s="44">
        <v>8702.43</v>
      </c>
      <c r="R103" s="45">
        <v>0</v>
      </c>
      <c r="S103" s="46"/>
      <c r="T103" s="39">
        <f t="shared" si="38"/>
        <v>30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8702.43</v>
      </c>
      <c r="AB103" s="51">
        <f t="shared" si="46"/>
        <v>0</v>
      </c>
      <c r="AC103" s="44">
        <f t="shared" si="47"/>
        <v>8148.3426966292136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2.0370530785446261</v>
      </c>
      <c r="AG103" s="44">
        <f t="shared" si="50"/>
        <v>0</v>
      </c>
      <c r="AH103" s="52">
        <f>HLOOKUP(I103,ElecAvoidedCostsWOCC!$A$5:$Q$50,T103+1,FALSE)</f>
        <v>2.0370530785446261</v>
      </c>
      <c r="AI103" s="44">
        <f t="shared" si="51"/>
        <v>0</v>
      </c>
      <c r="AJ103" s="44">
        <f t="shared" si="52"/>
        <v>0</v>
      </c>
      <c r="AK103" s="44">
        <f>HLOOKUP(I103,ElecAvoidedCostsWOCC!$A$5:$Q$50,G103+1,FALSE)*J103*L103</f>
        <v>0</v>
      </c>
      <c r="AL103" s="44">
        <f t="shared" si="53"/>
        <v>0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>
        <f t="shared" si="56"/>
        <v>0</v>
      </c>
    </row>
    <row r="104" spans="2:42" x14ac:dyDescent="0.35">
      <c r="B104" s="97" t="s">
        <v>71</v>
      </c>
      <c r="C104" s="100">
        <v>18230611</v>
      </c>
      <c r="D104" s="100" t="s">
        <v>72</v>
      </c>
      <c r="E104" s="38" t="s">
        <v>1949</v>
      </c>
      <c r="F104" s="39" t="s">
        <v>1950</v>
      </c>
      <c r="G104" s="39">
        <v>45</v>
      </c>
      <c r="H104" s="39"/>
      <c r="I104" s="40" t="s">
        <v>272</v>
      </c>
      <c r="J104" s="41">
        <v>18</v>
      </c>
      <c r="K104" s="41">
        <v>129</v>
      </c>
      <c r="L104" s="41"/>
      <c r="M104" s="42">
        <v>0</v>
      </c>
      <c r="N104" s="42">
        <v>0</v>
      </c>
      <c r="O104" s="43">
        <v>2322</v>
      </c>
      <c r="P104" s="44">
        <v>0</v>
      </c>
      <c r="Q104" s="44">
        <v>6402.55</v>
      </c>
      <c r="R104" s="45">
        <v>0</v>
      </c>
      <c r="S104" s="46">
        <v>0</v>
      </c>
      <c r="T104" s="39">
        <f t="shared" si="38"/>
        <v>45</v>
      </c>
      <c r="U104" s="47">
        <f t="shared" si="39"/>
        <v>7.6148651466703993E-2</v>
      </c>
      <c r="V104" s="48">
        <f t="shared" si="40"/>
        <v>0</v>
      </c>
      <c r="W104" s="49">
        <f t="shared" si="41"/>
        <v>1.6921922548156442E-3</v>
      </c>
      <c r="X104" s="44">
        <f t="shared" si="42"/>
        <v>470.55324762411163</v>
      </c>
      <c r="Y104" s="44">
        <f t="shared" si="43"/>
        <v>6402.55</v>
      </c>
      <c r="Z104" s="44">
        <f t="shared" si="44"/>
        <v>7930.6702554746071</v>
      </c>
      <c r="AA104" s="50">
        <f t="shared" si="45"/>
        <v>6873.1032476241116</v>
      </c>
      <c r="AB104" s="51">
        <f t="shared" si="46"/>
        <v>7425.721212991205</v>
      </c>
      <c r="AC104" s="44">
        <f t="shared" si="47"/>
        <v>6435.4899322323135</v>
      </c>
      <c r="AD104" s="44">
        <f t="shared" si="48"/>
        <v>0</v>
      </c>
      <c r="AE104" s="44">
        <f t="shared" si="49"/>
        <v>0</v>
      </c>
      <c r="AF104" s="52">
        <f>HLOOKUP(I104,ElecAvoidedCostsWOCC!$A$5:$Q$50,G104+1,FALSE)</f>
        <v>2.9502602387155141</v>
      </c>
      <c r="AG104" s="44">
        <f t="shared" si="50"/>
        <v>6850.5042742974238</v>
      </c>
      <c r="AH104" s="52">
        <f>HLOOKUP(I104,ElecAvoidedCostsWOCC!$A$5:$Q$50,T104+1,FALSE)</f>
        <v>2.9502602387155141</v>
      </c>
      <c r="AI104" s="44">
        <f t="shared" si="51"/>
        <v>0</v>
      </c>
      <c r="AJ104" s="44">
        <f t="shared" si="52"/>
        <v>6850.5042742974238</v>
      </c>
      <c r="AK104" s="44">
        <f>HLOOKUP(I104,ElecAvoidedCostsWOCC!$A$5:$Q$50,G104+1,FALSE)*J104*L104</f>
        <v>0</v>
      </c>
      <c r="AL104" s="44">
        <f t="shared" si="53"/>
        <v>6850.5042742974238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6850.5042742974238</v>
      </c>
      <c r="AN104" s="48">
        <f t="shared" si="54"/>
        <v>7535.5547017271665</v>
      </c>
      <c r="AO104" s="47">
        <f t="shared" si="55"/>
        <v>0.92253722942258509</v>
      </c>
      <c r="AP104" s="47">
        <f t="shared" si="56"/>
        <v>1.1709372217311926</v>
      </c>
    </row>
    <row r="105" spans="2:42" x14ac:dyDescent="0.35">
      <c r="B105" s="97" t="s">
        <v>71</v>
      </c>
      <c r="C105" s="100">
        <v>18230611</v>
      </c>
      <c r="D105" s="100" t="s">
        <v>72</v>
      </c>
      <c r="E105" s="38" t="s">
        <v>1951</v>
      </c>
      <c r="F105" s="39" t="s">
        <v>1952</v>
      </c>
      <c r="G105" s="39">
        <v>45</v>
      </c>
      <c r="H105" s="39"/>
      <c r="I105" s="40" t="s">
        <v>268</v>
      </c>
      <c r="J105" s="41">
        <v>178</v>
      </c>
      <c r="K105" s="41">
        <v>129</v>
      </c>
      <c r="L105" s="41"/>
      <c r="M105" s="42">
        <v>708.1</v>
      </c>
      <c r="N105" s="42">
        <v>708.1</v>
      </c>
      <c r="O105" s="43">
        <v>22962</v>
      </c>
      <c r="P105" s="44">
        <v>163854.34</v>
      </c>
      <c r="Q105" s="44">
        <v>163854.34</v>
      </c>
      <c r="R105" s="45">
        <v>13.4</v>
      </c>
      <c r="S105" s="46">
        <v>0</v>
      </c>
      <c r="T105" s="39">
        <f t="shared" si="38"/>
        <v>45</v>
      </c>
      <c r="U105" s="47">
        <f t="shared" si="39"/>
        <v>0.75302555339296173</v>
      </c>
      <c r="V105" s="48">
        <f t="shared" si="40"/>
        <v>0</v>
      </c>
      <c r="W105" s="49">
        <f t="shared" si="41"/>
        <v>1.6733901186510261E-2</v>
      </c>
      <c r="X105" s="44">
        <f t="shared" si="42"/>
        <v>4653.2487820606602</v>
      </c>
      <c r="Y105" s="44">
        <f t="shared" si="43"/>
        <v>0</v>
      </c>
      <c r="Z105" s="44">
        <f t="shared" si="44"/>
        <v>78425.516970804456</v>
      </c>
      <c r="AA105" s="50">
        <f t="shared" si="45"/>
        <v>168507.58878206066</v>
      </c>
      <c r="AB105" s="51">
        <f t="shared" si="46"/>
        <v>73432.131995135249</v>
      </c>
      <c r="AC105" s="44">
        <f t="shared" si="47"/>
        <v>157778.64118170473</v>
      </c>
      <c r="AD105" s="44">
        <f t="shared" si="48"/>
        <v>33259.660566641673</v>
      </c>
      <c r="AE105" s="44">
        <f t="shared" si="49"/>
        <v>0</v>
      </c>
      <c r="AF105" s="52">
        <f>HLOOKUP(I105,ElecAvoidedCostsWOCC!$A$5:$Q$50,G105+1,FALSE)</f>
        <v>2.5378999404709686</v>
      </c>
      <c r="AG105" s="44">
        <f t="shared" si="50"/>
        <v>58275.258433094386</v>
      </c>
      <c r="AH105" s="52">
        <f>HLOOKUP(I105,ElecAvoidedCostsWOCC!$A$5:$Q$50,T105+1,FALSE)</f>
        <v>2.5378999404709686</v>
      </c>
      <c r="AI105" s="44">
        <f t="shared" si="51"/>
        <v>0</v>
      </c>
      <c r="AJ105" s="44">
        <f t="shared" si="52"/>
        <v>58275.258433094386</v>
      </c>
      <c r="AK105" s="44">
        <f>HLOOKUP(I105,ElecAvoidedCostsWOCC!$A$5:$Q$50,G105+1,FALSE)*J105*L105</f>
        <v>0</v>
      </c>
      <c r="AL105" s="44">
        <f t="shared" si="53"/>
        <v>58275.258433094386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58275.258433094386</v>
      </c>
      <c r="AN105" s="48">
        <f t="shared" si="54"/>
        <v>97362.444843045494</v>
      </c>
      <c r="AO105" s="47">
        <f t="shared" si="55"/>
        <v>0.79359344267649778</v>
      </c>
      <c r="AP105" s="47">
        <f t="shared" si="56"/>
        <v>0.61708254117183503</v>
      </c>
    </row>
    <row r="106" spans="2:42" x14ac:dyDescent="0.35">
      <c r="B106" s="97" t="s">
        <v>71</v>
      </c>
      <c r="C106" s="100">
        <v>18230611</v>
      </c>
      <c r="D106" s="100" t="s">
        <v>72</v>
      </c>
      <c r="E106" s="38" t="s">
        <v>1953</v>
      </c>
      <c r="F106" s="39" t="s">
        <v>1954</v>
      </c>
      <c r="G106" s="39">
        <v>30</v>
      </c>
      <c r="H106" s="39"/>
      <c r="I106" s="40" t="s">
        <v>272</v>
      </c>
      <c r="J106" s="41">
        <v>24</v>
      </c>
      <c r="K106" s="41">
        <v>0</v>
      </c>
      <c r="L106" s="41"/>
      <c r="M106" s="42">
        <v>40</v>
      </c>
      <c r="N106" s="42">
        <v>40</v>
      </c>
      <c r="O106" s="43">
        <v>0</v>
      </c>
      <c r="P106" s="44">
        <v>1248</v>
      </c>
      <c r="Q106" s="44">
        <v>1248</v>
      </c>
      <c r="R106" s="45"/>
      <c r="S106" s="46"/>
      <c r="T106" s="39">
        <f t="shared" si="38"/>
        <v>30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1248</v>
      </c>
      <c r="AB106" s="51">
        <f t="shared" si="46"/>
        <v>0</v>
      </c>
      <c r="AC106" s="44">
        <f t="shared" si="47"/>
        <v>1168.5393258426966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2.0370530785446261</v>
      </c>
      <c r="AG106" s="44">
        <f t="shared" si="50"/>
        <v>0</v>
      </c>
      <c r="AH106" s="52">
        <f>HLOOKUP(I106,ElecAvoidedCostsWOCC!$A$5:$Q$50,T106+1,FALSE)</f>
        <v>2.0370530785446261</v>
      </c>
      <c r="AI106" s="44">
        <f t="shared" si="51"/>
        <v>0</v>
      </c>
      <c r="AJ106" s="44">
        <f t="shared" si="52"/>
        <v>0</v>
      </c>
      <c r="AK106" s="44">
        <f>HLOOKUP(I106,ElecAvoidedCostsWOCC!$A$5:$Q$50,G106+1,FALSE)*J106*L106</f>
        <v>0</v>
      </c>
      <c r="AL106" s="44">
        <f t="shared" si="53"/>
        <v>0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>
        <f t="shared" si="56"/>
        <v>0</v>
      </c>
    </row>
    <row r="107" spans="2:42" x14ac:dyDescent="0.35">
      <c r="B107" s="97" t="s">
        <v>71</v>
      </c>
      <c r="C107" s="100">
        <v>18230611</v>
      </c>
      <c r="D107" s="100" t="s">
        <v>72</v>
      </c>
      <c r="E107" s="38" t="s">
        <v>1955</v>
      </c>
      <c r="F107" s="39" t="s">
        <v>1956</v>
      </c>
      <c r="G107" s="39">
        <v>30</v>
      </c>
      <c r="H107" s="39"/>
      <c r="I107" s="40" t="s">
        <v>272</v>
      </c>
      <c r="J107" s="41">
        <v>34</v>
      </c>
      <c r="K107" s="41">
        <v>0</v>
      </c>
      <c r="L107" s="41"/>
      <c r="M107" s="42">
        <v>2.75</v>
      </c>
      <c r="N107" s="42">
        <v>2.75</v>
      </c>
      <c r="O107" s="43">
        <v>0</v>
      </c>
      <c r="P107" s="44">
        <v>259455.29</v>
      </c>
      <c r="Q107" s="44">
        <v>259455.29</v>
      </c>
      <c r="R107" s="45">
        <v>0</v>
      </c>
      <c r="S107" s="46"/>
      <c r="T107" s="39">
        <f t="shared" si="38"/>
        <v>30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259455.29</v>
      </c>
      <c r="AB107" s="51">
        <f t="shared" si="46"/>
        <v>0</v>
      </c>
      <c r="AC107" s="44">
        <f t="shared" si="47"/>
        <v>242935.66479400749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2.0370530785446261</v>
      </c>
      <c r="AG107" s="44">
        <f t="shared" si="50"/>
        <v>0</v>
      </c>
      <c r="AH107" s="52">
        <f>HLOOKUP(I107,ElecAvoidedCostsWOCC!$A$5:$Q$50,T107+1,FALSE)</f>
        <v>2.0370530785446261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>
        <f t="shared" si="56"/>
        <v>0</v>
      </c>
    </row>
    <row r="108" spans="2:42" x14ac:dyDescent="0.35">
      <c r="B108" s="97" t="s">
        <v>71</v>
      </c>
      <c r="C108" s="100">
        <v>18230611</v>
      </c>
      <c r="D108" s="100" t="s">
        <v>72</v>
      </c>
      <c r="E108" s="38" t="s">
        <v>1957</v>
      </c>
      <c r="F108" s="39" t="s">
        <v>1958</v>
      </c>
      <c r="G108" s="39">
        <v>25</v>
      </c>
      <c r="H108" s="39"/>
      <c r="I108" s="40" t="s">
        <v>274</v>
      </c>
      <c r="J108" s="41">
        <v>84583</v>
      </c>
      <c r="K108" s="41">
        <v>0.34</v>
      </c>
      <c r="L108" s="41"/>
      <c r="M108" s="42">
        <v>1.1499999999999999</v>
      </c>
      <c r="N108" s="42">
        <v>1.1499999999999999</v>
      </c>
      <c r="O108" s="43">
        <v>28758.22</v>
      </c>
      <c r="P108" s="44">
        <v>128015.71</v>
      </c>
      <c r="Q108" s="44">
        <v>128015.71</v>
      </c>
      <c r="R108" s="45">
        <v>0.18</v>
      </c>
      <c r="S108" s="46">
        <v>0</v>
      </c>
      <c r="T108" s="39">
        <f t="shared" si="38"/>
        <v>25</v>
      </c>
      <c r="U108" s="47">
        <f t="shared" si="39"/>
        <v>0.52394958167834149</v>
      </c>
      <c r="V108" s="48">
        <f t="shared" si="40"/>
        <v>0</v>
      </c>
      <c r="W108" s="49">
        <f t="shared" si="41"/>
        <v>2.0957983267133662E-2</v>
      </c>
      <c r="X108" s="44">
        <f t="shared" si="42"/>
        <v>5827.8526343189842</v>
      </c>
      <c r="Y108" s="44">
        <f t="shared" si="43"/>
        <v>0</v>
      </c>
      <c r="Z108" s="44">
        <f t="shared" si="44"/>
        <v>98222.204976052977</v>
      </c>
      <c r="AA108" s="50">
        <f t="shared" si="45"/>
        <v>133843.56263431898</v>
      </c>
      <c r="AB108" s="51">
        <f t="shared" si="46"/>
        <v>91968.356719150717</v>
      </c>
      <c r="AC108" s="44">
        <f t="shared" si="47"/>
        <v>125321.68785984922</v>
      </c>
      <c r="AD108" s="44">
        <f t="shared" si="48"/>
        <v>180668.15487315954</v>
      </c>
      <c r="AE108" s="44">
        <f t="shared" si="49"/>
        <v>0</v>
      </c>
      <c r="AF108" s="52">
        <f>HLOOKUP(I108,ElecAvoidedCostsWOCC!$A$5:$Q$50,G108+1,FALSE)</f>
        <v>1.9455570023927977</v>
      </c>
      <c r="AG108" s="44">
        <f t="shared" si="50"/>
        <v>55950.756297352607</v>
      </c>
      <c r="AH108" s="52">
        <f>HLOOKUP(I108,ElecAvoidedCostsWOCC!$A$5:$Q$50,T108+1,FALSE)</f>
        <v>1.9455570023927977</v>
      </c>
      <c r="AI108" s="44">
        <f t="shared" si="51"/>
        <v>0</v>
      </c>
      <c r="AJ108" s="44">
        <f t="shared" si="52"/>
        <v>55950.756297352607</v>
      </c>
      <c r="AK108" s="44">
        <f>HLOOKUP(I108,ElecAvoidedCostsWOCC!$A$5:$Q$50,G108+1,FALSE)*J108*L108</f>
        <v>0</v>
      </c>
      <c r="AL108" s="44">
        <f t="shared" si="53"/>
        <v>55950.756297352607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55950.756297352607</v>
      </c>
      <c r="AN108" s="48">
        <f t="shared" si="54"/>
        <v>242213.9868002474</v>
      </c>
      <c r="AO108" s="47">
        <f t="shared" si="55"/>
        <v>0.60836964248706527</v>
      </c>
      <c r="AP108" s="47">
        <f t="shared" si="56"/>
        <v>1.9327379876268673</v>
      </c>
    </row>
    <row r="109" spans="2:42" x14ac:dyDescent="0.35">
      <c r="B109" s="97" t="s">
        <v>71</v>
      </c>
      <c r="C109" s="100">
        <v>18230611</v>
      </c>
      <c r="D109" s="100" t="s">
        <v>72</v>
      </c>
      <c r="E109" s="38" t="s">
        <v>1961</v>
      </c>
      <c r="F109" s="39" t="s">
        <v>1962</v>
      </c>
      <c r="G109" s="39"/>
      <c r="H109" s="39"/>
      <c r="I109" s="40"/>
      <c r="J109" s="41">
        <v>4095</v>
      </c>
      <c r="K109" s="41">
        <v>0</v>
      </c>
      <c r="L109" s="41"/>
      <c r="M109" s="42">
        <v>0</v>
      </c>
      <c r="N109" s="42">
        <v>0</v>
      </c>
      <c r="O109" s="43">
        <v>0</v>
      </c>
      <c r="P109" s="44">
        <v>0</v>
      </c>
      <c r="Q109" s="44">
        <v>0</v>
      </c>
      <c r="R109" s="45">
        <v>0</v>
      </c>
      <c r="S109" s="46">
        <v>0</v>
      </c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 x14ac:dyDescent="0.35">
      <c r="B110" s="97" t="s">
        <v>71</v>
      </c>
      <c r="C110" s="100">
        <v>18230611</v>
      </c>
      <c r="D110" s="100" t="s">
        <v>72</v>
      </c>
      <c r="E110" s="38" t="s">
        <v>1963</v>
      </c>
      <c r="F110" s="39" t="s">
        <v>1964</v>
      </c>
      <c r="G110" s="39">
        <v>15</v>
      </c>
      <c r="H110" s="39"/>
      <c r="I110" s="40" t="s">
        <v>274</v>
      </c>
      <c r="J110" s="41">
        <v>37713</v>
      </c>
      <c r="K110" s="41">
        <v>0.13</v>
      </c>
      <c r="L110" s="41"/>
      <c r="M110" s="42">
        <v>1.32</v>
      </c>
      <c r="N110" s="42">
        <v>1.32</v>
      </c>
      <c r="O110" s="43">
        <v>4902.6899999999996</v>
      </c>
      <c r="P110" s="44">
        <v>68415.41</v>
      </c>
      <c r="Q110" s="44">
        <v>68415.41</v>
      </c>
      <c r="R110" s="45">
        <v>0.04</v>
      </c>
      <c r="S110" s="46">
        <v>0</v>
      </c>
      <c r="T110" s="39">
        <f t="shared" si="38"/>
        <v>15</v>
      </c>
      <c r="U110" s="47">
        <f t="shared" si="39"/>
        <v>5.3593630786576939E-2</v>
      </c>
      <c r="V110" s="48">
        <f t="shared" si="40"/>
        <v>0</v>
      </c>
      <c r="W110" s="49">
        <f t="shared" si="41"/>
        <v>3.5729087191051292E-3</v>
      </c>
      <c r="X110" s="44">
        <f t="shared" si="42"/>
        <v>993.53001791311624</v>
      </c>
      <c r="Y110" s="44">
        <f t="shared" si="43"/>
        <v>0</v>
      </c>
      <c r="Z110" s="44">
        <f t="shared" si="44"/>
        <v>16744.882754010679</v>
      </c>
      <c r="AA110" s="50">
        <f t="shared" si="45"/>
        <v>69408.940017913119</v>
      </c>
      <c r="AB110" s="51">
        <f t="shared" si="46"/>
        <v>15678.729170421984</v>
      </c>
      <c r="AC110" s="44">
        <f t="shared" si="47"/>
        <v>64989.644211529136</v>
      </c>
      <c r="AD110" s="44">
        <f t="shared" si="48"/>
        <v>13914.72965045192</v>
      </c>
      <c r="AE110" s="44">
        <f t="shared" si="49"/>
        <v>0</v>
      </c>
      <c r="AF110" s="52">
        <f>HLOOKUP(I110,ElecAvoidedCostsWOCC!$A$5:$Q$50,G110+1,FALSE)</f>
        <v>1.3031638418298148</v>
      </c>
      <c r="AG110" s="44">
        <f t="shared" si="50"/>
        <v>6389.0083357006151</v>
      </c>
      <c r="AH110" s="52">
        <f>HLOOKUP(I110,ElecAvoidedCostsWOCC!$A$5:$Q$50,T110+1,FALSE)</f>
        <v>1.3031638418298148</v>
      </c>
      <c r="AI110" s="44">
        <f t="shared" si="51"/>
        <v>0</v>
      </c>
      <c r="AJ110" s="44">
        <f t="shared" si="52"/>
        <v>6389.0083357006151</v>
      </c>
      <c r="AK110" s="44">
        <f>HLOOKUP(I110,ElecAvoidedCostsWOCC!$A$5:$Q$50,G110+1,FALSE)*J110*L110</f>
        <v>0</v>
      </c>
      <c r="AL110" s="44">
        <f t="shared" si="53"/>
        <v>6389.0083357006151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6389.0083357006151</v>
      </c>
      <c r="AN110" s="48">
        <f t="shared" si="54"/>
        <v>20942.638819722597</v>
      </c>
      <c r="AO110" s="47">
        <f t="shared" si="55"/>
        <v>0.40749529290636116</v>
      </c>
      <c r="AP110" s="47">
        <f t="shared" si="56"/>
        <v>0.32224578352142114</v>
      </c>
    </row>
    <row r="111" spans="2:42" x14ac:dyDescent="0.35">
      <c r="B111" s="97" t="s">
        <v>71</v>
      </c>
      <c r="C111" s="100">
        <v>18230611</v>
      </c>
      <c r="D111" s="100" t="s">
        <v>72</v>
      </c>
      <c r="E111" s="38" t="s">
        <v>1967</v>
      </c>
      <c r="F111" s="39" t="s">
        <v>1968</v>
      </c>
      <c r="G111" s="39">
        <v>15</v>
      </c>
      <c r="H111" s="39"/>
      <c r="I111" s="40" t="s">
        <v>270</v>
      </c>
      <c r="J111" s="41">
        <v>2</v>
      </c>
      <c r="K111" s="41">
        <v>20.68</v>
      </c>
      <c r="L111" s="41"/>
      <c r="M111" s="42">
        <v>20</v>
      </c>
      <c r="N111" s="42">
        <v>20</v>
      </c>
      <c r="O111" s="43">
        <v>41.36</v>
      </c>
      <c r="P111" s="44">
        <v>52</v>
      </c>
      <c r="Q111" s="44">
        <v>52</v>
      </c>
      <c r="R111" s="45">
        <v>15.81</v>
      </c>
      <c r="S111" s="46">
        <v>0</v>
      </c>
      <c r="T111" s="39">
        <f t="shared" si="38"/>
        <v>15</v>
      </c>
      <c r="U111" s="47">
        <f t="shared" si="39"/>
        <v>4.5212578591198355E-4</v>
      </c>
      <c r="V111" s="48">
        <f t="shared" si="40"/>
        <v>0</v>
      </c>
      <c r="W111" s="49">
        <f t="shared" si="41"/>
        <v>3.0141719060798902E-5</v>
      </c>
      <c r="X111" s="44">
        <f t="shared" si="42"/>
        <v>8.3816030670685873</v>
      </c>
      <c r="Y111" s="44">
        <f t="shared" si="43"/>
        <v>0</v>
      </c>
      <c r="Z111" s="44">
        <f t="shared" si="44"/>
        <v>141.26292927064162</v>
      </c>
      <c r="AA111" s="50">
        <f t="shared" si="45"/>
        <v>60.381603067068589</v>
      </c>
      <c r="AB111" s="51">
        <f t="shared" si="46"/>
        <v>132.26866036576931</v>
      </c>
      <c r="AC111" s="44">
        <f t="shared" si="47"/>
        <v>56.537081523472459</v>
      </c>
      <c r="AD111" s="44">
        <f t="shared" si="48"/>
        <v>291.66583906563363</v>
      </c>
      <c r="AE111" s="44">
        <f t="shared" si="49"/>
        <v>0</v>
      </c>
      <c r="AF111" s="52">
        <f>HLOOKUP(I111,ElecAvoidedCostsWOCC!$A$5:$Q$50,G111+1,FALSE)</f>
        <v>1.1105882828142983</v>
      </c>
      <c r="AG111" s="44">
        <f t="shared" si="50"/>
        <v>45.933931377199379</v>
      </c>
      <c r="AH111" s="52">
        <f>HLOOKUP(I111,ElecAvoidedCostsWOCC!$A$5:$Q$50,T111+1,FALSE)</f>
        <v>1.1105882828142983</v>
      </c>
      <c r="AI111" s="44">
        <f t="shared" si="51"/>
        <v>0</v>
      </c>
      <c r="AJ111" s="44">
        <f t="shared" si="52"/>
        <v>45.933931377199379</v>
      </c>
      <c r="AK111" s="44">
        <f>HLOOKUP(I111,ElecAvoidedCostsWOCC!$A$5:$Q$50,G111+1,FALSE)*J111*L111</f>
        <v>0</v>
      </c>
      <c r="AL111" s="44">
        <f t="shared" si="53"/>
        <v>45.933931377199379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45.933931377199379</v>
      </c>
      <c r="AN111" s="48">
        <f t="shared" si="54"/>
        <v>342.19316358055295</v>
      </c>
      <c r="AO111" s="47">
        <f t="shared" si="55"/>
        <v>0.34727751267893636</v>
      </c>
      <c r="AP111" s="47">
        <f t="shared" si="56"/>
        <v>6.052543823622818</v>
      </c>
    </row>
    <row r="112" spans="2:42" x14ac:dyDescent="0.35">
      <c r="B112" s="97" t="s">
        <v>71</v>
      </c>
      <c r="C112" s="100">
        <v>18230611</v>
      </c>
      <c r="D112" s="100" t="s">
        <v>72</v>
      </c>
      <c r="E112" s="38" t="s">
        <v>1969</v>
      </c>
      <c r="F112" s="39" t="s">
        <v>1970</v>
      </c>
      <c r="G112" s="39"/>
      <c r="H112" s="39"/>
      <c r="I112" s="40"/>
      <c r="J112" s="41">
        <v>1</v>
      </c>
      <c r="K112" s="41">
        <v>0</v>
      </c>
      <c r="L112" s="41"/>
      <c r="M112" s="42">
        <v>0</v>
      </c>
      <c r="N112" s="42">
        <v>0</v>
      </c>
      <c r="O112" s="43">
        <v>0</v>
      </c>
      <c r="P112" s="44">
        <v>0</v>
      </c>
      <c r="Q112" s="44">
        <v>24</v>
      </c>
      <c r="R112" s="45">
        <v>0</v>
      </c>
      <c r="S112" s="46">
        <v>0</v>
      </c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24</v>
      </c>
      <c r="Z112" s="44">
        <f t="shared" si="44"/>
        <v>0</v>
      </c>
      <c r="AA112" s="50">
        <f t="shared" si="45"/>
        <v>24</v>
      </c>
      <c r="AB112" s="51">
        <f t="shared" si="46"/>
        <v>0</v>
      </c>
      <c r="AC112" s="44">
        <f t="shared" si="47"/>
        <v>22.471910112359549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>
        <f t="shared" si="56"/>
        <v>0</v>
      </c>
    </row>
    <row r="113" spans="2:42" x14ac:dyDescent="0.35">
      <c r="B113" s="97" t="s">
        <v>71</v>
      </c>
      <c r="C113" s="100">
        <v>18230611</v>
      </c>
      <c r="D113" s="100" t="s">
        <v>72</v>
      </c>
      <c r="E113" s="38" t="s">
        <v>1971</v>
      </c>
      <c r="F113" s="39" t="s">
        <v>1972</v>
      </c>
      <c r="G113" s="39">
        <v>15</v>
      </c>
      <c r="H113" s="39"/>
      <c r="I113" s="40" t="s">
        <v>270</v>
      </c>
      <c r="J113" s="41">
        <v>77</v>
      </c>
      <c r="K113" s="41">
        <v>20.68</v>
      </c>
      <c r="L113" s="41"/>
      <c r="M113" s="42">
        <v>20</v>
      </c>
      <c r="N113" s="42">
        <v>20</v>
      </c>
      <c r="O113" s="43">
        <v>1592.36</v>
      </c>
      <c r="P113" s="44">
        <v>4805.2700000000004</v>
      </c>
      <c r="Q113" s="44">
        <v>4805.2700000000004</v>
      </c>
      <c r="R113" s="45">
        <v>16.21</v>
      </c>
      <c r="S113" s="46">
        <v>0</v>
      </c>
      <c r="T113" s="39">
        <f t="shared" si="38"/>
        <v>15</v>
      </c>
      <c r="U113" s="47">
        <f t="shared" si="39"/>
        <v>1.7406842757611361E-2</v>
      </c>
      <c r="V113" s="48">
        <f t="shared" si="40"/>
        <v>0</v>
      </c>
      <c r="W113" s="49">
        <f t="shared" si="41"/>
        <v>1.1604561838407575E-3</v>
      </c>
      <c r="X113" s="44">
        <f t="shared" si="42"/>
        <v>322.69171808214054</v>
      </c>
      <c r="Y113" s="44">
        <f t="shared" si="43"/>
        <v>0</v>
      </c>
      <c r="Z113" s="44">
        <f t="shared" si="44"/>
        <v>5438.6227769197003</v>
      </c>
      <c r="AA113" s="50">
        <f t="shared" si="45"/>
        <v>5127.9617180821406</v>
      </c>
      <c r="AB113" s="51">
        <f t="shared" si="46"/>
        <v>5092.3434240821161</v>
      </c>
      <c r="AC113" s="44">
        <f t="shared" si="47"/>
        <v>4801.4622828484462</v>
      </c>
      <c r="AD113" s="44">
        <f t="shared" si="48"/>
        <v>11513.236886355216</v>
      </c>
      <c r="AE113" s="44">
        <f t="shared" si="49"/>
        <v>0</v>
      </c>
      <c r="AF113" s="52">
        <f>HLOOKUP(I113,ElecAvoidedCostsWOCC!$A$5:$Q$50,G113+1,FALSE)</f>
        <v>1.1105882828142983</v>
      </c>
      <c r="AG113" s="44">
        <f t="shared" si="50"/>
        <v>1768.4563580221761</v>
      </c>
      <c r="AH113" s="52">
        <f>HLOOKUP(I113,ElecAvoidedCostsWOCC!$A$5:$Q$50,T113+1,FALSE)</f>
        <v>1.1105882828142983</v>
      </c>
      <c r="AI113" s="44">
        <f t="shared" si="51"/>
        <v>0</v>
      </c>
      <c r="AJ113" s="44">
        <f t="shared" si="52"/>
        <v>1768.4563580221761</v>
      </c>
      <c r="AK113" s="44">
        <f>HLOOKUP(I113,ElecAvoidedCostsWOCC!$A$5:$Q$50,G113+1,FALSE)*J113*L113</f>
        <v>0</v>
      </c>
      <c r="AL113" s="44">
        <f t="shared" si="53"/>
        <v>1768.4563580221761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1768.4563580221761</v>
      </c>
      <c r="AN113" s="48">
        <f t="shared" si="54"/>
        <v>13458.538880179611</v>
      </c>
      <c r="AO113" s="47">
        <f t="shared" si="55"/>
        <v>0.34727751267893653</v>
      </c>
      <c r="AP113" s="47">
        <f t="shared" si="56"/>
        <v>2.803008351904702</v>
      </c>
    </row>
    <row r="114" spans="2:42" x14ac:dyDescent="0.35">
      <c r="B114" s="97" t="s">
        <v>71</v>
      </c>
      <c r="C114" s="100">
        <v>18230611</v>
      </c>
      <c r="D114" s="100" t="s">
        <v>72</v>
      </c>
      <c r="E114" s="38" t="s">
        <v>1975</v>
      </c>
      <c r="F114" s="39" t="s">
        <v>1976</v>
      </c>
      <c r="G114" s="39"/>
      <c r="H114" s="39"/>
      <c r="I114" s="40"/>
      <c r="J114" s="41">
        <v>14</v>
      </c>
      <c r="K114" s="41">
        <v>0</v>
      </c>
      <c r="L114" s="41"/>
      <c r="M114" s="42">
        <v>0</v>
      </c>
      <c r="N114" s="42">
        <v>0</v>
      </c>
      <c r="O114" s="43">
        <v>0</v>
      </c>
      <c r="P114" s="44">
        <v>0</v>
      </c>
      <c r="Q114" s="44">
        <v>1948.98</v>
      </c>
      <c r="R114" s="45">
        <v>0</v>
      </c>
      <c r="S114" s="46">
        <v>0</v>
      </c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1948.98</v>
      </c>
      <c r="Z114" s="44">
        <f t="shared" si="44"/>
        <v>0</v>
      </c>
      <c r="AA114" s="50">
        <f t="shared" si="45"/>
        <v>1948.98</v>
      </c>
      <c r="AB114" s="51">
        <f t="shared" si="46"/>
        <v>0</v>
      </c>
      <c r="AC114" s="44">
        <f t="shared" si="47"/>
        <v>1824.8876404494381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>
        <f t="shared" si="56"/>
        <v>0</v>
      </c>
    </row>
    <row r="115" spans="2:42" x14ac:dyDescent="0.35">
      <c r="B115" s="97" t="s">
        <v>71</v>
      </c>
      <c r="C115" s="100">
        <v>18230611</v>
      </c>
      <c r="D115" s="100" t="s">
        <v>72</v>
      </c>
      <c r="E115" s="38" t="s">
        <v>1977</v>
      </c>
      <c r="F115" s="39" t="s">
        <v>1978</v>
      </c>
      <c r="G115" s="39">
        <v>15</v>
      </c>
      <c r="H115" s="39"/>
      <c r="I115" s="40" t="s">
        <v>270</v>
      </c>
      <c r="J115" s="41">
        <v>30</v>
      </c>
      <c r="K115" s="41">
        <v>20.68</v>
      </c>
      <c r="L115" s="41"/>
      <c r="M115" s="42">
        <v>20</v>
      </c>
      <c r="N115" s="42">
        <v>20</v>
      </c>
      <c r="O115" s="43">
        <v>620.4</v>
      </c>
      <c r="P115" s="44">
        <v>1846.27</v>
      </c>
      <c r="Q115" s="44">
        <v>1846.27</v>
      </c>
      <c r="R115" s="45">
        <v>16.21</v>
      </c>
      <c r="S115" s="46">
        <v>0</v>
      </c>
      <c r="T115" s="39">
        <f t="shared" si="38"/>
        <v>15</v>
      </c>
      <c r="U115" s="47">
        <f t="shared" si="39"/>
        <v>6.7818867886797526E-3</v>
      </c>
      <c r="V115" s="48">
        <f t="shared" si="40"/>
        <v>0</v>
      </c>
      <c r="W115" s="49">
        <f t="shared" si="41"/>
        <v>4.5212578591198349E-4</v>
      </c>
      <c r="X115" s="44">
        <f t="shared" si="42"/>
        <v>125.7240460060288</v>
      </c>
      <c r="Y115" s="44">
        <f t="shared" si="43"/>
        <v>0</v>
      </c>
      <c r="Z115" s="44">
        <f t="shared" si="44"/>
        <v>2118.943939059624</v>
      </c>
      <c r="AA115" s="50">
        <f t="shared" si="45"/>
        <v>1971.9940460060288</v>
      </c>
      <c r="AB115" s="51">
        <f t="shared" si="46"/>
        <v>1984.0299054865393</v>
      </c>
      <c r="AC115" s="44">
        <f t="shared" si="47"/>
        <v>1846.436372664821</v>
      </c>
      <c r="AD115" s="44">
        <f t="shared" si="48"/>
        <v>4485.676708969565</v>
      </c>
      <c r="AE115" s="44">
        <f t="shared" si="49"/>
        <v>0</v>
      </c>
      <c r="AF115" s="52">
        <f>HLOOKUP(I115,ElecAvoidedCostsWOCC!$A$5:$Q$50,G115+1,FALSE)</f>
        <v>1.1105882828142983</v>
      </c>
      <c r="AG115" s="44">
        <f t="shared" si="50"/>
        <v>689.00897065799063</v>
      </c>
      <c r="AH115" s="52">
        <f>HLOOKUP(I115,ElecAvoidedCostsWOCC!$A$5:$Q$50,T115+1,FALSE)</f>
        <v>1.1105882828142983</v>
      </c>
      <c r="AI115" s="44">
        <f t="shared" si="51"/>
        <v>0</v>
      </c>
      <c r="AJ115" s="44">
        <f t="shared" si="52"/>
        <v>689.00897065799063</v>
      </c>
      <c r="AK115" s="44">
        <f>HLOOKUP(I115,ElecAvoidedCostsWOCC!$A$5:$Q$50,G115+1,FALSE)*J115*L115</f>
        <v>0</v>
      </c>
      <c r="AL115" s="44">
        <f t="shared" si="53"/>
        <v>689.00897065799063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689.00897065799063</v>
      </c>
      <c r="AN115" s="48">
        <f t="shared" si="54"/>
        <v>5243.5865766933548</v>
      </c>
      <c r="AO115" s="47">
        <f t="shared" si="55"/>
        <v>0.34727751267893642</v>
      </c>
      <c r="AP115" s="47">
        <f t="shared" si="56"/>
        <v>2.8398414666873606</v>
      </c>
    </row>
    <row r="116" spans="2:42" x14ac:dyDescent="0.35">
      <c r="B116" s="97" t="s">
        <v>71</v>
      </c>
      <c r="C116" s="100">
        <v>18230611</v>
      </c>
      <c r="D116" s="100" t="s">
        <v>72</v>
      </c>
      <c r="E116" s="38" t="s">
        <v>1981</v>
      </c>
      <c r="F116" s="39" t="s">
        <v>1982</v>
      </c>
      <c r="G116" s="39"/>
      <c r="H116" s="39"/>
      <c r="I116" s="40"/>
      <c r="J116" s="41">
        <v>2</v>
      </c>
      <c r="K116" s="41">
        <v>0</v>
      </c>
      <c r="L116" s="41"/>
      <c r="M116" s="42">
        <v>0</v>
      </c>
      <c r="N116" s="42">
        <v>0</v>
      </c>
      <c r="O116" s="43">
        <v>0</v>
      </c>
      <c r="P116" s="44">
        <v>0</v>
      </c>
      <c r="Q116" s="44">
        <v>5472.77</v>
      </c>
      <c r="R116" s="45">
        <v>0</v>
      </c>
      <c r="S116" s="46">
        <v>0</v>
      </c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5472.77</v>
      </c>
      <c r="Z116" s="44">
        <f t="shared" si="44"/>
        <v>0</v>
      </c>
      <c r="AA116" s="50">
        <f t="shared" si="45"/>
        <v>5472.77</v>
      </c>
      <c r="AB116" s="51">
        <f t="shared" si="46"/>
        <v>0</v>
      </c>
      <c r="AC116" s="44">
        <f t="shared" si="47"/>
        <v>5124.3164794007489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>
        <f t="shared" si="56"/>
        <v>0</v>
      </c>
    </row>
    <row r="117" spans="2:42" x14ac:dyDescent="0.35">
      <c r="B117" s="97" t="s">
        <v>71</v>
      </c>
      <c r="C117" s="100">
        <v>18230611</v>
      </c>
      <c r="D117" s="100" t="s">
        <v>72</v>
      </c>
      <c r="E117" s="38" t="s">
        <v>1983</v>
      </c>
      <c r="F117" s="39" t="s">
        <v>1984</v>
      </c>
      <c r="G117" s="39"/>
      <c r="H117" s="39"/>
      <c r="I117" s="40"/>
      <c r="J117" s="41">
        <v>2</v>
      </c>
      <c r="K117" s="41">
        <v>0</v>
      </c>
      <c r="L117" s="41"/>
      <c r="M117" s="42">
        <v>0</v>
      </c>
      <c r="N117" s="42">
        <v>0</v>
      </c>
      <c r="O117" s="43">
        <v>0</v>
      </c>
      <c r="P117" s="44">
        <v>0</v>
      </c>
      <c r="Q117" s="44">
        <v>7812.65</v>
      </c>
      <c r="R117" s="45">
        <v>0</v>
      </c>
      <c r="S117" s="46">
        <v>0</v>
      </c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7812.65</v>
      </c>
      <c r="Z117" s="44">
        <f t="shared" si="44"/>
        <v>0</v>
      </c>
      <c r="AA117" s="50">
        <f t="shared" si="45"/>
        <v>7812.65</v>
      </c>
      <c r="AB117" s="51">
        <f t="shared" si="46"/>
        <v>0</v>
      </c>
      <c r="AC117" s="44">
        <f t="shared" si="47"/>
        <v>7315.2153558052423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>
        <f t="shared" si="56"/>
        <v>0</v>
      </c>
    </row>
    <row r="118" spans="2:42" x14ac:dyDescent="0.35">
      <c r="B118" s="97" t="s">
        <v>71</v>
      </c>
      <c r="C118" s="100">
        <v>18230611</v>
      </c>
      <c r="D118" s="100" t="s">
        <v>72</v>
      </c>
      <c r="E118" s="38" t="s">
        <v>1985</v>
      </c>
      <c r="F118" s="39" t="s">
        <v>1986</v>
      </c>
      <c r="G118" s="39"/>
      <c r="H118" s="39"/>
      <c r="I118" s="40"/>
      <c r="J118" s="41">
        <v>4</v>
      </c>
      <c r="K118" s="41">
        <v>0</v>
      </c>
      <c r="L118" s="41"/>
      <c r="M118" s="42">
        <v>0</v>
      </c>
      <c r="N118" s="42">
        <v>0</v>
      </c>
      <c r="O118" s="43">
        <v>0</v>
      </c>
      <c r="P118" s="44">
        <v>0</v>
      </c>
      <c r="Q118" s="44">
        <v>5289.19</v>
      </c>
      <c r="R118" s="45">
        <v>0</v>
      </c>
      <c r="S118" s="46">
        <v>0</v>
      </c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5289.19</v>
      </c>
      <c r="Z118" s="44">
        <f t="shared" si="44"/>
        <v>0</v>
      </c>
      <c r="AA118" s="50">
        <f t="shared" si="45"/>
        <v>5289.19</v>
      </c>
      <c r="AB118" s="51">
        <f t="shared" si="46"/>
        <v>0</v>
      </c>
      <c r="AC118" s="44">
        <f t="shared" si="47"/>
        <v>4952.4250936329581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>
        <f t="shared" si="56"/>
        <v>0</v>
      </c>
    </row>
    <row r="119" spans="2:42" x14ac:dyDescent="0.35">
      <c r="B119" s="97" t="s">
        <v>71</v>
      </c>
      <c r="C119" s="100">
        <v>18230611</v>
      </c>
      <c r="D119" s="100" t="s">
        <v>72</v>
      </c>
      <c r="E119" s="38" t="s">
        <v>1987</v>
      </c>
      <c r="F119" s="39" t="s">
        <v>1988</v>
      </c>
      <c r="G119" s="39"/>
      <c r="H119" s="39"/>
      <c r="I119" s="40"/>
      <c r="J119" s="41">
        <v>4</v>
      </c>
      <c r="K119" s="41">
        <v>0</v>
      </c>
      <c r="L119" s="41"/>
      <c r="M119" s="42">
        <v>0</v>
      </c>
      <c r="N119" s="42">
        <v>0</v>
      </c>
      <c r="O119" s="43">
        <v>0</v>
      </c>
      <c r="P119" s="44">
        <v>1711.9</v>
      </c>
      <c r="Q119" s="44">
        <v>1711.9</v>
      </c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1711.9</v>
      </c>
      <c r="AB119" s="51">
        <f t="shared" si="46"/>
        <v>0</v>
      </c>
      <c r="AC119" s="44">
        <f t="shared" si="47"/>
        <v>1602.9026217228463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>
        <f t="shared" si="56"/>
        <v>0</v>
      </c>
    </row>
    <row r="120" spans="2:42" x14ac:dyDescent="0.35">
      <c r="B120" s="97" t="s">
        <v>71</v>
      </c>
      <c r="C120" s="100">
        <v>18230611</v>
      </c>
      <c r="D120" s="100" t="s">
        <v>72</v>
      </c>
      <c r="E120" s="38" t="s">
        <v>1989</v>
      </c>
      <c r="F120" s="39" t="s">
        <v>1990</v>
      </c>
      <c r="G120" s="39"/>
      <c r="H120" s="39"/>
      <c r="I120" s="40"/>
      <c r="J120" s="41">
        <v>2</v>
      </c>
      <c r="K120" s="41">
        <v>0</v>
      </c>
      <c r="L120" s="41"/>
      <c r="M120" s="42">
        <v>0</v>
      </c>
      <c r="N120" s="42">
        <v>0</v>
      </c>
      <c r="O120" s="43">
        <v>0</v>
      </c>
      <c r="P120" s="44">
        <v>0</v>
      </c>
      <c r="Q120" s="44">
        <v>783.66</v>
      </c>
      <c r="R120" s="45">
        <v>0</v>
      </c>
      <c r="S120" s="46">
        <v>0</v>
      </c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783.66</v>
      </c>
      <c r="Z120" s="44">
        <f t="shared" si="44"/>
        <v>0</v>
      </c>
      <c r="AA120" s="50">
        <f t="shared" si="45"/>
        <v>783.66</v>
      </c>
      <c r="AB120" s="51">
        <f t="shared" si="46"/>
        <v>0</v>
      </c>
      <c r="AC120" s="44">
        <f t="shared" si="47"/>
        <v>733.76404494382018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>
        <f t="shared" si="56"/>
        <v>0</v>
      </c>
    </row>
    <row r="121" spans="2:42" x14ac:dyDescent="0.35">
      <c r="B121" s="97" t="s">
        <v>71</v>
      </c>
      <c r="C121" s="100">
        <v>18230611</v>
      </c>
      <c r="D121" s="100" t="s">
        <v>72</v>
      </c>
      <c r="E121" s="38" t="s">
        <v>1991</v>
      </c>
      <c r="F121" s="39" t="s">
        <v>1992</v>
      </c>
      <c r="G121" s="39"/>
      <c r="H121" s="39"/>
      <c r="I121" s="40"/>
      <c r="J121" s="41">
        <v>2</v>
      </c>
      <c r="K121" s="41">
        <v>0</v>
      </c>
      <c r="L121" s="41"/>
      <c r="M121" s="42">
        <v>0</v>
      </c>
      <c r="N121" s="42">
        <v>0</v>
      </c>
      <c r="O121" s="43">
        <v>0</v>
      </c>
      <c r="P121" s="44">
        <v>846.13</v>
      </c>
      <c r="Q121" s="44">
        <v>846.13</v>
      </c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846.13</v>
      </c>
      <c r="AB121" s="51">
        <f t="shared" si="46"/>
        <v>0</v>
      </c>
      <c r="AC121" s="44">
        <f t="shared" si="47"/>
        <v>792.25655430711606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>
        <f t="shared" si="56"/>
        <v>0</v>
      </c>
    </row>
    <row r="122" spans="2:42" x14ac:dyDescent="0.35">
      <c r="B122" s="97" t="s">
        <v>71</v>
      </c>
      <c r="C122" s="100">
        <v>18230611</v>
      </c>
      <c r="D122" s="100" t="s">
        <v>72</v>
      </c>
      <c r="E122" s="38" t="s">
        <v>1993</v>
      </c>
      <c r="F122" s="39" t="s">
        <v>1994</v>
      </c>
      <c r="G122" s="39"/>
      <c r="H122" s="39"/>
      <c r="I122" s="40"/>
      <c r="J122" s="41">
        <v>117</v>
      </c>
      <c r="K122" s="41">
        <v>0</v>
      </c>
      <c r="L122" s="41"/>
      <c r="M122" s="42">
        <v>0</v>
      </c>
      <c r="N122" s="42">
        <v>0</v>
      </c>
      <c r="O122" s="43">
        <v>0</v>
      </c>
      <c r="P122" s="44">
        <v>0</v>
      </c>
      <c r="Q122" s="44">
        <v>6835.4</v>
      </c>
      <c r="R122" s="45">
        <v>0</v>
      </c>
      <c r="S122" s="46">
        <v>0</v>
      </c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6835.4</v>
      </c>
      <c r="Z122" s="44">
        <f t="shared" si="44"/>
        <v>0</v>
      </c>
      <c r="AA122" s="50">
        <f t="shared" si="45"/>
        <v>6835.4</v>
      </c>
      <c r="AB122" s="51">
        <f t="shared" si="46"/>
        <v>0</v>
      </c>
      <c r="AC122" s="44">
        <f t="shared" si="47"/>
        <v>6400.1872659176024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>
        <f t="shared" si="56"/>
        <v>0</v>
      </c>
    </row>
    <row r="123" spans="2:42" x14ac:dyDescent="0.35">
      <c r="B123" s="97" t="s">
        <v>71</v>
      </c>
      <c r="C123" s="100">
        <v>18230611</v>
      </c>
      <c r="D123" s="100" t="s">
        <v>72</v>
      </c>
      <c r="E123" s="38" t="s">
        <v>1995</v>
      </c>
      <c r="F123" s="39" t="s">
        <v>1996</v>
      </c>
      <c r="G123" s="39">
        <v>25</v>
      </c>
      <c r="H123" s="39"/>
      <c r="I123" s="40" t="s">
        <v>274</v>
      </c>
      <c r="J123" s="41">
        <v>388</v>
      </c>
      <c r="K123" s="41">
        <v>6.71</v>
      </c>
      <c r="L123" s="41"/>
      <c r="M123" s="42">
        <v>18.53</v>
      </c>
      <c r="N123" s="42">
        <v>18.53</v>
      </c>
      <c r="O123" s="43">
        <v>2603.48</v>
      </c>
      <c r="P123" s="44">
        <v>9237.76</v>
      </c>
      <c r="Q123" s="44">
        <v>9237.76</v>
      </c>
      <c r="R123" s="45">
        <v>4.45</v>
      </c>
      <c r="S123" s="46">
        <v>0</v>
      </c>
      <c r="T123" s="39">
        <f t="shared" si="38"/>
        <v>25</v>
      </c>
      <c r="U123" s="47">
        <f t="shared" si="39"/>
        <v>4.7433125447539123E-2</v>
      </c>
      <c r="V123" s="48">
        <f t="shared" si="40"/>
        <v>0</v>
      </c>
      <c r="W123" s="49">
        <f t="shared" si="41"/>
        <v>1.8973250179015648E-3</v>
      </c>
      <c r="X123" s="44">
        <f t="shared" si="42"/>
        <v>527.59516327494498</v>
      </c>
      <c r="Y123" s="44">
        <f t="shared" si="43"/>
        <v>0</v>
      </c>
      <c r="Z123" s="44">
        <f t="shared" si="44"/>
        <v>8892.0505584509192</v>
      </c>
      <c r="AA123" s="50">
        <f t="shared" si="45"/>
        <v>9765.3551632749459</v>
      </c>
      <c r="AB123" s="51">
        <f t="shared" si="46"/>
        <v>8325.8900360027328</v>
      </c>
      <c r="AC123" s="44">
        <f t="shared" si="47"/>
        <v>9143.5909768492002</v>
      </c>
      <c r="AD123" s="44">
        <f t="shared" si="48"/>
        <v>20488.858163250381</v>
      </c>
      <c r="AE123" s="44">
        <f t="shared" si="49"/>
        <v>0</v>
      </c>
      <c r="AF123" s="52">
        <f>HLOOKUP(I123,ElecAvoidedCostsWOCC!$A$5:$Q$50,G123+1,FALSE)</f>
        <v>1.9455570023927977</v>
      </c>
      <c r="AG123" s="44">
        <f t="shared" si="50"/>
        <v>5065.2187445896006</v>
      </c>
      <c r="AH123" s="52">
        <f>HLOOKUP(I123,ElecAvoidedCostsWOCC!$A$5:$Q$50,T123+1,FALSE)</f>
        <v>1.9455570023927977</v>
      </c>
      <c r="AI123" s="44">
        <f t="shared" si="51"/>
        <v>0</v>
      </c>
      <c r="AJ123" s="44">
        <f t="shared" si="52"/>
        <v>5065.2187445896006</v>
      </c>
      <c r="AK123" s="44">
        <f>HLOOKUP(I123,ElecAvoidedCostsWOCC!$A$5:$Q$50,G123+1,FALSE)*J123*L123</f>
        <v>0</v>
      </c>
      <c r="AL123" s="44">
        <f t="shared" si="53"/>
        <v>5065.2187445896006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5065.2187445896016</v>
      </c>
      <c r="AN123" s="48">
        <f t="shared" si="54"/>
        <v>26060.598782298941</v>
      </c>
      <c r="AO123" s="47">
        <f t="shared" si="55"/>
        <v>0.60836964248706527</v>
      </c>
      <c r="AP123" s="47">
        <f t="shared" si="56"/>
        <v>2.8501492300215721</v>
      </c>
    </row>
    <row r="124" spans="2:42" x14ac:dyDescent="0.35">
      <c r="B124" s="97" t="s">
        <v>71</v>
      </c>
      <c r="C124" s="100">
        <v>18230611</v>
      </c>
      <c r="D124" s="100" t="s">
        <v>72</v>
      </c>
      <c r="E124" s="38" t="s">
        <v>1997</v>
      </c>
      <c r="F124" s="39" t="s">
        <v>1998</v>
      </c>
      <c r="G124" s="39"/>
      <c r="H124" s="39"/>
      <c r="I124" s="40"/>
      <c r="J124" s="41">
        <v>26</v>
      </c>
      <c r="K124" s="41">
        <v>0</v>
      </c>
      <c r="L124" s="41"/>
      <c r="M124" s="42">
        <v>0</v>
      </c>
      <c r="N124" s="42">
        <v>0</v>
      </c>
      <c r="O124" s="43">
        <v>0</v>
      </c>
      <c r="P124" s="44">
        <v>0</v>
      </c>
      <c r="Q124" s="44">
        <v>3338.52</v>
      </c>
      <c r="R124" s="45">
        <v>0</v>
      </c>
      <c r="S124" s="46">
        <v>0</v>
      </c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3338.52</v>
      </c>
      <c r="Z124" s="44">
        <f t="shared" si="44"/>
        <v>0</v>
      </c>
      <c r="AA124" s="50">
        <f t="shared" si="45"/>
        <v>3338.52</v>
      </c>
      <c r="AB124" s="51">
        <f t="shared" si="46"/>
        <v>0</v>
      </c>
      <c r="AC124" s="44">
        <f t="shared" si="47"/>
        <v>3125.9550561797751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>
        <f t="shared" si="56"/>
        <v>0</v>
      </c>
    </row>
    <row r="125" spans="2:42" x14ac:dyDescent="0.35">
      <c r="B125" s="97" t="s">
        <v>71</v>
      </c>
      <c r="C125" s="100">
        <v>18230611</v>
      </c>
      <c r="D125" s="100" t="s">
        <v>72</v>
      </c>
      <c r="E125" s="38" t="s">
        <v>1999</v>
      </c>
      <c r="F125" s="39" t="s">
        <v>2000</v>
      </c>
      <c r="G125" s="39">
        <v>45</v>
      </c>
      <c r="H125" s="39"/>
      <c r="I125" s="40" t="s">
        <v>274</v>
      </c>
      <c r="J125" s="41">
        <v>26</v>
      </c>
      <c r="K125" s="41">
        <v>3.2</v>
      </c>
      <c r="L125" s="41"/>
      <c r="M125" s="42">
        <v>22.6</v>
      </c>
      <c r="N125" s="42">
        <v>22.6</v>
      </c>
      <c r="O125" s="43">
        <v>83.2</v>
      </c>
      <c r="P125" s="44">
        <v>763.88</v>
      </c>
      <c r="Q125" s="44">
        <v>763.88</v>
      </c>
      <c r="R125" s="45">
        <v>0.19</v>
      </c>
      <c r="S125" s="46">
        <v>0</v>
      </c>
      <c r="T125" s="39">
        <f t="shared" si="38"/>
        <v>45</v>
      </c>
      <c r="U125" s="47">
        <f t="shared" si="39"/>
        <v>2.7284960387725116E-3</v>
      </c>
      <c r="V125" s="48">
        <f t="shared" si="40"/>
        <v>0</v>
      </c>
      <c r="W125" s="49">
        <f t="shared" si="41"/>
        <v>6.0633245306055817E-5</v>
      </c>
      <c r="X125" s="44">
        <f t="shared" si="42"/>
        <v>16.860478123310116</v>
      </c>
      <c r="Y125" s="44">
        <f t="shared" si="43"/>
        <v>0</v>
      </c>
      <c r="Z125" s="44">
        <f t="shared" si="44"/>
        <v>284.16527358117457</v>
      </c>
      <c r="AA125" s="50">
        <f t="shared" si="45"/>
        <v>780.74047812331014</v>
      </c>
      <c r="AB125" s="51">
        <f t="shared" si="46"/>
        <v>266.07235354042564</v>
      </c>
      <c r="AC125" s="44">
        <f t="shared" si="47"/>
        <v>731.03041022781849</v>
      </c>
      <c r="AD125" s="44">
        <f t="shared" si="48"/>
        <v>68.884254234114479</v>
      </c>
      <c r="AE125" s="44">
        <f t="shared" si="49"/>
        <v>0</v>
      </c>
      <c r="AF125" s="52">
        <f>HLOOKUP(I125,ElecAvoidedCostsWOCC!$A$5:$Q$50,G125+1,FALSE)</f>
        <v>3.2695302314196475</v>
      </c>
      <c r="AG125" s="44">
        <f t="shared" si="50"/>
        <v>272.02491525411472</v>
      </c>
      <c r="AH125" s="52">
        <f>HLOOKUP(I125,ElecAvoidedCostsWOCC!$A$5:$Q$50,T125+1,FALSE)</f>
        <v>3.2695302314196475</v>
      </c>
      <c r="AI125" s="44">
        <f t="shared" si="51"/>
        <v>0</v>
      </c>
      <c r="AJ125" s="44">
        <f t="shared" si="52"/>
        <v>272.02491525411472</v>
      </c>
      <c r="AK125" s="44">
        <f>HLOOKUP(I125,ElecAvoidedCostsWOCC!$A$5:$Q$50,G125+1,FALSE)*J125*L125</f>
        <v>0</v>
      </c>
      <c r="AL125" s="44">
        <f t="shared" si="53"/>
        <v>272.02491525411472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272.02491525411472</v>
      </c>
      <c r="AN125" s="48">
        <f t="shared" si="54"/>
        <v>368.11166101364074</v>
      </c>
      <c r="AO125" s="47">
        <f t="shared" si="55"/>
        <v>1.0223719662508441</v>
      </c>
      <c r="AP125" s="47">
        <f t="shared" si="56"/>
        <v>0.50355177549853547</v>
      </c>
    </row>
    <row r="126" spans="2:42" x14ac:dyDescent="0.35">
      <c r="B126" s="97" t="s">
        <v>71</v>
      </c>
      <c r="C126" s="100">
        <v>18230611</v>
      </c>
      <c r="D126" s="100" t="s">
        <v>72</v>
      </c>
      <c r="E126" s="38" t="s">
        <v>2001</v>
      </c>
      <c r="F126" s="39" t="s">
        <v>2002</v>
      </c>
      <c r="G126" s="39"/>
      <c r="H126" s="39"/>
      <c r="I126" s="40"/>
      <c r="J126" s="41">
        <v>129</v>
      </c>
      <c r="K126" s="41">
        <v>0</v>
      </c>
      <c r="L126" s="41"/>
      <c r="M126" s="42">
        <v>0</v>
      </c>
      <c r="N126" s="42">
        <v>0</v>
      </c>
      <c r="O126" s="43">
        <v>0</v>
      </c>
      <c r="P126" s="44">
        <v>0</v>
      </c>
      <c r="Q126" s="44">
        <v>2126.39</v>
      </c>
      <c r="R126" s="45">
        <v>0</v>
      </c>
      <c r="S126" s="46">
        <v>0</v>
      </c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2126.39</v>
      </c>
      <c r="Z126" s="44">
        <f t="shared" si="44"/>
        <v>0</v>
      </c>
      <c r="AA126" s="50">
        <f t="shared" si="45"/>
        <v>2126.39</v>
      </c>
      <c r="AB126" s="51">
        <f t="shared" si="46"/>
        <v>0</v>
      </c>
      <c r="AC126" s="44">
        <f t="shared" si="47"/>
        <v>1991.0018726591759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>
        <f t="shared" si="56"/>
        <v>0</v>
      </c>
    </row>
    <row r="127" spans="2:42" x14ac:dyDescent="0.35">
      <c r="B127" s="97" t="s">
        <v>71</v>
      </c>
      <c r="C127" s="100">
        <v>18230611</v>
      </c>
      <c r="D127" s="100" t="s">
        <v>72</v>
      </c>
      <c r="E127" s="38" t="s">
        <v>2003</v>
      </c>
      <c r="F127" s="39" t="s">
        <v>2004</v>
      </c>
      <c r="G127" s="39">
        <v>25</v>
      </c>
      <c r="H127" s="39"/>
      <c r="I127" s="40" t="s">
        <v>274</v>
      </c>
      <c r="J127" s="41">
        <v>297</v>
      </c>
      <c r="K127" s="41">
        <v>16.54</v>
      </c>
      <c r="L127" s="41"/>
      <c r="M127" s="42">
        <v>18.53</v>
      </c>
      <c r="N127" s="42">
        <v>18.53</v>
      </c>
      <c r="O127" s="43">
        <v>4912.38</v>
      </c>
      <c r="P127" s="44">
        <v>7154.43</v>
      </c>
      <c r="Q127" s="44">
        <v>7154.43</v>
      </c>
      <c r="R127" s="45">
        <v>2.5099999999999998</v>
      </c>
      <c r="S127" s="46">
        <v>0</v>
      </c>
      <c r="T127" s="39">
        <f t="shared" si="38"/>
        <v>25</v>
      </c>
      <c r="U127" s="47">
        <f t="shared" si="39"/>
        <v>8.9499261291034402E-2</v>
      </c>
      <c r="V127" s="48">
        <f t="shared" si="40"/>
        <v>0</v>
      </c>
      <c r="W127" s="49">
        <f t="shared" si="41"/>
        <v>3.5799704516413758E-3</v>
      </c>
      <c r="X127" s="44">
        <f t="shared" si="42"/>
        <v>995.49369619454512</v>
      </c>
      <c r="Y127" s="44">
        <f t="shared" si="43"/>
        <v>0</v>
      </c>
      <c r="Z127" s="44">
        <f t="shared" si="44"/>
        <v>16777.97844512849</v>
      </c>
      <c r="AA127" s="50">
        <f t="shared" si="45"/>
        <v>8149.9236961945453</v>
      </c>
      <c r="AB127" s="51">
        <f t="shared" si="46"/>
        <v>15709.717645251394</v>
      </c>
      <c r="AC127" s="44">
        <f t="shared" si="47"/>
        <v>7631.0146968113713</v>
      </c>
      <c r="AD127" s="44">
        <f t="shared" si="48"/>
        <v>8846.1885178722696</v>
      </c>
      <c r="AE127" s="44">
        <f t="shared" si="49"/>
        <v>0</v>
      </c>
      <c r="AF127" s="52">
        <f>HLOOKUP(I127,ElecAvoidedCostsWOCC!$A$5:$Q$50,G127+1,FALSE)</f>
        <v>1.9455570023927977</v>
      </c>
      <c r="AG127" s="44">
        <f t="shared" si="50"/>
        <v>9557.315307414332</v>
      </c>
      <c r="AH127" s="52">
        <f>HLOOKUP(I127,ElecAvoidedCostsWOCC!$A$5:$Q$50,T127+1,FALSE)</f>
        <v>1.9455570023927977</v>
      </c>
      <c r="AI127" s="44">
        <f t="shared" si="51"/>
        <v>0</v>
      </c>
      <c r="AJ127" s="44">
        <f t="shared" si="52"/>
        <v>9557.315307414332</v>
      </c>
      <c r="AK127" s="44">
        <f>HLOOKUP(I127,ElecAvoidedCostsWOCC!$A$5:$Q$50,G127+1,FALSE)*J127*L127</f>
        <v>0</v>
      </c>
      <c r="AL127" s="44">
        <f t="shared" si="53"/>
        <v>9557.315307414332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9557.3153074143302</v>
      </c>
      <c r="AN127" s="48">
        <f t="shared" si="54"/>
        <v>19359.235356028032</v>
      </c>
      <c r="AO127" s="47">
        <f t="shared" si="55"/>
        <v>0.60836964248706515</v>
      </c>
      <c r="AP127" s="47">
        <f t="shared" si="56"/>
        <v>2.5369149615341864</v>
      </c>
    </row>
    <row r="128" spans="2:42" x14ac:dyDescent="0.35">
      <c r="B128" s="97" t="s">
        <v>71</v>
      </c>
      <c r="C128" s="100">
        <v>18230611</v>
      </c>
      <c r="D128" s="100" t="s">
        <v>72</v>
      </c>
      <c r="E128" s="38" t="s">
        <v>2005</v>
      </c>
      <c r="F128" s="39" t="s">
        <v>2006</v>
      </c>
      <c r="G128" s="39"/>
      <c r="H128" s="39"/>
      <c r="I128" s="40"/>
      <c r="J128" s="41">
        <v>9</v>
      </c>
      <c r="K128" s="41">
        <v>0</v>
      </c>
      <c r="L128" s="41"/>
      <c r="M128" s="42">
        <v>0</v>
      </c>
      <c r="N128" s="42">
        <v>0</v>
      </c>
      <c r="O128" s="43">
        <v>0</v>
      </c>
      <c r="P128" s="44">
        <v>0</v>
      </c>
      <c r="Q128" s="44">
        <v>0</v>
      </c>
      <c r="R128" s="45">
        <v>0</v>
      </c>
      <c r="S128" s="46">
        <v>0</v>
      </c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1:42" x14ac:dyDescent="0.35">
      <c r="B129" s="97" t="s">
        <v>71</v>
      </c>
      <c r="C129" s="100">
        <v>18230611</v>
      </c>
      <c r="D129" s="100" t="s">
        <v>72</v>
      </c>
      <c r="E129" s="38" t="s">
        <v>2007</v>
      </c>
      <c r="F129" s="39" t="s">
        <v>2008</v>
      </c>
      <c r="G129" s="39"/>
      <c r="H129" s="39"/>
      <c r="I129" s="40"/>
      <c r="J129" s="41">
        <v>15940</v>
      </c>
      <c r="K129" s="41">
        <v>0</v>
      </c>
      <c r="L129" s="41"/>
      <c r="M129" s="42">
        <v>0</v>
      </c>
      <c r="N129" s="42">
        <v>0</v>
      </c>
      <c r="O129" s="43">
        <v>0</v>
      </c>
      <c r="P129" s="44">
        <v>0</v>
      </c>
      <c r="Q129" s="44">
        <v>6000</v>
      </c>
      <c r="R129" s="45">
        <v>0</v>
      </c>
      <c r="S129" s="46">
        <v>0</v>
      </c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6000</v>
      </c>
      <c r="Z129" s="44">
        <f t="shared" si="44"/>
        <v>0</v>
      </c>
      <c r="AA129" s="50">
        <f t="shared" si="45"/>
        <v>6000</v>
      </c>
      <c r="AB129" s="51">
        <f t="shared" si="46"/>
        <v>0</v>
      </c>
      <c r="AC129" s="44">
        <f t="shared" si="47"/>
        <v>5617.9775280898875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>
        <f t="shared" si="56"/>
        <v>0</v>
      </c>
    </row>
    <row r="130" spans="1:42" x14ac:dyDescent="0.35">
      <c r="B130" s="97" t="s">
        <v>71</v>
      </c>
      <c r="C130" s="100">
        <v>18230611</v>
      </c>
      <c r="D130" s="100" t="s">
        <v>72</v>
      </c>
      <c r="E130" s="38" t="s">
        <v>2009</v>
      </c>
      <c r="F130" s="39" t="s">
        <v>2010</v>
      </c>
      <c r="G130" s="39">
        <v>45</v>
      </c>
      <c r="H130" s="39"/>
      <c r="I130" s="40" t="s">
        <v>272</v>
      </c>
      <c r="J130" s="41">
        <v>15940</v>
      </c>
      <c r="K130" s="41">
        <v>0.95</v>
      </c>
      <c r="L130" s="41"/>
      <c r="M130" s="42">
        <v>2.4300000000000002</v>
      </c>
      <c r="N130" s="42">
        <v>2.4300000000000002</v>
      </c>
      <c r="O130" s="43">
        <v>15143</v>
      </c>
      <c r="P130" s="44">
        <v>50354.46</v>
      </c>
      <c r="Q130" s="44">
        <v>50354.46</v>
      </c>
      <c r="R130" s="45">
        <v>0.1</v>
      </c>
      <c r="S130" s="46">
        <v>0</v>
      </c>
      <c r="T130" s="39">
        <f t="shared" si="38"/>
        <v>45</v>
      </c>
      <c r="U130" s="47">
        <f t="shared" si="39"/>
        <v>0.49660595571072286</v>
      </c>
      <c r="V130" s="48">
        <f t="shared" si="40"/>
        <v>0</v>
      </c>
      <c r="W130" s="49">
        <f t="shared" si="41"/>
        <v>1.103568790468273E-2</v>
      </c>
      <c r="X130" s="44">
        <f t="shared" si="42"/>
        <v>3068.7286084289071</v>
      </c>
      <c r="Y130" s="44">
        <f t="shared" si="43"/>
        <v>0</v>
      </c>
      <c r="Z130" s="44">
        <f t="shared" si="44"/>
        <v>51720.129060573636</v>
      </c>
      <c r="AA130" s="50">
        <f t="shared" si="45"/>
        <v>53423.188608428907</v>
      </c>
      <c r="AB130" s="51">
        <f t="shared" si="46"/>
        <v>48427.087135368572</v>
      </c>
      <c r="AC130" s="44">
        <f t="shared" si="47"/>
        <v>50021.712180176874</v>
      </c>
      <c r="AD130" s="44">
        <f t="shared" si="48"/>
        <v>22227.024544368112</v>
      </c>
      <c r="AE130" s="44">
        <f t="shared" si="49"/>
        <v>0</v>
      </c>
      <c r="AF130" s="52">
        <f>HLOOKUP(I130,ElecAvoidedCostsWOCC!$A$5:$Q$50,G130+1,FALSE)</f>
        <v>2.9502602387155141</v>
      </c>
      <c r="AG130" s="44">
        <f t="shared" si="50"/>
        <v>44675.790794869034</v>
      </c>
      <c r="AH130" s="52">
        <f>HLOOKUP(I130,ElecAvoidedCostsWOCC!$A$5:$Q$50,T130+1,FALSE)</f>
        <v>2.9502602387155141</v>
      </c>
      <c r="AI130" s="44">
        <f t="shared" si="51"/>
        <v>0</v>
      </c>
      <c r="AJ130" s="44">
        <f t="shared" si="52"/>
        <v>44675.790794869034</v>
      </c>
      <c r="AK130" s="44">
        <f>HLOOKUP(I130,ElecAvoidedCostsWOCC!$A$5:$Q$50,G130+1,FALSE)*J130*L130</f>
        <v>0</v>
      </c>
      <c r="AL130" s="44">
        <f t="shared" si="53"/>
        <v>44675.790794869034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44675.790794869026</v>
      </c>
      <c r="AN130" s="48">
        <f t="shared" si="54"/>
        <v>71370.394418724056</v>
      </c>
      <c r="AO130" s="47">
        <f t="shared" si="55"/>
        <v>0.92253722942258487</v>
      </c>
      <c r="AP130" s="47">
        <f t="shared" si="56"/>
        <v>1.4267883146752314</v>
      </c>
    </row>
    <row r="131" spans="1:42" x14ac:dyDescent="0.35">
      <c r="B131" s="97" t="s">
        <v>71</v>
      </c>
      <c r="C131" s="100">
        <v>18230611</v>
      </c>
      <c r="D131" s="100" t="s">
        <v>72</v>
      </c>
      <c r="E131" s="38" t="s">
        <v>2011</v>
      </c>
      <c r="F131" s="39" t="s">
        <v>2012</v>
      </c>
      <c r="G131" s="39">
        <v>0</v>
      </c>
      <c r="H131" s="39"/>
      <c r="I131" s="40"/>
      <c r="J131" s="41">
        <v>9312</v>
      </c>
      <c r="K131" s="41">
        <v>0</v>
      </c>
      <c r="L131" s="41"/>
      <c r="M131" s="42">
        <v>0</v>
      </c>
      <c r="N131" s="42">
        <v>0</v>
      </c>
      <c r="O131" s="43">
        <v>0</v>
      </c>
      <c r="P131" s="44">
        <v>0</v>
      </c>
      <c r="Q131" s="44">
        <v>685.2</v>
      </c>
      <c r="R131" s="45">
        <v>0</v>
      </c>
      <c r="S131" s="46">
        <v>0</v>
      </c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685.2</v>
      </c>
      <c r="Z131" s="44">
        <f t="shared" si="44"/>
        <v>0</v>
      </c>
      <c r="AA131" s="50">
        <f t="shared" si="45"/>
        <v>685.2</v>
      </c>
      <c r="AB131" s="51">
        <f t="shared" si="46"/>
        <v>0</v>
      </c>
      <c r="AC131" s="44">
        <f t="shared" si="47"/>
        <v>641.57303370786519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>
        <f t="shared" si="56"/>
        <v>0</v>
      </c>
    </row>
    <row r="132" spans="1:42" x14ac:dyDescent="0.35">
      <c r="B132" s="97" t="s">
        <v>71</v>
      </c>
      <c r="C132" s="100">
        <v>18230611</v>
      </c>
      <c r="D132" s="100" t="s">
        <v>72</v>
      </c>
      <c r="E132" s="38" t="s">
        <v>2013</v>
      </c>
      <c r="F132" s="39" t="s">
        <v>2014</v>
      </c>
      <c r="G132" s="39">
        <v>45</v>
      </c>
      <c r="H132" s="39"/>
      <c r="I132" s="40" t="s">
        <v>274</v>
      </c>
      <c r="J132" s="41">
        <v>12325</v>
      </c>
      <c r="K132" s="41">
        <v>1.37</v>
      </c>
      <c r="L132" s="41"/>
      <c r="M132" s="42">
        <v>2.4300000000000002</v>
      </c>
      <c r="N132" s="42">
        <v>2.4300000000000002</v>
      </c>
      <c r="O132" s="43">
        <v>16885.25</v>
      </c>
      <c r="P132" s="44">
        <v>37818.19</v>
      </c>
      <c r="Q132" s="44">
        <v>37818.19</v>
      </c>
      <c r="R132" s="45">
        <v>0.16</v>
      </c>
      <c r="S132" s="46">
        <v>0</v>
      </c>
      <c r="T132" s="39">
        <f t="shared" si="38"/>
        <v>45</v>
      </c>
      <c r="U132" s="47">
        <f t="shared" si="39"/>
        <v>0.55374204012840811</v>
      </c>
      <c r="V132" s="48">
        <f t="shared" si="40"/>
        <v>0</v>
      </c>
      <c r="W132" s="49">
        <f t="shared" si="41"/>
        <v>1.2305378669520179E-2</v>
      </c>
      <c r="X132" s="44">
        <f t="shared" si="42"/>
        <v>3421.7955316300736</v>
      </c>
      <c r="Y132" s="44">
        <f t="shared" si="43"/>
        <v>0</v>
      </c>
      <c r="Z132" s="44">
        <f t="shared" si="44"/>
        <v>57670.693338179422</v>
      </c>
      <c r="AA132" s="50">
        <f t="shared" si="45"/>
        <v>41239.985531630075</v>
      </c>
      <c r="AB132" s="51">
        <f t="shared" si="46"/>
        <v>53998.776533875862</v>
      </c>
      <c r="AC132" s="44">
        <f t="shared" si="47"/>
        <v>38614.218662574975</v>
      </c>
      <c r="AD132" s="44">
        <f t="shared" si="48"/>
        <v>27497.924969569583</v>
      </c>
      <c r="AE132" s="44">
        <f t="shared" si="49"/>
        <v>0</v>
      </c>
      <c r="AF132" s="52">
        <f>HLOOKUP(I132,ElecAvoidedCostsWOCC!$A$5:$Q$50,G132+1,FALSE)</f>
        <v>3.2695302314196475</v>
      </c>
      <c r="AG132" s="44">
        <f t="shared" si="50"/>
        <v>55206.835340078607</v>
      </c>
      <c r="AH132" s="52">
        <f>HLOOKUP(I132,ElecAvoidedCostsWOCC!$A$5:$Q$50,T132+1,FALSE)</f>
        <v>3.2695302314196475</v>
      </c>
      <c r="AI132" s="44">
        <f t="shared" si="51"/>
        <v>0</v>
      </c>
      <c r="AJ132" s="44">
        <f t="shared" si="52"/>
        <v>55206.835340078607</v>
      </c>
      <c r="AK132" s="44">
        <f>HLOOKUP(I132,ElecAvoidedCostsWOCC!$A$5:$Q$50,G132+1,FALSE)*J132*L132</f>
        <v>0</v>
      </c>
      <c r="AL132" s="44">
        <f t="shared" si="53"/>
        <v>55206.835340078607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55206.835340078607</v>
      </c>
      <c r="AN132" s="48">
        <f t="shared" si="54"/>
        <v>88225.443843656059</v>
      </c>
      <c r="AO132" s="47">
        <f t="shared" si="55"/>
        <v>1.0223719662508441</v>
      </c>
      <c r="AP132" s="47">
        <f t="shared" si="56"/>
        <v>2.2847916363296621</v>
      </c>
    </row>
    <row r="133" spans="1:42" x14ac:dyDescent="0.35">
      <c r="B133" s="97" t="s">
        <v>71</v>
      </c>
      <c r="C133" s="100">
        <v>18230611</v>
      </c>
      <c r="D133" s="100" t="s">
        <v>72</v>
      </c>
      <c r="E133" s="38" t="s">
        <v>2017</v>
      </c>
      <c r="F133" s="39" t="s">
        <v>2018</v>
      </c>
      <c r="G133" s="39">
        <v>0</v>
      </c>
      <c r="H133" s="39"/>
      <c r="I133" s="40"/>
      <c r="J133" s="41">
        <v>4529</v>
      </c>
      <c r="K133" s="41">
        <v>0</v>
      </c>
      <c r="L133" s="41"/>
      <c r="M133" s="42">
        <v>0</v>
      </c>
      <c r="N133" s="42">
        <v>0</v>
      </c>
      <c r="O133" s="43">
        <v>0</v>
      </c>
      <c r="P133" s="44">
        <v>0</v>
      </c>
      <c r="Q133" s="44">
        <v>0</v>
      </c>
      <c r="R133" s="45">
        <v>0</v>
      </c>
      <c r="S133" s="46">
        <v>0</v>
      </c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1:42" x14ac:dyDescent="0.35">
      <c r="B134" s="97" t="s">
        <v>71</v>
      </c>
      <c r="C134" s="100">
        <v>18230611</v>
      </c>
      <c r="D134" s="100" t="s">
        <v>72</v>
      </c>
      <c r="E134" s="38" t="s">
        <v>2019</v>
      </c>
      <c r="F134" s="39" t="s">
        <v>2020</v>
      </c>
      <c r="G134" s="39">
        <v>45</v>
      </c>
      <c r="H134" s="39"/>
      <c r="I134" s="40" t="s">
        <v>274</v>
      </c>
      <c r="J134" s="41">
        <v>29078</v>
      </c>
      <c r="K134" s="41">
        <v>0.38</v>
      </c>
      <c r="L134" s="41"/>
      <c r="M134" s="42">
        <v>1.82</v>
      </c>
      <c r="N134" s="42">
        <v>1.82</v>
      </c>
      <c r="O134" s="43">
        <v>11049.64</v>
      </c>
      <c r="P134" s="44">
        <v>70932.72</v>
      </c>
      <c r="Q134" s="44">
        <v>70932.72</v>
      </c>
      <c r="R134" s="45">
        <v>0.09</v>
      </c>
      <c r="S134" s="46">
        <v>0</v>
      </c>
      <c r="T134" s="39">
        <f t="shared" si="38"/>
        <v>45</v>
      </c>
      <c r="U134" s="47">
        <f t="shared" si="39"/>
        <v>0.36236657415699874</v>
      </c>
      <c r="V134" s="48">
        <f t="shared" si="40"/>
        <v>0</v>
      </c>
      <c r="W134" s="49">
        <f t="shared" si="41"/>
        <v>8.0525905368221944E-3</v>
      </c>
      <c r="X134" s="44">
        <f t="shared" si="42"/>
        <v>2239.2092967602453</v>
      </c>
      <c r="Y134" s="44">
        <f t="shared" si="43"/>
        <v>0</v>
      </c>
      <c r="Z134" s="44">
        <f t="shared" si="44"/>
        <v>37739.470836219829</v>
      </c>
      <c r="AA134" s="50">
        <f t="shared" si="45"/>
        <v>73171.929296760252</v>
      </c>
      <c r="AB134" s="51">
        <f t="shared" si="46"/>
        <v>35336.583179981113</v>
      </c>
      <c r="AC134" s="44">
        <f t="shared" si="47"/>
        <v>68513.042412696857</v>
      </c>
      <c r="AD134" s="44">
        <f t="shared" si="48"/>
        <v>36492.20061047819</v>
      </c>
      <c r="AE134" s="44">
        <f t="shared" si="49"/>
        <v>0</v>
      </c>
      <c r="AF134" s="52">
        <f>HLOOKUP(I134,ElecAvoidedCostsWOCC!$A$5:$Q$50,G134+1,FALSE)</f>
        <v>3.2695302314196475</v>
      </c>
      <c r="AG134" s="44">
        <f t="shared" si="50"/>
        <v>36127.1320263038</v>
      </c>
      <c r="AH134" s="52">
        <f>HLOOKUP(I134,ElecAvoidedCostsWOCC!$A$5:$Q$50,T134+1,FALSE)</f>
        <v>3.2695302314196475</v>
      </c>
      <c r="AI134" s="44">
        <f t="shared" si="51"/>
        <v>0</v>
      </c>
      <c r="AJ134" s="44">
        <f t="shared" si="52"/>
        <v>36127.1320263038</v>
      </c>
      <c r="AK134" s="44">
        <f>HLOOKUP(I134,ElecAvoidedCostsWOCC!$A$5:$Q$50,G134+1,FALSE)*J134*L134</f>
        <v>0</v>
      </c>
      <c r="AL134" s="44">
        <f t="shared" si="53"/>
        <v>36127.1320263038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36127.1320263038</v>
      </c>
      <c r="AN134" s="48">
        <f t="shared" si="54"/>
        <v>76232.045839412371</v>
      </c>
      <c r="AO134" s="47">
        <f t="shared" si="55"/>
        <v>1.0223719662508441</v>
      </c>
      <c r="AP134" s="47">
        <f t="shared" si="56"/>
        <v>1.1126647300264252</v>
      </c>
    </row>
    <row r="135" spans="1:42" x14ac:dyDescent="0.35">
      <c r="B135" s="97" t="s">
        <v>71</v>
      </c>
      <c r="C135" s="100">
        <v>18230611</v>
      </c>
      <c r="D135" s="100" t="s">
        <v>72</v>
      </c>
      <c r="E135" s="38" t="s">
        <v>2023</v>
      </c>
      <c r="F135" s="39" t="s">
        <v>2024</v>
      </c>
      <c r="G135" s="39">
        <v>45</v>
      </c>
      <c r="H135" s="39"/>
      <c r="I135" s="40" t="s">
        <v>272</v>
      </c>
      <c r="J135" s="41">
        <v>63080</v>
      </c>
      <c r="K135" s="41">
        <v>0.28000000000000003</v>
      </c>
      <c r="L135" s="41"/>
      <c r="M135" s="42">
        <v>1.82</v>
      </c>
      <c r="N135" s="42">
        <v>1.82</v>
      </c>
      <c r="O135" s="43">
        <v>17662.400000000001</v>
      </c>
      <c r="P135" s="44">
        <v>149247.26</v>
      </c>
      <c r="Q135" s="44">
        <v>149247.26</v>
      </c>
      <c r="R135" s="45">
        <v>0.04</v>
      </c>
      <c r="S135" s="46">
        <v>0</v>
      </c>
      <c r="T135" s="39">
        <f t="shared" si="38"/>
        <v>45</v>
      </c>
      <c r="U135" s="47">
        <f t="shared" si="39"/>
        <v>0.57922822638480309</v>
      </c>
      <c r="V135" s="48">
        <f t="shared" si="40"/>
        <v>0</v>
      </c>
      <c r="W135" s="49">
        <f t="shared" si="41"/>
        <v>1.2871738364106735E-2</v>
      </c>
      <c r="X135" s="44">
        <f t="shared" si="42"/>
        <v>3579.2849616003923</v>
      </c>
      <c r="Y135" s="44">
        <f t="shared" si="43"/>
        <v>0</v>
      </c>
      <c r="Z135" s="44">
        <f t="shared" si="44"/>
        <v>60325.00875120359</v>
      </c>
      <c r="AA135" s="50">
        <f t="shared" si="45"/>
        <v>152826.54496160039</v>
      </c>
      <c r="AB135" s="51">
        <f t="shared" si="46"/>
        <v>56484.090591014596</v>
      </c>
      <c r="AC135" s="44">
        <f t="shared" si="47"/>
        <v>143096.01588164829</v>
      </c>
      <c r="AD135" s="44">
        <f t="shared" si="48"/>
        <v>35183.95754727078</v>
      </c>
      <c r="AE135" s="44">
        <f t="shared" si="49"/>
        <v>0</v>
      </c>
      <c r="AF135" s="52">
        <f>HLOOKUP(I135,ElecAvoidedCostsWOCC!$A$5:$Q$50,G135+1,FALSE)</f>
        <v>2.9502602387155141</v>
      </c>
      <c r="AG135" s="44">
        <f t="shared" si="50"/>
        <v>52108.676440288902</v>
      </c>
      <c r="AH135" s="52">
        <f>HLOOKUP(I135,ElecAvoidedCostsWOCC!$A$5:$Q$50,T135+1,FALSE)</f>
        <v>2.9502602387155141</v>
      </c>
      <c r="AI135" s="44">
        <f t="shared" si="51"/>
        <v>0</v>
      </c>
      <c r="AJ135" s="44">
        <f t="shared" si="52"/>
        <v>52108.676440288902</v>
      </c>
      <c r="AK135" s="44">
        <f>HLOOKUP(I135,ElecAvoidedCostsWOCC!$A$5:$Q$50,G135+1,FALSE)*J135*L135</f>
        <v>0</v>
      </c>
      <c r="AL135" s="44">
        <f t="shared" si="53"/>
        <v>52108.676440288902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52108.676440288902</v>
      </c>
      <c r="AN135" s="48">
        <f t="shared" si="54"/>
        <v>92503.501631588588</v>
      </c>
      <c r="AO135" s="47">
        <f t="shared" si="55"/>
        <v>0.92253722942258487</v>
      </c>
      <c r="AP135" s="47">
        <f t="shared" si="56"/>
        <v>0.64644358587940209</v>
      </c>
    </row>
    <row r="136" spans="1:42" x14ac:dyDescent="0.35">
      <c r="B136" s="97" t="s">
        <v>71</v>
      </c>
      <c r="C136" s="100">
        <v>18230611</v>
      </c>
      <c r="D136" s="100" t="s">
        <v>72</v>
      </c>
      <c r="E136" s="38" t="s">
        <v>2025</v>
      </c>
      <c r="F136" s="39" t="s">
        <v>2026</v>
      </c>
      <c r="G136" s="39">
        <v>10</v>
      </c>
      <c r="H136" s="39"/>
      <c r="I136" s="40" t="s">
        <v>270</v>
      </c>
      <c r="J136" s="41">
        <v>45</v>
      </c>
      <c r="K136" s="41">
        <v>0</v>
      </c>
      <c r="L136" s="41"/>
      <c r="M136" s="42">
        <v>11.35</v>
      </c>
      <c r="N136" s="42">
        <v>11.35</v>
      </c>
      <c r="O136" s="43">
        <v>0</v>
      </c>
      <c r="P136" s="44">
        <v>650.69000000000005</v>
      </c>
      <c r="Q136" s="44">
        <v>650.69000000000005</v>
      </c>
      <c r="R136" s="45">
        <v>0</v>
      </c>
      <c r="S136" s="46">
        <v>0</v>
      </c>
      <c r="T136" s="39">
        <f t="shared" si="38"/>
        <v>10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650.69000000000005</v>
      </c>
      <c r="AB136" s="51">
        <f t="shared" si="46"/>
        <v>0</v>
      </c>
      <c r="AC136" s="44">
        <f t="shared" si="47"/>
        <v>609.26029962546818</v>
      </c>
      <c r="AD136" s="44">
        <f t="shared" si="48"/>
        <v>0</v>
      </c>
      <c r="AE136" s="44">
        <f t="shared" si="49"/>
        <v>0</v>
      </c>
      <c r="AF136" s="52">
        <f>HLOOKUP(I136,ElecAvoidedCostsWOCC!$A$5:$Q$50,G136+1,FALSE)</f>
        <v>0.78742691251205932</v>
      </c>
      <c r="AG136" s="44">
        <f t="shared" si="50"/>
        <v>0</v>
      </c>
      <c r="AH136" s="52">
        <f>HLOOKUP(I136,ElecAvoidedCostsWOCC!$A$5:$Q$50,T136+1,FALSE)</f>
        <v>0.78742691251205932</v>
      </c>
      <c r="AI136" s="44">
        <f t="shared" si="51"/>
        <v>0</v>
      </c>
      <c r="AJ136" s="44">
        <f t="shared" si="52"/>
        <v>0</v>
      </c>
      <c r="AK136" s="44">
        <f>HLOOKUP(I136,ElecAvoidedCostsWOCC!$A$5:$Q$50,G136+1,FALSE)*J136*L136</f>
        <v>0</v>
      </c>
      <c r="AL136" s="44">
        <f t="shared" si="53"/>
        <v>0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>
        <f t="shared" si="56"/>
        <v>0</v>
      </c>
    </row>
    <row r="137" spans="1:42" x14ac:dyDescent="0.35">
      <c r="B137" s="97" t="s">
        <v>71</v>
      </c>
      <c r="C137" s="100">
        <v>18230611</v>
      </c>
      <c r="D137" s="100" t="s">
        <v>72</v>
      </c>
      <c r="E137" s="38" t="s">
        <v>2027</v>
      </c>
      <c r="F137" s="39" t="s">
        <v>2028</v>
      </c>
      <c r="G137" s="39">
        <v>10</v>
      </c>
      <c r="H137" s="39"/>
      <c r="I137" s="40" t="s">
        <v>270</v>
      </c>
      <c r="J137" s="41">
        <v>23</v>
      </c>
      <c r="K137" s="41">
        <v>0</v>
      </c>
      <c r="L137" s="41"/>
      <c r="M137" s="42">
        <v>11.35</v>
      </c>
      <c r="N137" s="42">
        <v>11.35</v>
      </c>
      <c r="O137" s="43">
        <v>0</v>
      </c>
      <c r="P137" s="44">
        <v>383.59</v>
      </c>
      <c r="Q137" s="44">
        <v>383.59</v>
      </c>
      <c r="R137" s="45">
        <v>0</v>
      </c>
      <c r="S137" s="46">
        <v>0</v>
      </c>
      <c r="T137" s="39">
        <f t="shared" ref="T137:T177" si="57">G137+H137</f>
        <v>10</v>
      </c>
      <c r="U137" s="47">
        <f t="shared" ref="U137:U177" si="58">(O137/$A$10)*T137</f>
        <v>0</v>
      </c>
      <c r="V137" s="48">
        <f t="shared" ref="V137:V177" si="59">N137-M137</f>
        <v>0</v>
      </c>
      <c r="W137" s="49">
        <f t="shared" ref="W137:W177" si="60">(O137/A$10)</f>
        <v>0</v>
      </c>
      <c r="X137" s="44">
        <f t="shared" ref="X137:X177" si="61">W137*A$8</f>
        <v>0</v>
      </c>
      <c r="Y137" s="44">
        <f t="shared" ref="Y137:Y177" si="62">Q137-P137</f>
        <v>0</v>
      </c>
      <c r="Z137" s="44">
        <f t="shared" ref="Z137:Z177" si="63">X137+(A$6*W137)</f>
        <v>0</v>
      </c>
      <c r="AA137" s="50">
        <f t="shared" ref="AA137:AA177" si="64">Q137+X137</f>
        <v>383.59</v>
      </c>
      <c r="AB137" s="51">
        <f t="shared" ref="AB137:AB177" si="65">Z137/(1+ElecDiscountRate)^1</f>
        <v>0</v>
      </c>
      <c r="AC137" s="44">
        <f t="shared" ref="AC137:AC177" si="66">AA137/(1+ElecDiscountRate)^1</f>
        <v>359.16666666666663</v>
      </c>
      <c r="AD137" s="44">
        <f t="shared" ref="AD137:AD177" si="67">-PV(ElecDiscountRate,T137,R137)*J137</f>
        <v>0</v>
      </c>
      <c r="AE137" s="44">
        <f t="shared" ref="AE137:AE177" si="68">-PV(ElecDiscountRate,T137,S137)*J137</f>
        <v>0</v>
      </c>
      <c r="AF137" s="52">
        <f>HLOOKUP(I137,ElecAvoidedCostsWOCC!$A$5:$Q$50,G137+1,FALSE)</f>
        <v>0.78742691251205932</v>
      </c>
      <c r="AG137" s="44">
        <f t="shared" ref="AG137:AG177" si="69">AF137*J137*K137</f>
        <v>0</v>
      </c>
      <c r="AH137" s="52">
        <f>HLOOKUP(I137,ElecAvoidedCostsWOCC!$A$5:$Q$50,T137+1,FALSE)</f>
        <v>0.78742691251205932</v>
      </c>
      <c r="AI137" s="44">
        <f t="shared" ref="AI137:AI177" si="70">AH137*J137*L137</f>
        <v>0</v>
      </c>
      <c r="AJ137" s="44">
        <f t="shared" ref="AJ137:AJ177" si="71">AG137+AI137</f>
        <v>0</v>
      </c>
      <c r="AK137" s="44">
        <f>HLOOKUP(I137,ElecAvoidedCostsWOCC!$A$5:$Q$50,G137+1,FALSE)*J137*L137</f>
        <v>0</v>
      </c>
      <c r="AL137" s="44">
        <f t="shared" ref="AL137:AL177" si="72">AG137+AI137-AK137</f>
        <v>0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ref="AN137:AN177" si="73">AM137*1.1+AD137+AE137</f>
        <v>0</v>
      </c>
      <c r="AO137" s="47">
        <f t="shared" ref="AO137:AO177" si="74">IFERROR(AM137/AB137,0)</f>
        <v>0</v>
      </c>
      <c r="AP137" s="47">
        <f t="shared" ref="AP137:AP177" si="75">AN137/AC137</f>
        <v>0</v>
      </c>
    </row>
    <row r="138" spans="1:42" x14ac:dyDescent="0.35">
      <c r="B138" s="97" t="s">
        <v>71</v>
      </c>
      <c r="C138" s="100">
        <v>18230611</v>
      </c>
      <c r="D138" s="100" t="s">
        <v>72</v>
      </c>
      <c r="E138" s="38" t="s">
        <v>2029</v>
      </c>
      <c r="F138" s="39" t="s">
        <v>2030</v>
      </c>
      <c r="G138" s="39"/>
      <c r="H138" s="39"/>
      <c r="I138" s="40"/>
      <c r="J138" s="41">
        <v>85</v>
      </c>
      <c r="K138" s="41">
        <v>0</v>
      </c>
      <c r="L138" s="41"/>
      <c r="M138" s="42">
        <v>0</v>
      </c>
      <c r="N138" s="42">
        <v>0</v>
      </c>
      <c r="O138" s="43">
        <v>0</v>
      </c>
      <c r="P138" s="44">
        <v>1299.45</v>
      </c>
      <c r="Q138" s="44">
        <v>1299.45</v>
      </c>
      <c r="R138" s="45">
        <v>0</v>
      </c>
      <c r="S138" s="46">
        <v>0</v>
      </c>
      <c r="T138" s="39">
        <f t="shared" si="57"/>
        <v>0</v>
      </c>
      <c r="U138" s="47">
        <f t="shared" si="58"/>
        <v>0</v>
      </c>
      <c r="V138" s="48">
        <f t="shared" si="59"/>
        <v>0</v>
      </c>
      <c r="W138" s="49">
        <f t="shared" si="60"/>
        <v>0</v>
      </c>
      <c r="X138" s="44">
        <f t="shared" si="61"/>
        <v>0</v>
      </c>
      <c r="Y138" s="44">
        <f t="shared" si="62"/>
        <v>0</v>
      </c>
      <c r="Z138" s="44">
        <f t="shared" si="63"/>
        <v>0</v>
      </c>
      <c r="AA138" s="50">
        <f t="shared" si="64"/>
        <v>1299.45</v>
      </c>
      <c r="AB138" s="51">
        <f t="shared" si="65"/>
        <v>0</v>
      </c>
      <c r="AC138" s="44">
        <f t="shared" si="66"/>
        <v>1216.7134831460673</v>
      </c>
      <c r="AD138" s="44">
        <f t="shared" si="67"/>
        <v>0</v>
      </c>
      <c r="AE138" s="44">
        <f t="shared" si="68"/>
        <v>0</v>
      </c>
      <c r="AF138" s="52" t="e">
        <f>HLOOKUP(I138,ElecAvoidedCostsWOCC!$A$5:$Q$50,G138+1,FALSE)</f>
        <v>#N/A</v>
      </c>
      <c r="AG138" s="44" t="e">
        <f t="shared" si="69"/>
        <v>#N/A</v>
      </c>
      <c r="AH138" s="52" t="e">
        <f>HLOOKUP(I138,ElecAvoidedCostsWOCC!$A$5:$Q$50,T138+1,FALSE)</f>
        <v>#N/A</v>
      </c>
      <c r="AI138" s="44" t="e">
        <f t="shared" si="70"/>
        <v>#N/A</v>
      </c>
      <c r="AJ138" s="44" t="e">
        <f t="shared" si="71"/>
        <v>#N/A</v>
      </c>
      <c r="AK138" s="44" t="e">
        <f>HLOOKUP(I138,ElecAvoidedCostsWOCC!$A$5:$Q$50,G138+1,FALSE)*J138*L138</f>
        <v>#N/A</v>
      </c>
      <c r="AL138" s="44" t="e">
        <f t="shared" si="7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3"/>
        <v>0</v>
      </c>
      <c r="AO138" s="47">
        <f t="shared" si="74"/>
        <v>0</v>
      </c>
      <c r="AP138" s="47">
        <f t="shared" si="75"/>
        <v>0</v>
      </c>
    </row>
    <row r="139" spans="1:42" x14ac:dyDescent="0.35">
      <c r="B139" s="97" t="s">
        <v>71</v>
      </c>
      <c r="C139" s="100">
        <v>18230611</v>
      </c>
      <c r="D139" s="100" t="s">
        <v>72</v>
      </c>
      <c r="E139" s="38" t="s">
        <v>2031</v>
      </c>
      <c r="F139" s="39" t="s">
        <v>2032</v>
      </c>
      <c r="G139" s="39"/>
      <c r="H139" s="39"/>
      <c r="I139" s="40"/>
      <c r="J139" s="41">
        <v>54</v>
      </c>
      <c r="K139" s="41">
        <v>0</v>
      </c>
      <c r="L139" s="41"/>
      <c r="M139" s="42">
        <v>0</v>
      </c>
      <c r="N139" s="42">
        <v>0</v>
      </c>
      <c r="O139" s="43">
        <v>0</v>
      </c>
      <c r="P139" s="44">
        <v>825.55</v>
      </c>
      <c r="Q139" s="44">
        <v>825.55</v>
      </c>
      <c r="R139" s="45">
        <v>0</v>
      </c>
      <c r="S139" s="46">
        <v>0</v>
      </c>
      <c r="T139" s="39">
        <f t="shared" si="57"/>
        <v>0</v>
      </c>
      <c r="U139" s="47">
        <f t="shared" si="58"/>
        <v>0</v>
      </c>
      <c r="V139" s="48">
        <f t="shared" si="59"/>
        <v>0</v>
      </c>
      <c r="W139" s="49">
        <f t="shared" si="60"/>
        <v>0</v>
      </c>
      <c r="X139" s="44">
        <f t="shared" si="61"/>
        <v>0</v>
      </c>
      <c r="Y139" s="44">
        <f t="shared" si="62"/>
        <v>0</v>
      </c>
      <c r="Z139" s="44">
        <f t="shared" si="63"/>
        <v>0</v>
      </c>
      <c r="AA139" s="50">
        <f t="shared" si="64"/>
        <v>825.55</v>
      </c>
      <c r="AB139" s="51">
        <f t="shared" si="65"/>
        <v>0</v>
      </c>
      <c r="AC139" s="44">
        <f t="shared" si="66"/>
        <v>772.98689138576765</v>
      </c>
      <c r="AD139" s="44">
        <f t="shared" si="67"/>
        <v>0</v>
      </c>
      <c r="AE139" s="44">
        <f t="shared" si="68"/>
        <v>0</v>
      </c>
      <c r="AF139" s="52" t="e">
        <f>HLOOKUP(I139,ElecAvoidedCostsWOCC!$A$5:$Q$50,G139+1,FALSE)</f>
        <v>#N/A</v>
      </c>
      <c r="AG139" s="44" t="e">
        <f t="shared" si="69"/>
        <v>#N/A</v>
      </c>
      <c r="AH139" s="52" t="e">
        <f>HLOOKUP(I139,ElecAvoidedCostsWOCC!$A$5:$Q$50,T139+1,FALSE)</f>
        <v>#N/A</v>
      </c>
      <c r="AI139" s="44" t="e">
        <f t="shared" si="70"/>
        <v>#N/A</v>
      </c>
      <c r="AJ139" s="44" t="e">
        <f t="shared" si="71"/>
        <v>#N/A</v>
      </c>
      <c r="AK139" s="44" t="e">
        <f>HLOOKUP(I139,ElecAvoidedCostsWOCC!$A$5:$Q$50,G139+1,FALSE)*J139*L139</f>
        <v>#N/A</v>
      </c>
      <c r="AL139" s="44" t="e">
        <f t="shared" si="7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3"/>
        <v>0</v>
      </c>
      <c r="AO139" s="47">
        <f t="shared" si="74"/>
        <v>0</v>
      </c>
      <c r="AP139" s="47">
        <f t="shared" si="75"/>
        <v>0</v>
      </c>
    </row>
    <row r="140" spans="1:42" x14ac:dyDescent="0.35">
      <c r="B140" s="97" t="s">
        <v>71</v>
      </c>
      <c r="C140" s="100">
        <v>18230611</v>
      </c>
      <c r="D140" s="100" t="s">
        <v>72</v>
      </c>
      <c r="E140" s="38" t="s">
        <v>2033</v>
      </c>
      <c r="F140" s="39" t="s">
        <v>2034</v>
      </c>
      <c r="G140" s="39"/>
      <c r="H140" s="39"/>
      <c r="I140" s="40"/>
      <c r="J140" s="41">
        <v>1</v>
      </c>
      <c r="K140" s="41">
        <v>0</v>
      </c>
      <c r="L140" s="41"/>
      <c r="M140" s="42"/>
      <c r="N140" s="42"/>
      <c r="O140" s="43">
        <v>0</v>
      </c>
      <c r="P140" s="44">
        <v>0</v>
      </c>
      <c r="Q140" s="44">
        <v>39583.82</v>
      </c>
      <c r="R140" s="45">
        <v>0</v>
      </c>
      <c r="S140" s="46">
        <v>0</v>
      </c>
      <c r="T140" s="39">
        <f t="shared" si="57"/>
        <v>0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39583.82</v>
      </c>
      <c r="Z140" s="44">
        <f t="shared" si="63"/>
        <v>0</v>
      </c>
      <c r="AA140" s="50">
        <f t="shared" si="64"/>
        <v>39583.82</v>
      </c>
      <c r="AB140" s="51">
        <f t="shared" si="65"/>
        <v>0</v>
      </c>
      <c r="AC140" s="44">
        <f t="shared" si="66"/>
        <v>37063.501872659173</v>
      </c>
      <c r="AD140" s="44">
        <f t="shared" si="67"/>
        <v>0</v>
      </c>
      <c r="AE140" s="44">
        <f t="shared" si="68"/>
        <v>0</v>
      </c>
      <c r="AF140" s="52" t="e">
        <f>HLOOKUP(I140,ElecAvoidedCostsWOCC!$A$5:$Q$50,G140+1,FALSE)</f>
        <v>#N/A</v>
      </c>
      <c r="AG140" s="44" t="e">
        <f t="shared" si="69"/>
        <v>#N/A</v>
      </c>
      <c r="AH140" s="52" t="e">
        <f>HLOOKUP(I140,ElecAvoidedCostsWOCC!$A$5:$Q$50,T140+1,FALSE)</f>
        <v>#N/A</v>
      </c>
      <c r="AI140" s="44" t="e">
        <f t="shared" si="70"/>
        <v>#N/A</v>
      </c>
      <c r="AJ140" s="44" t="e">
        <f t="shared" si="71"/>
        <v>#N/A</v>
      </c>
      <c r="AK140" s="44" t="e">
        <f>HLOOKUP(I140,ElecAvoidedCostsWOCC!$A$5:$Q$50,G140+1,FALSE)*J140*L140</f>
        <v>#N/A</v>
      </c>
      <c r="AL140" s="44" t="e">
        <f t="shared" si="7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>
        <f t="shared" si="75"/>
        <v>0</v>
      </c>
    </row>
    <row r="141" spans="1:42" x14ac:dyDescent="0.35">
      <c r="A141" s="515"/>
      <c r="B141" s="97" t="s">
        <v>71</v>
      </c>
      <c r="C141" s="100">
        <v>18230611</v>
      </c>
      <c r="D141" s="100" t="s">
        <v>72</v>
      </c>
      <c r="E141" s="38" t="s">
        <v>2035</v>
      </c>
      <c r="F141" s="39" t="s">
        <v>2036</v>
      </c>
      <c r="G141" s="39">
        <v>15</v>
      </c>
      <c r="H141" s="39"/>
      <c r="I141" s="40" t="s">
        <v>272</v>
      </c>
      <c r="J141" s="41">
        <v>12</v>
      </c>
      <c r="K141" s="41">
        <v>21858.833333333332</v>
      </c>
      <c r="L141" s="41"/>
      <c r="M141" s="42"/>
      <c r="N141" s="42"/>
      <c r="O141" s="43">
        <v>262306</v>
      </c>
      <c r="P141" s="44">
        <v>438354.96</v>
      </c>
      <c r="Q141" s="44">
        <v>438354.96</v>
      </c>
      <c r="R141" s="45"/>
      <c r="S141" s="46"/>
      <c r="T141" s="39">
        <f t="shared" si="57"/>
        <v>15</v>
      </c>
      <c r="U141" s="47">
        <f t="shared" si="58"/>
        <v>2.8673913539513722</v>
      </c>
      <c r="V141" s="48">
        <f t="shared" si="59"/>
        <v>0</v>
      </c>
      <c r="W141" s="49">
        <f t="shared" si="60"/>
        <v>0.19115942359675814</v>
      </c>
      <c r="X141" s="44">
        <f t="shared" si="61"/>
        <v>53156.30498332913</v>
      </c>
      <c r="Y141" s="44">
        <f t="shared" si="62"/>
        <v>0</v>
      </c>
      <c r="Z141" s="44">
        <f t="shared" si="63"/>
        <v>895892.50302864879</v>
      </c>
      <c r="AA141" s="50">
        <f t="shared" si="64"/>
        <v>491511.26498332917</v>
      </c>
      <c r="AB141" s="51">
        <f t="shared" si="65"/>
        <v>838850.65826652502</v>
      </c>
      <c r="AC141" s="44">
        <f t="shared" si="66"/>
        <v>460216.54024656286</v>
      </c>
      <c r="AD141" s="44">
        <f t="shared" si="67"/>
        <v>0</v>
      </c>
      <c r="AE141" s="44">
        <f t="shared" si="68"/>
        <v>0</v>
      </c>
      <c r="AF141" s="52">
        <f>HLOOKUP(I141,ElecAvoidedCostsWOCC!$A$5:$Q$50,G141+1,FALSE)</f>
        <v>1.3031638418298148</v>
      </c>
      <c r="AG141" s="44">
        <f t="shared" si="69"/>
        <v>341827.69469501136</v>
      </c>
      <c r="AH141" s="52">
        <f>HLOOKUP(I141,ElecAvoidedCostsWOCC!$A$5:$Q$50,T141+1,FALSE)</f>
        <v>1.3031638418298148</v>
      </c>
      <c r="AI141" s="44">
        <f t="shared" si="70"/>
        <v>0</v>
      </c>
      <c r="AJ141" s="44">
        <f t="shared" si="71"/>
        <v>341827.69469501136</v>
      </c>
      <c r="AK141" s="44">
        <f>HLOOKUP(I141,ElecAvoidedCostsWOCC!$A$5:$Q$50,G141+1,FALSE)*J141*L141</f>
        <v>0</v>
      </c>
      <c r="AL141" s="44">
        <f t="shared" si="72"/>
        <v>341827.69469501136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341827.69469501142</v>
      </c>
      <c r="AN141" s="48">
        <f t="shared" si="73"/>
        <v>376010.46416451258</v>
      </c>
      <c r="AO141" s="47">
        <f t="shared" si="74"/>
        <v>0.40749529290636111</v>
      </c>
      <c r="AP141" s="47">
        <f t="shared" si="75"/>
        <v>0.81702944436343694</v>
      </c>
    </row>
    <row r="142" spans="1:42" x14ac:dyDescent="0.35">
      <c r="B142" s="97" t="s">
        <v>71</v>
      </c>
      <c r="C142" s="100">
        <v>18230611</v>
      </c>
      <c r="D142" s="100" t="s">
        <v>72</v>
      </c>
      <c r="E142" s="38" t="s">
        <v>2037</v>
      </c>
      <c r="F142" s="39" t="s">
        <v>2038</v>
      </c>
      <c r="G142" s="39"/>
      <c r="H142" s="39"/>
      <c r="I142" s="40"/>
      <c r="J142" s="41">
        <v>1</v>
      </c>
      <c r="K142" s="41">
        <v>0</v>
      </c>
      <c r="L142" s="41"/>
      <c r="M142" s="42"/>
      <c r="N142" s="42"/>
      <c r="O142" s="43">
        <v>0</v>
      </c>
      <c r="P142" s="44">
        <v>0</v>
      </c>
      <c r="Q142" s="44">
        <v>15391.96</v>
      </c>
      <c r="R142" s="45">
        <v>0</v>
      </c>
      <c r="S142" s="46">
        <v>0</v>
      </c>
      <c r="T142" s="39">
        <f t="shared" si="57"/>
        <v>0</v>
      </c>
      <c r="U142" s="47">
        <f t="shared" si="58"/>
        <v>0</v>
      </c>
      <c r="V142" s="48">
        <f t="shared" si="59"/>
        <v>0</v>
      </c>
      <c r="W142" s="49">
        <f t="shared" si="60"/>
        <v>0</v>
      </c>
      <c r="X142" s="44">
        <f t="shared" si="61"/>
        <v>0</v>
      </c>
      <c r="Y142" s="44">
        <f t="shared" si="62"/>
        <v>15391.96</v>
      </c>
      <c r="Z142" s="44">
        <f t="shared" si="63"/>
        <v>0</v>
      </c>
      <c r="AA142" s="50">
        <f t="shared" si="64"/>
        <v>15391.96</v>
      </c>
      <c r="AB142" s="51">
        <f t="shared" si="65"/>
        <v>0</v>
      </c>
      <c r="AC142" s="44">
        <f t="shared" si="66"/>
        <v>14411.947565543069</v>
      </c>
      <c r="AD142" s="44">
        <f t="shared" si="67"/>
        <v>0</v>
      </c>
      <c r="AE142" s="44">
        <f t="shared" si="68"/>
        <v>0</v>
      </c>
      <c r="AF142" s="52" t="e">
        <f>HLOOKUP(I142,ElecAvoidedCostsWOCC!$A$5:$Q$50,G142+1,FALSE)</f>
        <v>#N/A</v>
      </c>
      <c r="AG142" s="44" t="e">
        <f t="shared" si="69"/>
        <v>#N/A</v>
      </c>
      <c r="AH142" s="52" t="e">
        <f>HLOOKUP(I142,ElecAvoidedCostsWOCC!$A$5:$Q$50,T142+1,FALSE)</f>
        <v>#N/A</v>
      </c>
      <c r="AI142" s="44" t="e">
        <f t="shared" si="70"/>
        <v>#N/A</v>
      </c>
      <c r="AJ142" s="44" t="e">
        <f t="shared" si="71"/>
        <v>#N/A</v>
      </c>
      <c r="AK142" s="44" t="e">
        <f>HLOOKUP(I142,ElecAvoidedCostsWOCC!$A$5:$Q$50,G142+1,FALSE)*J142*L142</f>
        <v>#N/A</v>
      </c>
      <c r="AL142" s="44" t="e">
        <f t="shared" si="7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3"/>
        <v>0</v>
      </c>
      <c r="AO142" s="47">
        <f t="shared" si="74"/>
        <v>0</v>
      </c>
      <c r="AP142" s="47">
        <f t="shared" si="75"/>
        <v>0</v>
      </c>
    </row>
    <row r="143" spans="1:42" x14ac:dyDescent="0.35">
      <c r="B143" s="97" t="s">
        <v>71</v>
      </c>
      <c r="C143" s="100">
        <v>18230611</v>
      </c>
      <c r="D143" s="100" t="s">
        <v>72</v>
      </c>
      <c r="E143" s="38" t="s">
        <v>2039</v>
      </c>
      <c r="F143" s="39" t="s">
        <v>2040</v>
      </c>
      <c r="G143" s="39">
        <v>45</v>
      </c>
      <c r="H143" s="39"/>
      <c r="I143" s="40" t="s">
        <v>272</v>
      </c>
      <c r="J143" s="41">
        <v>2</v>
      </c>
      <c r="K143" s="41">
        <v>9026</v>
      </c>
      <c r="L143" s="41"/>
      <c r="M143" s="42"/>
      <c r="N143" s="42"/>
      <c r="O143" s="43">
        <v>18052</v>
      </c>
      <c r="P143" s="44">
        <v>7928.96</v>
      </c>
      <c r="Q143" s="44">
        <v>7928.96</v>
      </c>
      <c r="R143" s="45"/>
      <c r="S143" s="46"/>
      <c r="T143" s="39">
        <f t="shared" si="57"/>
        <v>45</v>
      </c>
      <c r="U143" s="47">
        <f t="shared" si="58"/>
        <v>0.59200493379713193</v>
      </c>
      <c r="V143" s="48">
        <f t="shared" si="59"/>
        <v>0</v>
      </c>
      <c r="W143" s="49">
        <f t="shared" si="60"/>
        <v>1.3155665195491821E-2</v>
      </c>
      <c r="X143" s="44">
        <f t="shared" si="61"/>
        <v>3658.2373928124302</v>
      </c>
      <c r="Y143" s="44">
        <f t="shared" si="62"/>
        <v>0</v>
      </c>
      <c r="Z143" s="44">
        <f t="shared" si="63"/>
        <v>61655.667291915423</v>
      </c>
      <c r="AA143" s="50">
        <f t="shared" si="64"/>
        <v>11587.19739281243</v>
      </c>
      <c r="AB143" s="51">
        <f t="shared" si="65"/>
        <v>57730.025554227919</v>
      </c>
      <c r="AC143" s="44">
        <f t="shared" si="66"/>
        <v>10849.435761060327</v>
      </c>
      <c r="AD143" s="44">
        <f t="shared" si="67"/>
        <v>0</v>
      </c>
      <c r="AE143" s="44">
        <f t="shared" si="68"/>
        <v>0</v>
      </c>
      <c r="AF143" s="52">
        <f>HLOOKUP(I143,ElecAvoidedCostsWOCC!$A$5:$Q$50,G143+1,FALSE)</f>
        <v>2.9502602387155141</v>
      </c>
      <c r="AG143" s="44">
        <f t="shared" si="69"/>
        <v>53258.097829292463</v>
      </c>
      <c r="AH143" s="52">
        <f>HLOOKUP(I143,ElecAvoidedCostsWOCC!$A$5:$Q$50,T143+1,FALSE)</f>
        <v>2.9502602387155141</v>
      </c>
      <c r="AI143" s="44">
        <f t="shared" si="70"/>
        <v>0</v>
      </c>
      <c r="AJ143" s="44">
        <f t="shared" si="71"/>
        <v>53258.097829292463</v>
      </c>
      <c r="AK143" s="44">
        <f>HLOOKUP(I143,ElecAvoidedCostsWOCC!$A$5:$Q$50,G143+1,FALSE)*J143*L143</f>
        <v>0</v>
      </c>
      <c r="AL143" s="44">
        <f t="shared" si="72"/>
        <v>53258.097829292463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53258.097829292463</v>
      </c>
      <c r="AN143" s="48">
        <f t="shared" si="73"/>
        <v>58583.907612221716</v>
      </c>
      <c r="AO143" s="47">
        <f t="shared" si="74"/>
        <v>0.92253722942258509</v>
      </c>
      <c r="AP143" s="47">
        <f t="shared" si="75"/>
        <v>5.3997192943881025</v>
      </c>
    </row>
    <row r="144" spans="1:42" x14ac:dyDescent="0.35">
      <c r="B144" s="97" t="s">
        <v>71</v>
      </c>
      <c r="C144" s="100">
        <v>18230611</v>
      </c>
      <c r="D144" s="100" t="s">
        <v>72</v>
      </c>
      <c r="E144" s="38" t="s">
        <v>2041</v>
      </c>
      <c r="F144" s="39" t="s">
        <v>2042</v>
      </c>
      <c r="G144" s="39">
        <v>15</v>
      </c>
      <c r="H144" s="39"/>
      <c r="I144" s="40" t="s">
        <v>271</v>
      </c>
      <c r="J144" s="41">
        <v>4</v>
      </c>
      <c r="K144" s="41">
        <v>1300</v>
      </c>
      <c r="L144" s="41"/>
      <c r="M144" s="42">
        <v>3758.92</v>
      </c>
      <c r="N144" s="42">
        <v>3758.92</v>
      </c>
      <c r="O144" s="43">
        <v>5200</v>
      </c>
      <c r="P144" s="44">
        <v>18800.87</v>
      </c>
      <c r="Q144" s="44">
        <v>18800.87</v>
      </c>
      <c r="R144" s="45">
        <v>119.15</v>
      </c>
      <c r="S144" s="46">
        <v>0</v>
      </c>
      <c r="T144" s="39">
        <f t="shared" si="57"/>
        <v>15</v>
      </c>
      <c r="U144" s="47">
        <f t="shared" si="58"/>
        <v>5.6843667474427324E-2</v>
      </c>
      <c r="V144" s="48">
        <f t="shared" si="59"/>
        <v>0</v>
      </c>
      <c r="W144" s="49">
        <f t="shared" si="60"/>
        <v>3.7895778316284884E-3</v>
      </c>
      <c r="X144" s="44">
        <f t="shared" si="61"/>
        <v>1053.7798827068823</v>
      </c>
      <c r="Y144" s="44">
        <f t="shared" si="62"/>
        <v>0</v>
      </c>
      <c r="Z144" s="44">
        <f t="shared" si="63"/>
        <v>17760.329598823413</v>
      </c>
      <c r="AA144" s="50">
        <f t="shared" si="64"/>
        <v>19854.649882706883</v>
      </c>
      <c r="AB144" s="51">
        <f t="shared" si="65"/>
        <v>16629.522096276603</v>
      </c>
      <c r="AC144" s="44">
        <f t="shared" si="66"/>
        <v>18590.496144856632</v>
      </c>
      <c r="AD144" s="44">
        <f t="shared" si="67"/>
        <v>4396.2030012233081</v>
      </c>
      <c r="AE144" s="44">
        <f t="shared" si="68"/>
        <v>0</v>
      </c>
      <c r="AF144" s="52">
        <f>HLOOKUP(I144,ElecAvoidedCostsWOCC!$A$5:$Q$50,G144+1,FALSE)</f>
        <v>1.3071945815391408</v>
      </c>
      <c r="AG144" s="44">
        <f t="shared" si="69"/>
        <v>6797.4118240035323</v>
      </c>
      <c r="AH144" s="52">
        <f>HLOOKUP(I144,ElecAvoidedCostsWOCC!$A$5:$Q$50,T144+1,FALSE)</f>
        <v>1.3071945815391408</v>
      </c>
      <c r="AI144" s="44">
        <f t="shared" si="70"/>
        <v>0</v>
      </c>
      <c r="AJ144" s="44">
        <f t="shared" si="71"/>
        <v>6797.4118240035323</v>
      </c>
      <c r="AK144" s="44">
        <f>HLOOKUP(I144,ElecAvoidedCostsWOCC!$A$5:$Q$50,G144+1,FALSE)*J144*L144</f>
        <v>0</v>
      </c>
      <c r="AL144" s="44">
        <f t="shared" si="72"/>
        <v>6797.4118240035323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6797.4118240035323</v>
      </c>
      <c r="AN144" s="48">
        <f t="shared" si="73"/>
        <v>11873.356007627193</v>
      </c>
      <c r="AO144" s="47">
        <f t="shared" si="74"/>
        <v>0.40875569271623818</v>
      </c>
      <c r="AP144" s="47">
        <f t="shared" si="75"/>
        <v>0.63867881282513017</v>
      </c>
    </row>
    <row r="145" spans="2:42" x14ac:dyDescent="0.35">
      <c r="B145" s="97" t="s">
        <v>71</v>
      </c>
      <c r="C145" s="100">
        <v>18230611</v>
      </c>
      <c r="D145" s="100" t="s">
        <v>72</v>
      </c>
      <c r="E145" s="38" t="s">
        <v>2045</v>
      </c>
      <c r="F145" s="39" t="s">
        <v>2046</v>
      </c>
      <c r="G145" s="39">
        <v>3</v>
      </c>
      <c r="H145" s="39">
        <v>7</v>
      </c>
      <c r="I145" s="40" t="s">
        <v>270</v>
      </c>
      <c r="J145" s="41">
        <v>13</v>
      </c>
      <c r="K145" s="41">
        <v>0</v>
      </c>
      <c r="L145" s="41">
        <v>0</v>
      </c>
      <c r="M145" s="42">
        <v>40.5</v>
      </c>
      <c r="N145" s="42">
        <v>40.5</v>
      </c>
      <c r="O145" s="43">
        <v>0</v>
      </c>
      <c r="P145" s="44">
        <v>684.45</v>
      </c>
      <c r="Q145" s="44">
        <v>684.45</v>
      </c>
      <c r="R145" s="45">
        <v>0</v>
      </c>
      <c r="S145" s="46">
        <v>0</v>
      </c>
      <c r="T145" s="39">
        <f t="shared" si="57"/>
        <v>10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684.45</v>
      </c>
      <c r="AB145" s="51">
        <f t="shared" si="65"/>
        <v>0</v>
      </c>
      <c r="AC145" s="44">
        <f t="shared" si="66"/>
        <v>640.87078651685397</v>
      </c>
      <c r="AD145" s="44">
        <f t="shared" si="67"/>
        <v>0</v>
      </c>
      <c r="AE145" s="44">
        <f t="shared" si="68"/>
        <v>0</v>
      </c>
      <c r="AF145" s="52">
        <f>HLOOKUP(I145,ElecAvoidedCostsWOCC!$A$5:$Q$50,G145+1,FALSE)</f>
        <v>0.25704727839818375</v>
      </c>
      <c r="AG145" s="44">
        <f t="shared" si="69"/>
        <v>0</v>
      </c>
      <c r="AH145" s="52">
        <f>HLOOKUP(I145,ElecAvoidedCostsWOCC!$A$5:$Q$50,T145+1,FALSE)</f>
        <v>0.78742691251205932</v>
      </c>
      <c r="AI145" s="44">
        <f t="shared" si="70"/>
        <v>0</v>
      </c>
      <c r="AJ145" s="44">
        <f t="shared" si="71"/>
        <v>0</v>
      </c>
      <c r="AK145" s="44">
        <f>HLOOKUP(I145,ElecAvoidedCostsWOCC!$A$5:$Q$50,G145+1,FALSE)*J145*L145</f>
        <v>0</v>
      </c>
      <c r="AL145" s="44">
        <f t="shared" si="72"/>
        <v>0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>
        <f t="shared" si="75"/>
        <v>0</v>
      </c>
    </row>
    <row r="146" spans="2:42" x14ac:dyDescent="0.35">
      <c r="B146" s="97" t="s">
        <v>71</v>
      </c>
      <c r="C146" s="100">
        <v>18230611</v>
      </c>
      <c r="D146" s="100" t="s">
        <v>72</v>
      </c>
      <c r="E146" s="38" t="s">
        <v>2047</v>
      </c>
      <c r="F146" s="39" t="s">
        <v>2048</v>
      </c>
      <c r="G146" s="39">
        <v>25</v>
      </c>
      <c r="H146" s="39"/>
      <c r="I146" s="40" t="s">
        <v>274</v>
      </c>
      <c r="J146" s="41">
        <v>13351</v>
      </c>
      <c r="K146" s="41">
        <v>0.68</v>
      </c>
      <c r="L146" s="41"/>
      <c r="M146" s="42">
        <v>1.55</v>
      </c>
      <c r="N146" s="42">
        <v>1.55</v>
      </c>
      <c r="O146" s="43">
        <v>9078.68</v>
      </c>
      <c r="P146" s="44">
        <v>29118</v>
      </c>
      <c r="Q146" s="44">
        <v>29118</v>
      </c>
      <c r="R146" s="45">
        <v>0.15</v>
      </c>
      <c r="S146" s="46">
        <v>0</v>
      </c>
      <c r="T146" s="39">
        <f t="shared" si="57"/>
        <v>25</v>
      </c>
      <c r="U146" s="47">
        <f t="shared" si="58"/>
        <v>0.16540559840600447</v>
      </c>
      <c r="V146" s="48">
        <f t="shared" si="59"/>
        <v>0</v>
      </c>
      <c r="W146" s="49">
        <f t="shared" si="60"/>
        <v>6.6162239362401783E-3</v>
      </c>
      <c r="X146" s="44">
        <f t="shared" si="61"/>
        <v>1839.794297217946</v>
      </c>
      <c r="Y146" s="44">
        <f t="shared" si="62"/>
        <v>0</v>
      </c>
      <c r="Z146" s="44">
        <f t="shared" si="63"/>
        <v>31007.759446585795</v>
      </c>
      <c r="AA146" s="50">
        <f t="shared" si="64"/>
        <v>30957.794297217944</v>
      </c>
      <c r="AB146" s="51">
        <f t="shared" si="65"/>
        <v>29033.48262788932</v>
      </c>
      <c r="AC146" s="44">
        <f t="shared" si="66"/>
        <v>28986.698780166615</v>
      </c>
      <c r="AD146" s="44">
        <f t="shared" si="67"/>
        <v>23764.630951368807</v>
      </c>
      <c r="AE146" s="44">
        <f t="shared" si="68"/>
        <v>0</v>
      </c>
      <c r="AF146" s="52">
        <f>HLOOKUP(I146,ElecAvoidedCostsWOCC!$A$5:$Q$50,G146+1,FALSE)</f>
        <v>1.9455570023927977</v>
      </c>
      <c r="AG146" s="44">
        <f t="shared" si="69"/>
        <v>17663.089446483445</v>
      </c>
      <c r="AH146" s="52">
        <f>HLOOKUP(I146,ElecAvoidedCostsWOCC!$A$5:$Q$50,T146+1,FALSE)</f>
        <v>1.9455570023927977</v>
      </c>
      <c r="AI146" s="44">
        <f t="shared" si="70"/>
        <v>0</v>
      </c>
      <c r="AJ146" s="44">
        <f t="shared" si="71"/>
        <v>17663.089446483445</v>
      </c>
      <c r="AK146" s="44">
        <f>HLOOKUP(I146,ElecAvoidedCostsWOCC!$A$5:$Q$50,G146+1,FALSE)*J146*L146</f>
        <v>0</v>
      </c>
      <c r="AL146" s="44">
        <f t="shared" si="72"/>
        <v>17663.089446483445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17663.089446483445</v>
      </c>
      <c r="AN146" s="48">
        <f t="shared" si="73"/>
        <v>43194.029342500595</v>
      </c>
      <c r="AO146" s="47">
        <f t="shared" si="74"/>
        <v>0.60836964248706527</v>
      </c>
      <c r="AP146" s="47">
        <f t="shared" si="75"/>
        <v>1.4901327560644806</v>
      </c>
    </row>
    <row r="147" spans="2:42" x14ac:dyDescent="0.35">
      <c r="B147" s="97" t="s">
        <v>71</v>
      </c>
      <c r="C147" s="100">
        <v>18230611</v>
      </c>
      <c r="D147" s="100" t="s">
        <v>72</v>
      </c>
      <c r="E147" s="38" t="s">
        <v>2059</v>
      </c>
      <c r="F147" s="39" t="s">
        <v>2060</v>
      </c>
      <c r="G147" s="39">
        <v>3</v>
      </c>
      <c r="H147" s="39">
        <v>7</v>
      </c>
      <c r="I147" s="40" t="s">
        <v>270</v>
      </c>
      <c r="J147" s="41">
        <v>14</v>
      </c>
      <c r="K147" s="41">
        <v>0</v>
      </c>
      <c r="L147" s="41">
        <v>0</v>
      </c>
      <c r="M147" s="42">
        <v>40.5</v>
      </c>
      <c r="N147" s="42">
        <v>40.5</v>
      </c>
      <c r="O147" s="43">
        <v>0</v>
      </c>
      <c r="P147" s="44">
        <v>737.1</v>
      </c>
      <c r="Q147" s="44">
        <v>737.1</v>
      </c>
      <c r="R147" s="45">
        <v>0</v>
      </c>
      <c r="S147" s="46">
        <v>0</v>
      </c>
      <c r="T147" s="39">
        <f t="shared" si="57"/>
        <v>10</v>
      </c>
      <c r="U147" s="47">
        <f t="shared" si="58"/>
        <v>0</v>
      </c>
      <c r="V147" s="48">
        <f t="shared" si="59"/>
        <v>0</v>
      </c>
      <c r="W147" s="49">
        <f t="shared" si="60"/>
        <v>0</v>
      </c>
      <c r="X147" s="44">
        <f t="shared" si="61"/>
        <v>0</v>
      </c>
      <c r="Y147" s="44">
        <f t="shared" si="62"/>
        <v>0</v>
      </c>
      <c r="Z147" s="44">
        <f t="shared" si="63"/>
        <v>0</v>
      </c>
      <c r="AA147" s="50">
        <f t="shared" si="64"/>
        <v>737.1</v>
      </c>
      <c r="AB147" s="51">
        <f t="shared" si="65"/>
        <v>0</v>
      </c>
      <c r="AC147" s="44">
        <f t="shared" si="66"/>
        <v>690.16853932584263</v>
      </c>
      <c r="AD147" s="44">
        <f t="shared" si="67"/>
        <v>0</v>
      </c>
      <c r="AE147" s="44">
        <f t="shared" si="68"/>
        <v>0</v>
      </c>
      <c r="AF147" s="52">
        <f>HLOOKUP(I147,ElecAvoidedCostsWOCC!$A$5:$Q$50,G147+1,FALSE)</f>
        <v>0.25704727839818375</v>
      </c>
      <c r="AG147" s="44">
        <f t="shared" si="69"/>
        <v>0</v>
      </c>
      <c r="AH147" s="52">
        <f>HLOOKUP(I147,ElecAvoidedCostsWOCC!$A$5:$Q$50,T147+1,FALSE)</f>
        <v>0.78742691251205932</v>
      </c>
      <c r="AI147" s="44">
        <f t="shared" si="70"/>
        <v>0</v>
      </c>
      <c r="AJ147" s="44">
        <f t="shared" si="71"/>
        <v>0</v>
      </c>
      <c r="AK147" s="44">
        <f>HLOOKUP(I147,ElecAvoidedCostsWOCC!$A$5:$Q$50,G147+1,FALSE)*J147*L147</f>
        <v>0</v>
      </c>
      <c r="AL147" s="44">
        <f t="shared" si="72"/>
        <v>0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3"/>
        <v>0</v>
      </c>
      <c r="AO147" s="47">
        <f t="shared" si="74"/>
        <v>0</v>
      </c>
      <c r="AP147" s="47">
        <f t="shared" si="75"/>
        <v>0</v>
      </c>
    </row>
    <row r="148" spans="2:42" x14ac:dyDescent="0.35">
      <c r="B148" s="97" t="s">
        <v>71</v>
      </c>
      <c r="C148" s="100">
        <v>18230611</v>
      </c>
      <c r="D148" s="100" t="s">
        <v>72</v>
      </c>
      <c r="E148" s="38" t="s">
        <v>2065</v>
      </c>
      <c r="F148" s="39" t="s">
        <v>2066</v>
      </c>
      <c r="G148" s="39"/>
      <c r="H148" s="39"/>
      <c r="I148" s="40"/>
      <c r="J148" s="41">
        <v>1</v>
      </c>
      <c r="K148" s="41">
        <v>0</v>
      </c>
      <c r="L148" s="41"/>
      <c r="M148" s="42"/>
      <c r="N148" s="42"/>
      <c r="O148" s="43">
        <v>0</v>
      </c>
      <c r="P148" s="44">
        <v>0</v>
      </c>
      <c r="Q148" s="44">
        <v>0</v>
      </c>
      <c r="R148" s="45">
        <v>0</v>
      </c>
      <c r="S148" s="46">
        <v>0</v>
      </c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HLOOKUP(I148,ElecAvoidedCostsWOCC!$A$5:$Q$50,G148+1,FALSE)</f>
        <v>#N/A</v>
      </c>
      <c r="AG148" s="44" t="e">
        <f t="shared" si="69"/>
        <v>#N/A</v>
      </c>
      <c r="AH148" s="52" t="e">
        <f>HLOOKUP(I148,ElecAvoidedCostsWOCC!$A$5:$Q$50,T148+1,FALSE)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HLOOKUP(I148,ElecAvoidedCostsWOCC!$A$5:$Q$50,G148+1,FALSE)*J148*L148</f>
        <v>#N/A</v>
      </c>
      <c r="AL148" s="44" t="e">
        <f t="shared" si="7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 x14ac:dyDescent="0.35">
      <c r="B149" s="97" t="s">
        <v>71</v>
      </c>
      <c r="C149" s="100">
        <v>18230611</v>
      </c>
      <c r="D149" s="100" t="s">
        <v>72</v>
      </c>
      <c r="E149" s="38" t="s">
        <v>2071</v>
      </c>
      <c r="F149" s="39" t="s">
        <v>2072</v>
      </c>
      <c r="G149" s="39"/>
      <c r="H149" s="39"/>
      <c r="I149" s="40"/>
      <c r="J149" s="41">
        <v>8</v>
      </c>
      <c r="K149" s="41">
        <v>0</v>
      </c>
      <c r="L149" s="41"/>
      <c r="M149" s="42">
        <v>0</v>
      </c>
      <c r="N149" s="42">
        <v>0</v>
      </c>
      <c r="O149" s="43">
        <v>0</v>
      </c>
      <c r="P149" s="44">
        <v>122.3</v>
      </c>
      <c r="Q149" s="44">
        <v>122.3</v>
      </c>
      <c r="R149" s="45">
        <v>22.43</v>
      </c>
      <c r="S149" s="46">
        <v>0</v>
      </c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122.3</v>
      </c>
      <c r="AB149" s="51">
        <f t="shared" si="65"/>
        <v>0</v>
      </c>
      <c r="AC149" s="44">
        <f t="shared" si="66"/>
        <v>114.51310861423219</v>
      </c>
      <c r="AD149" s="44">
        <f t="shared" si="67"/>
        <v>0</v>
      </c>
      <c r="AE149" s="44">
        <f t="shared" si="68"/>
        <v>0</v>
      </c>
      <c r="AF149" s="52" t="e">
        <f>HLOOKUP(I149,ElecAvoidedCostsWOCC!$A$5:$Q$50,G149+1,FALSE)</f>
        <v>#N/A</v>
      </c>
      <c r="AG149" s="44" t="e">
        <f t="shared" si="69"/>
        <v>#N/A</v>
      </c>
      <c r="AH149" s="52" t="e">
        <f>HLOOKUP(I149,ElecAvoidedCostsWOCC!$A$5:$Q$50,T149+1,FALSE)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HLOOKUP(I149,ElecAvoidedCostsWOCC!$A$5:$Q$50,G149+1,FALSE)*J149*L149</f>
        <v>#N/A</v>
      </c>
      <c r="AL149" s="44" t="e">
        <f t="shared" si="7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>
        <f t="shared" si="75"/>
        <v>0</v>
      </c>
    </row>
    <row r="150" spans="2:42" x14ac:dyDescent="0.35">
      <c r="B150" s="97" t="s">
        <v>71</v>
      </c>
      <c r="C150" s="100">
        <v>18230611</v>
      </c>
      <c r="D150" s="100" t="s">
        <v>72</v>
      </c>
      <c r="E150" s="38" t="s">
        <v>2073</v>
      </c>
      <c r="F150" s="39" t="s">
        <v>2074</v>
      </c>
      <c r="G150" s="39">
        <v>15</v>
      </c>
      <c r="H150" s="39"/>
      <c r="I150" s="40" t="s">
        <v>272</v>
      </c>
      <c r="J150" s="41">
        <v>3</v>
      </c>
      <c r="K150" s="41">
        <v>58</v>
      </c>
      <c r="L150" s="41"/>
      <c r="M150" s="42">
        <v>67.5</v>
      </c>
      <c r="N150" s="42">
        <v>67.5</v>
      </c>
      <c r="O150" s="43">
        <v>174</v>
      </c>
      <c r="P150" s="44">
        <v>263.25</v>
      </c>
      <c r="Q150" s="44">
        <v>263.25</v>
      </c>
      <c r="R150" s="45">
        <v>10.130000000000001</v>
      </c>
      <c r="S150" s="46">
        <v>0</v>
      </c>
      <c r="T150" s="39">
        <f t="shared" si="57"/>
        <v>15</v>
      </c>
      <c r="U150" s="47">
        <f t="shared" si="58"/>
        <v>1.9020765654904528E-3</v>
      </c>
      <c r="V150" s="48">
        <f t="shared" si="59"/>
        <v>0</v>
      </c>
      <c r="W150" s="49">
        <f t="shared" si="60"/>
        <v>1.2680510436603018E-4</v>
      </c>
      <c r="X150" s="44">
        <f t="shared" si="61"/>
        <v>35.26109607519183</v>
      </c>
      <c r="Y150" s="44">
        <f t="shared" si="62"/>
        <v>0</v>
      </c>
      <c r="Z150" s="44">
        <f t="shared" si="63"/>
        <v>594.28795196062947</v>
      </c>
      <c r="AA150" s="50">
        <f t="shared" si="64"/>
        <v>298.51109607519186</v>
      </c>
      <c r="AB150" s="51">
        <f t="shared" si="65"/>
        <v>556.44939322156313</v>
      </c>
      <c r="AC150" s="44">
        <f t="shared" si="66"/>
        <v>279.50477160598484</v>
      </c>
      <c r="AD150" s="44">
        <f t="shared" si="67"/>
        <v>280.32020395966498</v>
      </c>
      <c r="AE150" s="44">
        <f t="shared" si="68"/>
        <v>0</v>
      </c>
      <c r="AF150" s="52">
        <f>HLOOKUP(I150,ElecAvoidedCostsWOCC!$A$5:$Q$50,G150+1,FALSE)</f>
        <v>1.3031638418298148</v>
      </c>
      <c r="AG150" s="44">
        <f t="shared" si="69"/>
        <v>226.75050847838779</v>
      </c>
      <c r="AH150" s="52">
        <f>HLOOKUP(I150,ElecAvoidedCostsWOCC!$A$5:$Q$50,T150+1,FALSE)</f>
        <v>1.3031638418298148</v>
      </c>
      <c r="AI150" s="44">
        <f t="shared" si="70"/>
        <v>0</v>
      </c>
      <c r="AJ150" s="44">
        <f t="shared" si="71"/>
        <v>226.75050847838779</v>
      </c>
      <c r="AK150" s="44">
        <f>HLOOKUP(I150,ElecAvoidedCostsWOCC!$A$5:$Q$50,G150+1,FALSE)*J150*L150</f>
        <v>0</v>
      </c>
      <c r="AL150" s="44">
        <f t="shared" si="72"/>
        <v>226.75050847838779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226.75050847838779</v>
      </c>
      <c r="AN150" s="48">
        <f t="shared" si="73"/>
        <v>529.7457632858916</v>
      </c>
      <c r="AO150" s="47">
        <f t="shared" si="74"/>
        <v>0.40749529290636111</v>
      </c>
      <c r="AP150" s="47">
        <f t="shared" si="75"/>
        <v>1.895301322557273</v>
      </c>
    </row>
    <row r="151" spans="2:42" x14ac:dyDescent="0.35">
      <c r="B151" s="97" t="s">
        <v>71</v>
      </c>
      <c r="C151" s="100">
        <v>18230611</v>
      </c>
      <c r="D151" s="100" t="s">
        <v>72</v>
      </c>
      <c r="E151" s="38" t="s">
        <v>2075</v>
      </c>
      <c r="F151" s="39" t="s">
        <v>2076</v>
      </c>
      <c r="G151" s="39"/>
      <c r="H151" s="39"/>
      <c r="I151" s="40"/>
      <c r="J151" s="41">
        <v>1</v>
      </c>
      <c r="K151" s="41">
        <v>0</v>
      </c>
      <c r="L151" s="41"/>
      <c r="M151" s="42">
        <v>0</v>
      </c>
      <c r="N151" s="42">
        <v>0</v>
      </c>
      <c r="O151" s="43">
        <v>0</v>
      </c>
      <c r="P151" s="44">
        <v>0</v>
      </c>
      <c r="Q151" s="44">
        <v>0</v>
      </c>
      <c r="R151" s="45">
        <v>0</v>
      </c>
      <c r="S151" s="46">
        <v>0</v>
      </c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HLOOKUP(I151,ElecAvoidedCostsWOCC!$A$5:$Q$50,G151+1,FALSE)</f>
        <v>#N/A</v>
      </c>
      <c r="AG151" s="44" t="e">
        <f t="shared" si="69"/>
        <v>#N/A</v>
      </c>
      <c r="AH151" s="52" t="e">
        <f>HLOOKUP(I151,ElecAvoidedCostsWOCC!$A$5:$Q$50,T151+1,FALSE)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HLOOKUP(I151,ElecAvoidedCostsWOCC!$A$5:$Q$50,G151+1,FALSE)*J151*L151</f>
        <v>#N/A</v>
      </c>
      <c r="AL151" s="44" t="e">
        <f t="shared" si="72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 x14ac:dyDescent="0.35">
      <c r="B152" s="97" t="s">
        <v>71</v>
      </c>
      <c r="C152" s="100">
        <v>18230611</v>
      </c>
      <c r="D152" s="100" t="s">
        <v>72</v>
      </c>
      <c r="E152" s="38" t="s">
        <v>2095</v>
      </c>
      <c r="F152" s="39" t="s">
        <v>2096</v>
      </c>
      <c r="G152" s="39"/>
      <c r="H152" s="39"/>
      <c r="I152" s="40"/>
      <c r="J152" s="41">
        <v>8</v>
      </c>
      <c r="K152" s="41"/>
      <c r="L152" s="41"/>
      <c r="M152" s="42"/>
      <c r="N152" s="42"/>
      <c r="O152" s="43">
        <v>0</v>
      </c>
      <c r="P152" s="44">
        <v>0</v>
      </c>
      <c r="Q152" s="44">
        <v>34827.21</v>
      </c>
      <c r="R152" s="45">
        <v>0</v>
      </c>
      <c r="S152" s="46">
        <v>0</v>
      </c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34827.21</v>
      </c>
      <c r="Z152" s="44">
        <f t="shared" si="63"/>
        <v>0</v>
      </c>
      <c r="AA152" s="50">
        <f t="shared" si="64"/>
        <v>34827.21</v>
      </c>
      <c r="AB152" s="51">
        <f t="shared" si="65"/>
        <v>0</v>
      </c>
      <c r="AC152" s="44">
        <f t="shared" si="66"/>
        <v>32609.747191011233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>
        <f t="shared" si="75"/>
        <v>0</v>
      </c>
    </row>
    <row r="153" spans="2:42" x14ac:dyDescent="0.35">
      <c r="B153" s="97" t="s">
        <v>71</v>
      </c>
      <c r="C153" s="100">
        <v>18230611</v>
      </c>
      <c r="D153" s="100" t="s">
        <v>72</v>
      </c>
      <c r="E153" s="38" t="s">
        <v>2097</v>
      </c>
      <c r="F153" s="39" t="s">
        <v>2098</v>
      </c>
      <c r="G153" s="39">
        <v>6</v>
      </c>
      <c r="H153" s="39">
        <v>12</v>
      </c>
      <c r="I153" s="40" t="s">
        <v>271</v>
      </c>
      <c r="J153" s="41">
        <v>23</v>
      </c>
      <c r="K153" s="41">
        <v>4193</v>
      </c>
      <c r="L153" s="41">
        <v>2096</v>
      </c>
      <c r="M153" s="42">
        <v>5829.66</v>
      </c>
      <c r="N153" s="42">
        <v>5829.66</v>
      </c>
      <c r="O153" s="43">
        <v>96439</v>
      </c>
      <c r="P153" s="44">
        <v>197493.98</v>
      </c>
      <c r="Q153" s="44">
        <v>197493.98</v>
      </c>
      <c r="R153" s="45">
        <v>480.66</v>
      </c>
      <c r="S153" s="46">
        <v>0</v>
      </c>
      <c r="T153" s="39">
        <f t="shared" si="57"/>
        <v>18</v>
      </c>
      <c r="U153" s="47">
        <f t="shared" si="58"/>
        <v>1.2650645648229917</v>
      </c>
      <c r="V153" s="48">
        <f t="shared" si="59"/>
        <v>0</v>
      </c>
      <c r="W153" s="49">
        <f t="shared" si="60"/>
        <v>7.0281364712388425E-2</v>
      </c>
      <c r="X153" s="44">
        <f t="shared" si="61"/>
        <v>19543.36117468635</v>
      </c>
      <c r="Y153" s="44">
        <f t="shared" si="62"/>
        <v>0</v>
      </c>
      <c r="Z153" s="44">
        <f t="shared" si="63"/>
        <v>329382.38965017902</v>
      </c>
      <c r="AA153" s="50">
        <f t="shared" si="64"/>
        <v>217037.34117468636</v>
      </c>
      <c r="AB153" s="51">
        <f t="shared" si="65"/>
        <v>308410.47720054211</v>
      </c>
      <c r="AC153" s="44">
        <f t="shared" si="66"/>
        <v>203218.48424596101</v>
      </c>
      <c r="AD153" s="44">
        <f t="shared" si="67"/>
        <v>112828.32179758797</v>
      </c>
      <c r="AE153" s="44">
        <f t="shared" si="68"/>
        <v>0</v>
      </c>
      <c r="AF153" s="52">
        <f>HLOOKUP(I153,ElecAvoidedCostsWOCC!$A$5:$Q$50,G153+1,FALSE)</f>
        <v>0.58812377238541858</v>
      </c>
      <c r="AG153" s="44">
        <f t="shared" si="69"/>
        <v>56718.068485077383</v>
      </c>
      <c r="AH153" s="52">
        <f>HLOOKUP(I153,ElecAvoidedCostsWOCC!$A$5:$Q$50,T153+1,FALSE)</f>
        <v>1.5099448143658902</v>
      </c>
      <c r="AI153" s="44">
        <f t="shared" si="70"/>
        <v>72791.419610950848</v>
      </c>
      <c r="AJ153" s="44">
        <f t="shared" si="71"/>
        <v>129509.48809602823</v>
      </c>
      <c r="AK153" s="44">
        <f>HLOOKUP(I153,ElecAvoidedCostsWOCC!$A$5:$Q$50,G153+1,FALSE)*J153*L153</f>
        <v>28352.27081915626</v>
      </c>
      <c r="AL153" s="44">
        <f t="shared" si="72"/>
        <v>101157.21727687198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101157.21727687196</v>
      </c>
      <c r="AN153" s="48">
        <f t="shared" si="73"/>
        <v>224101.26080214715</v>
      </c>
      <c r="AO153" s="47">
        <f t="shared" si="74"/>
        <v>0.32799539819490331</v>
      </c>
      <c r="AP153" s="47">
        <f t="shared" si="75"/>
        <v>1.1027602220027934</v>
      </c>
    </row>
    <row r="154" spans="2:42" x14ac:dyDescent="0.35">
      <c r="B154" s="97" t="s">
        <v>71</v>
      </c>
      <c r="C154" s="100">
        <v>18230611</v>
      </c>
      <c r="D154" s="100" t="s">
        <v>72</v>
      </c>
      <c r="E154" s="38" t="s">
        <v>2099</v>
      </c>
      <c r="F154" s="39" t="s">
        <v>2100</v>
      </c>
      <c r="G154" s="39">
        <v>15</v>
      </c>
      <c r="H154" s="39"/>
      <c r="I154" s="40" t="s">
        <v>273</v>
      </c>
      <c r="J154" s="41">
        <v>3</v>
      </c>
      <c r="K154" s="41">
        <v>1522</v>
      </c>
      <c r="L154" s="41"/>
      <c r="M154" s="42"/>
      <c r="N154" s="42"/>
      <c r="O154" s="43">
        <v>4566</v>
      </c>
      <c r="P154" s="44">
        <v>0</v>
      </c>
      <c r="Q154" s="44">
        <v>16808.150000000001</v>
      </c>
      <c r="R154" s="45">
        <v>0</v>
      </c>
      <c r="S154" s="46">
        <v>0</v>
      </c>
      <c r="T154" s="39">
        <f t="shared" si="57"/>
        <v>15</v>
      </c>
      <c r="U154" s="47">
        <f t="shared" si="58"/>
        <v>4.9913112632352916E-2</v>
      </c>
      <c r="V154" s="48">
        <f t="shared" si="59"/>
        <v>0</v>
      </c>
      <c r="W154" s="49">
        <f t="shared" si="60"/>
        <v>3.3275408421568611E-3</v>
      </c>
      <c r="X154" s="44">
        <f t="shared" si="61"/>
        <v>925.2997970076201</v>
      </c>
      <c r="Y154" s="44">
        <f t="shared" si="62"/>
        <v>16808.150000000001</v>
      </c>
      <c r="Z154" s="44">
        <f t="shared" si="63"/>
        <v>15594.935566966864</v>
      </c>
      <c r="AA154" s="50">
        <f t="shared" si="64"/>
        <v>17733.449797007623</v>
      </c>
      <c r="AB154" s="51">
        <f t="shared" si="65"/>
        <v>14601.999594538262</v>
      </c>
      <c r="AC154" s="44">
        <f t="shared" si="66"/>
        <v>16604.353742516501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1.3071945815391408</v>
      </c>
      <c r="AG154" s="44">
        <f t="shared" si="69"/>
        <v>5968.650459307717</v>
      </c>
      <c r="AH154" s="52">
        <f>HLOOKUP(I154,ElecAvoidedCostsWOCC!$A$5:$Q$50,T154+1,FALSE)</f>
        <v>1.3071945815391408</v>
      </c>
      <c r="AI154" s="44">
        <f t="shared" si="70"/>
        <v>0</v>
      </c>
      <c r="AJ154" s="44">
        <f t="shared" si="71"/>
        <v>5968.650459307717</v>
      </c>
      <c r="AK154" s="44">
        <f>HLOOKUP(I154,ElecAvoidedCostsWOCC!$A$5:$Q$50,G154+1,FALSE)*J154*L154</f>
        <v>0</v>
      </c>
      <c r="AL154" s="44">
        <f t="shared" si="72"/>
        <v>5968.650459307717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5968.650459307717</v>
      </c>
      <c r="AN154" s="48">
        <f t="shared" si="73"/>
        <v>6565.5155052384889</v>
      </c>
      <c r="AO154" s="47">
        <f t="shared" si="74"/>
        <v>0.40875569271623824</v>
      </c>
      <c r="AP154" s="47">
        <f t="shared" si="75"/>
        <v>0.39540927681076016</v>
      </c>
    </row>
    <row r="155" spans="2:42" x14ac:dyDescent="0.35">
      <c r="B155" s="97" t="s">
        <v>71</v>
      </c>
      <c r="C155" s="100">
        <v>18230611</v>
      </c>
      <c r="D155" s="100" t="s">
        <v>72</v>
      </c>
      <c r="E155" s="38" t="s">
        <v>2101</v>
      </c>
      <c r="F155" s="39" t="s">
        <v>2102</v>
      </c>
      <c r="G155" s="39">
        <v>6</v>
      </c>
      <c r="H155" s="39">
        <v>12</v>
      </c>
      <c r="I155" s="40" t="s">
        <v>273</v>
      </c>
      <c r="J155" s="41">
        <v>10</v>
      </c>
      <c r="K155" s="41">
        <v>4566</v>
      </c>
      <c r="L155" s="41">
        <v>2283</v>
      </c>
      <c r="M155" s="42">
        <v>6453.87</v>
      </c>
      <c r="N155" s="42">
        <v>6453.87</v>
      </c>
      <c r="O155" s="43">
        <v>45660</v>
      </c>
      <c r="P155" s="44">
        <v>93444.479999999996</v>
      </c>
      <c r="Q155" s="44">
        <v>93444.479999999996</v>
      </c>
      <c r="R155" s="45">
        <v>411.3</v>
      </c>
      <c r="S155" s="46">
        <v>0</v>
      </c>
      <c r="T155" s="39">
        <f t="shared" si="57"/>
        <v>18</v>
      </c>
      <c r="U155" s="47">
        <f t="shared" si="58"/>
        <v>0.59895735158823504</v>
      </c>
      <c r="V155" s="48">
        <f t="shared" si="59"/>
        <v>0</v>
      </c>
      <c r="W155" s="49">
        <f t="shared" si="60"/>
        <v>3.3275408421568613E-2</v>
      </c>
      <c r="X155" s="44">
        <f t="shared" si="61"/>
        <v>9252.9979700762015</v>
      </c>
      <c r="Y155" s="44">
        <f t="shared" si="62"/>
        <v>0</v>
      </c>
      <c r="Z155" s="44">
        <f t="shared" si="63"/>
        <v>155949.35566966864</v>
      </c>
      <c r="AA155" s="50">
        <f t="shared" si="64"/>
        <v>102697.4779700762</v>
      </c>
      <c r="AB155" s="51">
        <f t="shared" si="65"/>
        <v>146019.99594538263</v>
      </c>
      <c r="AC155" s="44">
        <f t="shared" si="66"/>
        <v>96158.687237899052</v>
      </c>
      <c r="AD155" s="44">
        <f t="shared" si="67"/>
        <v>41976.963518773948</v>
      </c>
      <c r="AE155" s="44">
        <f t="shared" si="68"/>
        <v>0</v>
      </c>
      <c r="AF155" s="52">
        <f>HLOOKUP(I155,ElecAvoidedCostsWOCC!$A$5:$Q$50,G155+1,FALSE)</f>
        <v>0.58812377238541858</v>
      </c>
      <c r="AG155" s="44">
        <f t="shared" si="69"/>
        <v>26853.731447118214</v>
      </c>
      <c r="AH155" s="52">
        <f>HLOOKUP(I155,ElecAvoidedCostsWOCC!$A$5:$Q$50,T155+1,FALSE)</f>
        <v>1.5099448143658902</v>
      </c>
      <c r="AI155" s="44">
        <f t="shared" si="70"/>
        <v>34472.040111973271</v>
      </c>
      <c r="AJ155" s="44">
        <f t="shared" si="71"/>
        <v>61325.771559091489</v>
      </c>
      <c r="AK155" s="44">
        <f>HLOOKUP(I155,ElecAvoidedCostsWOCC!$A$5:$Q$50,G155+1,FALSE)*J155*L155</f>
        <v>13426.865723559107</v>
      </c>
      <c r="AL155" s="44">
        <f t="shared" si="72"/>
        <v>47898.90583553238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47898.90583553238</v>
      </c>
      <c r="AN155" s="48">
        <f t="shared" si="73"/>
        <v>94665.759937859577</v>
      </c>
      <c r="AO155" s="47">
        <f t="shared" si="74"/>
        <v>0.32802977102840425</v>
      </c>
      <c r="AP155" s="47">
        <f t="shared" si="75"/>
        <v>0.98447433775436288</v>
      </c>
    </row>
    <row r="156" spans="2:42" x14ac:dyDescent="0.35">
      <c r="B156" s="97" t="s">
        <v>71</v>
      </c>
      <c r="C156" s="100">
        <v>18230611</v>
      </c>
      <c r="D156" s="100" t="s">
        <v>72</v>
      </c>
      <c r="E156" s="38" t="s">
        <v>2103</v>
      </c>
      <c r="F156" s="39" t="s">
        <v>2104</v>
      </c>
      <c r="G156" s="39"/>
      <c r="H156" s="39"/>
      <c r="I156" s="40"/>
      <c r="J156" s="41">
        <v>6</v>
      </c>
      <c r="K156" s="41">
        <v>0</v>
      </c>
      <c r="L156" s="41"/>
      <c r="M156" s="42">
        <v>0</v>
      </c>
      <c r="N156" s="42">
        <v>0</v>
      </c>
      <c r="O156" s="43">
        <v>0</v>
      </c>
      <c r="P156" s="44">
        <v>81.66</v>
      </c>
      <c r="Q156" s="44">
        <v>81.66</v>
      </c>
      <c r="R156" s="45">
        <v>0</v>
      </c>
      <c r="S156" s="46">
        <v>0</v>
      </c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81.66</v>
      </c>
      <c r="AB156" s="51">
        <f t="shared" si="65"/>
        <v>0</v>
      </c>
      <c r="AC156" s="44">
        <f t="shared" si="66"/>
        <v>76.460674157303359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>
        <f t="shared" si="75"/>
        <v>0</v>
      </c>
    </row>
    <row r="157" spans="2:42" x14ac:dyDescent="0.35">
      <c r="B157" s="97" t="s">
        <v>71</v>
      </c>
      <c r="C157" s="100">
        <v>18230611</v>
      </c>
      <c r="D157" s="100" t="s">
        <v>72</v>
      </c>
      <c r="E157" s="38" t="s">
        <v>2105</v>
      </c>
      <c r="F157" s="39" t="s">
        <v>2106</v>
      </c>
      <c r="G157" s="39"/>
      <c r="H157" s="39"/>
      <c r="I157" s="40"/>
      <c r="J157" s="41">
        <v>9</v>
      </c>
      <c r="K157" s="41">
        <v>0</v>
      </c>
      <c r="L157" s="41"/>
      <c r="M157" s="42">
        <v>0</v>
      </c>
      <c r="N157" s="42">
        <v>0</v>
      </c>
      <c r="O157" s="43">
        <v>0</v>
      </c>
      <c r="P157" s="44">
        <v>160.94999999999999</v>
      </c>
      <c r="Q157" s="44">
        <v>160.94999999999999</v>
      </c>
      <c r="R157" s="45">
        <v>0</v>
      </c>
      <c r="S157" s="46">
        <v>0</v>
      </c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160.94999999999999</v>
      </c>
      <c r="AB157" s="51">
        <f t="shared" si="65"/>
        <v>0</v>
      </c>
      <c r="AC157" s="44">
        <f t="shared" si="66"/>
        <v>150.70224719101122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>
        <f t="shared" si="75"/>
        <v>0</v>
      </c>
    </row>
    <row r="158" spans="2:42" x14ac:dyDescent="0.35">
      <c r="B158" s="97" t="s">
        <v>71</v>
      </c>
      <c r="C158" s="100">
        <v>18230611</v>
      </c>
      <c r="D158" s="100" t="s">
        <v>72</v>
      </c>
      <c r="E158" s="38" t="s">
        <v>2109</v>
      </c>
      <c r="F158" s="39" t="s">
        <v>2110</v>
      </c>
      <c r="G158" s="39">
        <v>30</v>
      </c>
      <c r="H158" s="39"/>
      <c r="I158" s="40" t="s">
        <v>274</v>
      </c>
      <c r="J158" s="41">
        <v>9</v>
      </c>
      <c r="K158" s="41">
        <v>3405.7777777777778</v>
      </c>
      <c r="L158" s="41"/>
      <c r="M158" s="42"/>
      <c r="N158" s="42"/>
      <c r="O158" s="43">
        <v>30652</v>
      </c>
      <c r="P158" s="44">
        <v>202467.45</v>
      </c>
      <c r="Q158" s="44">
        <v>202467.45</v>
      </c>
      <c r="R158" s="45">
        <v>0</v>
      </c>
      <c r="S158" s="46">
        <v>0</v>
      </c>
      <c r="T158" s="39">
        <f t="shared" si="57"/>
        <v>30</v>
      </c>
      <c r="U158" s="47">
        <f t="shared" si="58"/>
        <v>0.67014311362544088</v>
      </c>
      <c r="V158" s="48">
        <f t="shared" si="59"/>
        <v>0</v>
      </c>
      <c r="W158" s="49">
        <f t="shared" si="60"/>
        <v>2.2338103787514697E-2</v>
      </c>
      <c r="X158" s="44">
        <f t="shared" si="61"/>
        <v>6211.6271086021834</v>
      </c>
      <c r="Y158" s="44">
        <f t="shared" si="62"/>
        <v>0</v>
      </c>
      <c r="Z158" s="44">
        <f t="shared" si="63"/>
        <v>104690.31208906446</v>
      </c>
      <c r="AA158" s="50">
        <f t="shared" si="64"/>
        <v>208679.07710860219</v>
      </c>
      <c r="AB158" s="51">
        <f t="shared" si="65"/>
        <v>98024.636787513533</v>
      </c>
      <c r="AC158" s="44">
        <f t="shared" si="66"/>
        <v>195392.39429644399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2.2574980118390635</v>
      </c>
      <c r="AG158" s="44">
        <f t="shared" si="69"/>
        <v>69196.829058890973</v>
      </c>
      <c r="AH158" s="52">
        <f>HLOOKUP(I158,ElecAvoidedCostsWOCC!$A$5:$Q$50,T158+1,FALSE)</f>
        <v>2.2574980118390635</v>
      </c>
      <c r="AI158" s="44">
        <f t="shared" si="70"/>
        <v>0</v>
      </c>
      <c r="AJ158" s="44">
        <f t="shared" si="71"/>
        <v>69196.829058890973</v>
      </c>
      <c r="AK158" s="44">
        <f>HLOOKUP(I158,ElecAvoidedCostsWOCC!$A$5:$Q$50,G158+1,FALSE)*J158*L158</f>
        <v>0</v>
      </c>
      <c r="AL158" s="44">
        <f t="shared" si="72"/>
        <v>69196.829058890973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69196.829058890973</v>
      </c>
      <c r="AN158" s="48">
        <f t="shared" si="73"/>
        <v>76116.511964780075</v>
      </c>
      <c r="AO158" s="47">
        <f t="shared" si="74"/>
        <v>0.70591262897395735</v>
      </c>
      <c r="AP158" s="47">
        <f t="shared" si="75"/>
        <v>0.38955718946408008</v>
      </c>
    </row>
    <row r="159" spans="2:42" x14ac:dyDescent="0.35">
      <c r="B159" s="97" t="s">
        <v>71</v>
      </c>
      <c r="C159" s="100">
        <v>18230611</v>
      </c>
      <c r="D159" s="100" t="s">
        <v>72</v>
      </c>
      <c r="E159" s="38" t="s">
        <v>2111</v>
      </c>
      <c r="F159" s="39" t="s">
        <v>2112</v>
      </c>
      <c r="G159" s="39">
        <v>30</v>
      </c>
      <c r="H159" s="39"/>
      <c r="I159" s="40" t="s">
        <v>274</v>
      </c>
      <c r="J159" s="41">
        <v>1</v>
      </c>
      <c r="K159" s="41">
        <v>3771</v>
      </c>
      <c r="L159" s="41"/>
      <c r="M159" s="42"/>
      <c r="N159" s="42"/>
      <c r="O159" s="43">
        <v>3771</v>
      </c>
      <c r="P159" s="44">
        <v>1597.12</v>
      </c>
      <c r="Q159" s="44">
        <v>1597.12</v>
      </c>
      <c r="R159" s="45">
        <v>0</v>
      </c>
      <c r="S159" s="46">
        <v>0</v>
      </c>
      <c r="T159" s="39">
        <f t="shared" si="57"/>
        <v>30</v>
      </c>
      <c r="U159" s="47">
        <f t="shared" si="58"/>
        <v>8.2445180786948249E-2</v>
      </c>
      <c r="V159" s="48">
        <f t="shared" si="59"/>
        <v>0</v>
      </c>
      <c r="W159" s="49">
        <f t="shared" si="60"/>
        <v>2.7481726928982749E-3</v>
      </c>
      <c r="X159" s="44">
        <f t="shared" si="61"/>
        <v>764.19306493993327</v>
      </c>
      <c r="Y159" s="44">
        <f t="shared" si="62"/>
        <v>0</v>
      </c>
      <c r="Z159" s="44">
        <f t="shared" si="63"/>
        <v>12879.654407146745</v>
      </c>
      <c r="AA159" s="50">
        <f t="shared" si="64"/>
        <v>2361.3130649399332</v>
      </c>
      <c r="AB159" s="51">
        <f t="shared" si="65"/>
        <v>12059.601504819049</v>
      </c>
      <c r="AC159" s="44">
        <f t="shared" si="66"/>
        <v>2210.9672892696003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2.2574980118390635</v>
      </c>
      <c r="AG159" s="44">
        <f t="shared" si="69"/>
        <v>8513.0250026451085</v>
      </c>
      <c r="AH159" s="52">
        <f>HLOOKUP(I159,ElecAvoidedCostsWOCC!$A$5:$Q$50,T159+1,FALSE)</f>
        <v>2.2574980118390635</v>
      </c>
      <c r="AI159" s="44">
        <f t="shared" si="70"/>
        <v>0</v>
      </c>
      <c r="AJ159" s="44">
        <f t="shared" si="71"/>
        <v>8513.0250026451085</v>
      </c>
      <c r="AK159" s="44">
        <f>HLOOKUP(I159,ElecAvoidedCostsWOCC!$A$5:$Q$50,G159+1,FALSE)*J159*L159</f>
        <v>0</v>
      </c>
      <c r="AL159" s="44">
        <f t="shared" si="72"/>
        <v>8513.0250026451085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8513.0250026451085</v>
      </c>
      <c r="AN159" s="48">
        <f t="shared" si="73"/>
        <v>9364.3275029096203</v>
      </c>
      <c r="AO159" s="47">
        <f t="shared" si="74"/>
        <v>0.70591262897395746</v>
      </c>
      <c r="AP159" s="47">
        <f t="shared" si="75"/>
        <v>4.2353984829884812</v>
      </c>
    </row>
    <row r="160" spans="2:42" x14ac:dyDescent="0.35">
      <c r="B160" s="97" t="s">
        <v>71</v>
      </c>
      <c r="C160" s="100">
        <v>18230611</v>
      </c>
      <c r="D160" s="100" t="s">
        <v>72</v>
      </c>
      <c r="E160" s="38" t="s">
        <v>2113</v>
      </c>
      <c r="F160" s="39" t="s">
        <v>2114</v>
      </c>
      <c r="G160" s="39"/>
      <c r="H160" s="39"/>
      <c r="I160" s="40"/>
      <c r="J160" s="41">
        <v>1</v>
      </c>
      <c r="K160" s="41"/>
      <c r="L160" s="41"/>
      <c r="M160" s="42"/>
      <c r="N160" s="42"/>
      <c r="O160" s="43">
        <v>0</v>
      </c>
      <c r="P160" s="44">
        <v>0</v>
      </c>
      <c r="Q160" s="44">
        <v>0</v>
      </c>
      <c r="R160" s="45">
        <v>0</v>
      </c>
      <c r="S160" s="46">
        <v>0</v>
      </c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 x14ac:dyDescent="0.35">
      <c r="B161" s="97" t="s">
        <v>71</v>
      </c>
      <c r="C161" s="100">
        <v>18230611</v>
      </c>
      <c r="D161" s="100" t="s">
        <v>72</v>
      </c>
      <c r="E161" s="38" t="s">
        <v>2117</v>
      </c>
      <c r="F161" s="39" t="s">
        <v>2118</v>
      </c>
      <c r="G161" s="39"/>
      <c r="H161" s="39"/>
      <c r="I161" s="40"/>
      <c r="J161" s="41">
        <v>4</v>
      </c>
      <c r="K161" s="41">
        <v>0</v>
      </c>
      <c r="L161" s="41"/>
      <c r="M161" s="42">
        <v>0</v>
      </c>
      <c r="N161" s="42">
        <v>0</v>
      </c>
      <c r="O161" s="43">
        <v>0</v>
      </c>
      <c r="P161" s="44">
        <v>2759.59</v>
      </c>
      <c r="Q161" s="44">
        <v>2759.59</v>
      </c>
      <c r="R161" s="45">
        <v>0</v>
      </c>
      <c r="S161" s="46">
        <v>0</v>
      </c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2759.59</v>
      </c>
      <c r="AB161" s="51">
        <f t="shared" si="65"/>
        <v>0</v>
      </c>
      <c r="AC161" s="44">
        <f t="shared" si="66"/>
        <v>2583.885767790262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>
        <f t="shared" si="75"/>
        <v>0</v>
      </c>
    </row>
    <row r="162" spans="2:42" x14ac:dyDescent="0.35">
      <c r="B162" s="97" t="s">
        <v>71</v>
      </c>
      <c r="C162" s="100">
        <v>18230611</v>
      </c>
      <c r="D162" s="100" t="s">
        <v>72</v>
      </c>
      <c r="E162" s="38" t="s">
        <v>2119</v>
      </c>
      <c r="F162" s="39" t="s">
        <v>2120</v>
      </c>
      <c r="G162" s="39"/>
      <c r="H162" s="39"/>
      <c r="I162" s="40"/>
      <c r="J162" s="41">
        <v>4</v>
      </c>
      <c r="K162" s="41"/>
      <c r="L162" s="41"/>
      <c r="M162" s="42"/>
      <c r="N162" s="42"/>
      <c r="O162" s="43">
        <v>0</v>
      </c>
      <c r="P162" s="44">
        <v>0</v>
      </c>
      <c r="Q162" s="44">
        <v>457.94</v>
      </c>
      <c r="R162" s="45">
        <v>0</v>
      </c>
      <c r="S162" s="46">
        <v>0</v>
      </c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457.94</v>
      </c>
      <c r="Z162" s="44">
        <f t="shared" si="63"/>
        <v>0</v>
      </c>
      <c r="AA162" s="50">
        <f t="shared" si="64"/>
        <v>457.94</v>
      </c>
      <c r="AB162" s="51">
        <f t="shared" si="65"/>
        <v>0</v>
      </c>
      <c r="AC162" s="44">
        <f t="shared" si="66"/>
        <v>428.78277153558048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>
        <f t="shared" si="75"/>
        <v>0</v>
      </c>
    </row>
    <row r="163" spans="2:42" x14ac:dyDescent="0.35">
      <c r="B163" s="97" t="s">
        <v>71</v>
      </c>
      <c r="C163" s="100">
        <v>18230611</v>
      </c>
      <c r="D163" s="100" t="s">
        <v>72</v>
      </c>
      <c r="E163" s="38" t="s">
        <v>2121</v>
      </c>
      <c r="F163" s="39" t="s">
        <v>2122</v>
      </c>
      <c r="G163" s="39"/>
      <c r="H163" s="39"/>
      <c r="I163" s="40"/>
      <c r="J163" s="41">
        <v>2</v>
      </c>
      <c r="K163" s="41">
        <v>0</v>
      </c>
      <c r="L163" s="41"/>
      <c r="M163" s="42">
        <v>0</v>
      </c>
      <c r="N163" s="42">
        <v>0</v>
      </c>
      <c r="O163" s="43">
        <v>0</v>
      </c>
      <c r="P163" s="44">
        <v>1082.98</v>
      </c>
      <c r="Q163" s="44">
        <v>1082.98</v>
      </c>
      <c r="R163" s="45">
        <v>0</v>
      </c>
      <c r="S163" s="46">
        <v>0</v>
      </c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1082.98</v>
      </c>
      <c r="AB163" s="51">
        <f t="shared" si="65"/>
        <v>0</v>
      </c>
      <c r="AC163" s="44">
        <f t="shared" si="66"/>
        <v>1014.0262172284644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>
        <f t="shared" si="75"/>
        <v>0</v>
      </c>
    </row>
    <row r="164" spans="2:42" x14ac:dyDescent="0.35">
      <c r="B164" s="97" t="s">
        <v>71</v>
      </c>
      <c r="C164" s="100">
        <v>18230611</v>
      </c>
      <c r="D164" s="100" t="s">
        <v>72</v>
      </c>
      <c r="E164" s="38" t="s">
        <v>2123</v>
      </c>
      <c r="F164" s="39" t="s">
        <v>2124</v>
      </c>
      <c r="G164" s="39"/>
      <c r="H164" s="39"/>
      <c r="I164" s="40"/>
      <c r="J164" s="41">
        <v>1</v>
      </c>
      <c r="K164" s="41"/>
      <c r="L164" s="41"/>
      <c r="M164" s="42"/>
      <c r="N164" s="42"/>
      <c r="O164" s="43">
        <v>0</v>
      </c>
      <c r="P164" s="44">
        <v>0</v>
      </c>
      <c r="Q164" s="44">
        <v>891.6</v>
      </c>
      <c r="R164" s="45">
        <v>0</v>
      </c>
      <c r="S164" s="46">
        <v>0</v>
      </c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891.6</v>
      </c>
      <c r="Z164" s="44">
        <f t="shared" si="63"/>
        <v>0</v>
      </c>
      <c r="AA164" s="50">
        <f t="shared" si="64"/>
        <v>891.6</v>
      </c>
      <c r="AB164" s="51">
        <f t="shared" si="65"/>
        <v>0</v>
      </c>
      <c r="AC164" s="44">
        <f t="shared" si="66"/>
        <v>834.83146067415726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>
        <f t="shared" si="75"/>
        <v>0</v>
      </c>
    </row>
    <row r="165" spans="2:42" x14ac:dyDescent="0.35">
      <c r="B165" s="97" t="s">
        <v>71</v>
      </c>
      <c r="C165" s="100">
        <v>18230611</v>
      </c>
      <c r="D165" s="100" t="s">
        <v>72</v>
      </c>
      <c r="E165" s="38" t="s">
        <v>2125</v>
      </c>
      <c r="F165" s="39" t="s">
        <v>2126</v>
      </c>
      <c r="G165" s="39">
        <v>30</v>
      </c>
      <c r="H165" s="39"/>
      <c r="I165" s="40" t="s">
        <v>274</v>
      </c>
      <c r="J165" s="41">
        <v>1</v>
      </c>
      <c r="K165" s="41">
        <v>10534</v>
      </c>
      <c r="L165" s="41"/>
      <c r="M165" s="42"/>
      <c r="N165" s="42"/>
      <c r="O165" s="43">
        <v>10534</v>
      </c>
      <c r="P165" s="44">
        <v>6128.24</v>
      </c>
      <c r="Q165" s="44">
        <v>6128.24</v>
      </c>
      <c r="R165" s="45">
        <v>0</v>
      </c>
      <c r="S165" s="46">
        <v>0</v>
      </c>
      <c r="T165" s="39">
        <f t="shared" si="57"/>
        <v>30</v>
      </c>
      <c r="U165" s="47">
        <f t="shared" si="58"/>
        <v>0.23030430506754518</v>
      </c>
      <c r="V165" s="48">
        <f t="shared" si="59"/>
        <v>0</v>
      </c>
      <c r="W165" s="49">
        <f t="shared" si="60"/>
        <v>7.6768101689181729E-3</v>
      </c>
      <c r="X165" s="44">
        <f t="shared" si="61"/>
        <v>2134.7148623912112</v>
      </c>
      <c r="Y165" s="44">
        <f t="shared" si="62"/>
        <v>0</v>
      </c>
      <c r="Z165" s="44">
        <f t="shared" si="63"/>
        <v>35978.329229616509</v>
      </c>
      <c r="AA165" s="50">
        <f t="shared" si="64"/>
        <v>8262.9548623912106</v>
      </c>
      <c r="AB165" s="51">
        <f t="shared" si="65"/>
        <v>33687.57418503418</v>
      </c>
      <c r="AC165" s="44">
        <f t="shared" si="66"/>
        <v>7736.8491220891483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2.2574980118390635</v>
      </c>
      <c r="AG165" s="44">
        <f t="shared" si="69"/>
        <v>23780.484056712696</v>
      </c>
      <c r="AH165" s="52">
        <f>HLOOKUP(I165,ElecAvoidedCostsWOCC!$A$5:$Q$50,T165+1,FALSE)</f>
        <v>2.2574980118390635</v>
      </c>
      <c r="AI165" s="44">
        <f t="shared" si="70"/>
        <v>0</v>
      </c>
      <c r="AJ165" s="44">
        <f t="shared" si="71"/>
        <v>23780.484056712696</v>
      </c>
      <c r="AK165" s="44">
        <f>HLOOKUP(I165,ElecAvoidedCostsWOCC!$A$5:$Q$50,G165+1,FALSE)*J165*L165</f>
        <v>0</v>
      </c>
      <c r="AL165" s="44">
        <f t="shared" si="72"/>
        <v>23780.484056712696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23780.484056712696</v>
      </c>
      <c r="AN165" s="48">
        <f t="shared" si="73"/>
        <v>26158.532462383966</v>
      </c>
      <c r="AO165" s="47">
        <f t="shared" si="74"/>
        <v>0.70591262897395735</v>
      </c>
      <c r="AP165" s="47">
        <f t="shared" si="75"/>
        <v>3.3810317416814883</v>
      </c>
    </row>
    <row r="166" spans="2:42" x14ac:dyDescent="0.35">
      <c r="B166" s="97" t="s">
        <v>71</v>
      </c>
      <c r="C166" s="100">
        <v>18230611</v>
      </c>
      <c r="D166" s="100" t="s">
        <v>72</v>
      </c>
      <c r="E166" s="38" t="s">
        <v>2129</v>
      </c>
      <c r="F166" s="39" t="s">
        <v>2130</v>
      </c>
      <c r="G166" s="39"/>
      <c r="H166" s="39"/>
      <c r="I166" s="40"/>
      <c r="J166" s="41">
        <v>1</v>
      </c>
      <c r="K166" s="41"/>
      <c r="L166" s="41"/>
      <c r="M166" s="42"/>
      <c r="N166" s="42"/>
      <c r="O166" s="43">
        <v>0</v>
      </c>
      <c r="P166" s="44">
        <v>0</v>
      </c>
      <c r="Q166" s="44">
        <v>0</v>
      </c>
      <c r="R166" s="45">
        <v>0</v>
      </c>
      <c r="S166" s="46">
        <v>0</v>
      </c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 x14ac:dyDescent="0.35">
      <c r="B167" s="97" t="s">
        <v>71</v>
      </c>
      <c r="C167" s="100">
        <v>18230611</v>
      </c>
      <c r="D167" s="100" t="s">
        <v>72</v>
      </c>
      <c r="E167" s="38" t="s">
        <v>2133</v>
      </c>
      <c r="F167" s="39" t="s">
        <v>2134</v>
      </c>
      <c r="G167" s="39">
        <v>15</v>
      </c>
      <c r="H167" s="39"/>
      <c r="I167" s="40" t="s">
        <v>273</v>
      </c>
      <c r="J167" s="41">
        <v>1</v>
      </c>
      <c r="K167" s="41">
        <v>14581</v>
      </c>
      <c r="L167" s="41"/>
      <c r="M167" s="42"/>
      <c r="N167" s="42"/>
      <c r="O167" s="43">
        <v>14581</v>
      </c>
      <c r="P167" s="44">
        <v>7982.32</v>
      </c>
      <c r="Q167" s="44">
        <v>7982.32</v>
      </c>
      <c r="R167" s="45">
        <v>0</v>
      </c>
      <c r="S167" s="46">
        <v>0</v>
      </c>
      <c r="T167" s="39">
        <f t="shared" si="57"/>
        <v>15</v>
      </c>
      <c r="U167" s="47">
        <f t="shared" si="58"/>
        <v>0.15939182989319711</v>
      </c>
      <c r="V167" s="48">
        <f t="shared" si="59"/>
        <v>0</v>
      </c>
      <c r="W167" s="49">
        <f t="shared" si="60"/>
        <v>1.0626121992879807E-2</v>
      </c>
      <c r="X167" s="44">
        <f t="shared" si="61"/>
        <v>2954.8393211055868</v>
      </c>
      <c r="Y167" s="44">
        <f t="shared" si="62"/>
        <v>0</v>
      </c>
      <c r="Z167" s="44">
        <f t="shared" si="63"/>
        <v>49800.647284700804</v>
      </c>
      <c r="AA167" s="50">
        <f t="shared" si="64"/>
        <v>10937.159321105586</v>
      </c>
      <c r="AB167" s="51">
        <f t="shared" si="65"/>
        <v>46629.819554963295</v>
      </c>
      <c r="AC167" s="44">
        <f t="shared" si="66"/>
        <v>10240.785881185006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1.3071945815391408</v>
      </c>
      <c r="AG167" s="44">
        <f t="shared" si="69"/>
        <v>19060.204193422211</v>
      </c>
      <c r="AH167" s="52">
        <f>HLOOKUP(I167,ElecAvoidedCostsWOCC!$A$5:$Q$50,T167+1,FALSE)</f>
        <v>1.3071945815391408</v>
      </c>
      <c r="AI167" s="44">
        <f t="shared" si="70"/>
        <v>0</v>
      </c>
      <c r="AJ167" s="44">
        <f t="shared" si="71"/>
        <v>19060.204193422211</v>
      </c>
      <c r="AK167" s="44">
        <f>HLOOKUP(I167,ElecAvoidedCostsWOCC!$A$5:$Q$50,G167+1,FALSE)*J167*L167</f>
        <v>0</v>
      </c>
      <c r="AL167" s="44">
        <f t="shared" si="72"/>
        <v>19060.204193422211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19060.204193422211</v>
      </c>
      <c r="AN167" s="48">
        <f t="shared" si="73"/>
        <v>20966.224612764432</v>
      </c>
      <c r="AO167" s="47">
        <f t="shared" si="74"/>
        <v>0.40875569271623818</v>
      </c>
      <c r="AP167" s="47">
        <f t="shared" si="75"/>
        <v>2.0473257478495723</v>
      </c>
    </row>
    <row r="168" spans="2:42" x14ac:dyDescent="0.35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 x14ac:dyDescent="0.35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 x14ac:dyDescent="0.35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 x14ac:dyDescent="0.35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 x14ac:dyDescent="0.35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 x14ac:dyDescent="0.35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 x14ac:dyDescent="0.35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 x14ac:dyDescent="0.35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 x14ac:dyDescent="0.35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 x14ac:dyDescent="0.35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 x14ac:dyDescent="0.35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ref="T178:T194" si="76">G178+H178</f>
        <v>0</v>
      </c>
      <c r="U178" s="47">
        <f t="shared" ref="U178:U194" si="77">(O178/$A$10)*T178</f>
        <v>0</v>
      </c>
      <c r="V178" s="48">
        <f t="shared" ref="V178:V194" si="78">N178-M178</f>
        <v>0</v>
      </c>
      <c r="W178" s="49">
        <f t="shared" ref="W178:W194" si="79">(O178/A$10)</f>
        <v>0</v>
      </c>
      <c r="X178" s="44">
        <f t="shared" ref="X178:X194" si="80">W178*A$8</f>
        <v>0</v>
      </c>
      <c r="Y178" s="44">
        <f t="shared" ref="Y178:Y194" si="81">Q178-P178</f>
        <v>0</v>
      </c>
      <c r="Z178" s="44">
        <f t="shared" ref="Z178:Z194" si="82">X178+(A$6*W178)</f>
        <v>0</v>
      </c>
      <c r="AA178" s="50">
        <f t="shared" ref="AA178:AA194" si="83">Q178+X178</f>
        <v>0</v>
      </c>
      <c r="AB178" s="51">
        <f t="shared" ref="AB178:AB194" si="84">Z178/(1+ElecDiscountRate)^1</f>
        <v>0</v>
      </c>
      <c r="AC178" s="44">
        <f t="shared" ref="AC178:AC194" si="85">AA178/(1+ElecDiscountRate)^1</f>
        <v>0</v>
      </c>
      <c r="AD178" s="44">
        <f t="shared" ref="AD178:AD194" si="86">-PV(ElecDiscountRate,T178,R178)*J178</f>
        <v>0</v>
      </c>
      <c r="AE178" s="44">
        <f t="shared" ref="AE178:AE194" si="87">-PV(ElecDiscountRate,T178,S178)*J178</f>
        <v>0</v>
      </c>
      <c r="AF178" s="52" t="e">
        <f>HLOOKUP(I178,ElecAvoidedCostsWOCC!$A$5:$Q$50,G178+1,FALSE)</f>
        <v>#N/A</v>
      </c>
      <c r="AG178" s="44" t="e">
        <f t="shared" ref="AG178:AG194" si="88">AF178*J178*K178</f>
        <v>#N/A</v>
      </c>
      <c r="AH178" s="52" t="e">
        <f>HLOOKUP(I178,ElecAvoidedCostsWOCC!$A$5:$Q$50,T178+1,FALSE)</f>
        <v>#N/A</v>
      </c>
      <c r="AI178" s="44" t="e">
        <f t="shared" ref="AI178:AI194" si="89">AH178*J178*L178</f>
        <v>#N/A</v>
      </c>
      <c r="AJ178" s="44" t="e">
        <f t="shared" ref="AJ178:AJ194" si="90">AG178+AI178</f>
        <v>#N/A</v>
      </c>
      <c r="AK178" s="44" t="e">
        <f>HLOOKUP(I178,ElecAvoidedCostsWOCC!$A$5:$Q$50,G178+1,FALSE)*J178*L178</f>
        <v>#N/A</v>
      </c>
      <c r="AL178" s="44" t="e">
        <f t="shared" ref="AL178:AL194" si="91">AG178+AI178-AK178</f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ref="AN178:AN194" si="92">AM178*1.1+AD178+AE178</f>
        <v>0</v>
      </c>
      <c r="AO178" s="47">
        <f t="shared" ref="AO178:AO194" si="93">IFERROR(AM178/AB178,0)</f>
        <v>0</v>
      </c>
      <c r="AP178" s="47" t="e">
        <f t="shared" ref="AP178:AP194" si="94">AN178/AC178</f>
        <v>#DIV/0!</v>
      </c>
    </row>
    <row r="179" spans="2:42" x14ac:dyDescent="0.35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76"/>
        <v>0</v>
      </c>
      <c r="U179" s="47">
        <f t="shared" si="77"/>
        <v>0</v>
      </c>
      <c r="V179" s="48">
        <f t="shared" si="78"/>
        <v>0</v>
      </c>
      <c r="W179" s="49">
        <f t="shared" si="79"/>
        <v>0</v>
      </c>
      <c r="X179" s="44">
        <f t="shared" si="80"/>
        <v>0</v>
      </c>
      <c r="Y179" s="44">
        <f t="shared" si="81"/>
        <v>0</v>
      </c>
      <c r="Z179" s="44">
        <f t="shared" si="82"/>
        <v>0</v>
      </c>
      <c r="AA179" s="50">
        <f t="shared" si="83"/>
        <v>0</v>
      </c>
      <c r="AB179" s="51">
        <f t="shared" si="84"/>
        <v>0</v>
      </c>
      <c r="AC179" s="44">
        <f t="shared" si="85"/>
        <v>0</v>
      </c>
      <c r="AD179" s="44">
        <f t="shared" si="86"/>
        <v>0</v>
      </c>
      <c r="AE179" s="44">
        <f t="shared" si="87"/>
        <v>0</v>
      </c>
      <c r="AF179" s="52" t="e">
        <f>HLOOKUP(I179,ElecAvoidedCostsWOCC!$A$5:$Q$50,G179+1,FALSE)</f>
        <v>#N/A</v>
      </c>
      <c r="AG179" s="44" t="e">
        <f t="shared" si="88"/>
        <v>#N/A</v>
      </c>
      <c r="AH179" s="52" t="e">
        <f>HLOOKUP(I179,ElecAvoidedCostsWOCC!$A$5:$Q$50,T179+1,FALSE)</f>
        <v>#N/A</v>
      </c>
      <c r="AI179" s="44" t="e">
        <f t="shared" si="89"/>
        <v>#N/A</v>
      </c>
      <c r="AJ179" s="44" t="e">
        <f t="shared" si="90"/>
        <v>#N/A</v>
      </c>
      <c r="AK179" s="44" t="e">
        <f>HLOOKUP(I179,ElecAvoidedCostsWOCC!$A$5:$Q$50,G179+1,FALSE)*J179*L179</f>
        <v>#N/A</v>
      </c>
      <c r="AL179" s="44" t="e">
        <f t="shared" si="91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92"/>
        <v>0</v>
      </c>
      <c r="AO179" s="47">
        <f t="shared" si="93"/>
        <v>0</v>
      </c>
      <c r="AP179" s="47" t="e">
        <f t="shared" si="94"/>
        <v>#DIV/0!</v>
      </c>
    </row>
    <row r="180" spans="2:42" x14ac:dyDescent="0.35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76"/>
        <v>0</v>
      </c>
      <c r="U180" s="47">
        <f t="shared" si="77"/>
        <v>0</v>
      </c>
      <c r="V180" s="48">
        <f t="shared" si="78"/>
        <v>0</v>
      </c>
      <c r="W180" s="49">
        <f t="shared" si="79"/>
        <v>0</v>
      </c>
      <c r="X180" s="44">
        <f t="shared" si="80"/>
        <v>0</v>
      </c>
      <c r="Y180" s="44">
        <f t="shared" si="81"/>
        <v>0</v>
      </c>
      <c r="Z180" s="44">
        <f t="shared" si="82"/>
        <v>0</v>
      </c>
      <c r="AA180" s="50">
        <f t="shared" si="83"/>
        <v>0</v>
      </c>
      <c r="AB180" s="51">
        <f t="shared" si="84"/>
        <v>0</v>
      </c>
      <c r="AC180" s="44">
        <f t="shared" si="85"/>
        <v>0</v>
      </c>
      <c r="AD180" s="44">
        <f t="shared" si="86"/>
        <v>0</v>
      </c>
      <c r="AE180" s="44">
        <f t="shared" si="87"/>
        <v>0</v>
      </c>
      <c r="AF180" s="52" t="e">
        <f>HLOOKUP(I180,ElecAvoidedCostsWOCC!$A$5:$Q$50,G180+1,FALSE)</f>
        <v>#N/A</v>
      </c>
      <c r="AG180" s="44" t="e">
        <f t="shared" si="88"/>
        <v>#N/A</v>
      </c>
      <c r="AH180" s="52" t="e">
        <f>HLOOKUP(I180,ElecAvoidedCostsWOCC!$A$5:$Q$50,T180+1,FALSE)</f>
        <v>#N/A</v>
      </c>
      <c r="AI180" s="44" t="e">
        <f t="shared" si="89"/>
        <v>#N/A</v>
      </c>
      <c r="AJ180" s="44" t="e">
        <f t="shared" si="90"/>
        <v>#N/A</v>
      </c>
      <c r="AK180" s="44" t="e">
        <f>HLOOKUP(I180,ElecAvoidedCostsWOCC!$A$5:$Q$50,G180+1,FALSE)*J180*L180</f>
        <v>#N/A</v>
      </c>
      <c r="AL180" s="44" t="e">
        <f t="shared" si="91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92"/>
        <v>0</v>
      </c>
      <c r="AO180" s="47">
        <f t="shared" si="93"/>
        <v>0</v>
      </c>
      <c r="AP180" s="47" t="e">
        <f t="shared" si="94"/>
        <v>#DIV/0!</v>
      </c>
    </row>
    <row r="181" spans="2:42" x14ac:dyDescent="0.35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76"/>
        <v>0</v>
      </c>
      <c r="U181" s="47">
        <f t="shared" si="77"/>
        <v>0</v>
      </c>
      <c r="V181" s="48">
        <f t="shared" si="78"/>
        <v>0</v>
      </c>
      <c r="W181" s="49">
        <f t="shared" si="79"/>
        <v>0</v>
      </c>
      <c r="X181" s="44">
        <f t="shared" si="80"/>
        <v>0</v>
      </c>
      <c r="Y181" s="44">
        <f t="shared" si="81"/>
        <v>0</v>
      </c>
      <c r="Z181" s="44">
        <f t="shared" si="82"/>
        <v>0</v>
      </c>
      <c r="AA181" s="50">
        <f t="shared" si="83"/>
        <v>0</v>
      </c>
      <c r="AB181" s="51">
        <f t="shared" si="84"/>
        <v>0</v>
      </c>
      <c r="AC181" s="44">
        <f t="shared" si="85"/>
        <v>0</v>
      </c>
      <c r="AD181" s="44">
        <f t="shared" si="86"/>
        <v>0</v>
      </c>
      <c r="AE181" s="44">
        <f t="shared" si="87"/>
        <v>0</v>
      </c>
      <c r="AF181" s="52" t="e">
        <f>HLOOKUP(I181,ElecAvoidedCostsWOCC!$A$5:$Q$50,G181+1,FALSE)</f>
        <v>#N/A</v>
      </c>
      <c r="AG181" s="44" t="e">
        <f t="shared" si="88"/>
        <v>#N/A</v>
      </c>
      <c r="AH181" s="52" t="e">
        <f>HLOOKUP(I181,ElecAvoidedCostsWOCC!$A$5:$Q$50,T181+1,FALSE)</f>
        <v>#N/A</v>
      </c>
      <c r="AI181" s="44" t="e">
        <f t="shared" si="89"/>
        <v>#N/A</v>
      </c>
      <c r="AJ181" s="44" t="e">
        <f t="shared" si="90"/>
        <v>#N/A</v>
      </c>
      <c r="AK181" s="44" t="e">
        <f>HLOOKUP(I181,ElecAvoidedCostsWOCC!$A$5:$Q$50,G181+1,FALSE)*J181*L181</f>
        <v>#N/A</v>
      </c>
      <c r="AL181" s="44" t="e">
        <f t="shared" si="91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92"/>
        <v>0</v>
      </c>
      <c r="AO181" s="47">
        <f t="shared" si="93"/>
        <v>0</v>
      </c>
      <c r="AP181" s="47" t="e">
        <f t="shared" si="94"/>
        <v>#DIV/0!</v>
      </c>
    </row>
    <row r="182" spans="2:42" x14ac:dyDescent="0.35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76"/>
        <v>0</v>
      </c>
      <c r="U182" s="47">
        <f t="shared" si="77"/>
        <v>0</v>
      </c>
      <c r="V182" s="48">
        <f t="shared" si="78"/>
        <v>0</v>
      </c>
      <c r="W182" s="49">
        <f t="shared" si="79"/>
        <v>0</v>
      </c>
      <c r="X182" s="44">
        <f t="shared" si="80"/>
        <v>0</v>
      </c>
      <c r="Y182" s="44">
        <f t="shared" si="81"/>
        <v>0</v>
      </c>
      <c r="Z182" s="44">
        <f t="shared" si="82"/>
        <v>0</v>
      </c>
      <c r="AA182" s="50">
        <f t="shared" si="83"/>
        <v>0</v>
      </c>
      <c r="AB182" s="51">
        <f t="shared" si="84"/>
        <v>0</v>
      </c>
      <c r="AC182" s="44">
        <f t="shared" si="85"/>
        <v>0</v>
      </c>
      <c r="AD182" s="44">
        <f t="shared" si="86"/>
        <v>0</v>
      </c>
      <c r="AE182" s="44">
        <f t="shared" si="87"/>
        <v>0</v>
      </c>
      <c r="AF182" s="52" t="e">
        <f>HLOOKUP(I182,ElecAvoidedCostsWOCC!$A$5:$Q$50,G182+1,FALSE)</f>
        <v>#N/A</v>
      </c>
      <c r="AG182" s="44" t="e">
        <f t="shared" si="88"/>
        <v>#N/A</v>
      </c>
      <c r="AH182" s="52" t="e">
        <f>HLOOKUP(I182,ElecAvoidedCostsWOCC!$A$5:$Q$50,T182+1,FALSE)</f>
        <v>#N/A</v>
      </c>
      <c r="AI182" s="44" t="e">
        <f t="shared" si="89"/>
        <v>#N/A</v>
      </c>
      <c r="AJ182" s="44" t="e">
        <f t="shared" si="90"/>
        <v>#N/A</v>
      </c>
      <c r="AK182" s="44" t="e">
        <f>HLOOKUP(I182,ElecAvoidedCostsWOCC!$A$5:$Q$50,G182+1,FALSE)*J182*L182</f>
        <v>#N/A</v>
      </c>
      <c r="AL182" s="44" t="e">
        <f t="shared" si="91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92"/>
        <v>0</v>
      </c>
      <c r="AO182" s="47">
        <f t="shared" si="93"/>
        <v>0</v>
      </c>
      <c r="AP182" s="47" t="e">
        <f t="shared" si="94"/>
        <v>#DIV/0!</v>
      </c>
    </row>
    <row r="183" spans="2:42" x14ac:dyDescent="0.35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76"/>
        <v>0</v>
      </c>
      <c r="U183" s="47">
        <f t="shared" si="77"/>
        <v>0</v>
      </c>
      <c r="V183" s="48">
        <f t="shared" si="78"/>
        <v>0</v>
      </c>
      <c r="W183" s="49">
        <f t="shared" si="79"/>
        <v>0</v>
      </c>
      <c r="X183" s="44">
        <f t="shared" si="80"/>
        <v>0</v>
      </c>
      <c r="Y183" s="44">
        <f t="shared" si="81"/>
        <v>0</v>
      </c>
      <c r="Z183" s="44">
        <f t="shared" si="82"/>
        <v>0</v>
      </c>
      <c r="AA183" s="50">
        <f t="shared" si="83"/>
        <v>0</v>
      </c>
      <c r="AB183" s="51">
        <f t="shared" si="84"/>
        <v>0</v>
      </c>
      <c r="AC183" s="44">
        <f t="shared" si="85"/>
        <v>0</v>
      </c>
      <c r="AD183" s="44">
        <f t="shared" si="86"/>
        <v>0</v>
      </c>
      <c r="AE183" s="44">
        <f t="shared" si="87"/>
        <v>0</v>
      </c>
      <c r="AF183" s="52" t="e">
        <f>HLOOKUP(I183,ElecAvoidedCostsWOCC!$A$5:$Q$50,G183+1,FALSE)</f>
        <v>#N/A</v>
      </c>
      <c r="AG183" s="44" t="e">
        <f t="shared" si="88"/>
        <v>#N/A</v>
      </c>
      <c r="AH183" s="52" t="e">
        <f>HLOOKUP(I183,ElecAvoidedCostsWOCC!$A$5:$Q$50,T183+1,FALSE)</f>
        <v>#N/A</v>
      </c>
      <c r="AI183" s="44" t="e">
        <f t="shared" si="89"/>
        <v>#N/A</v>
      </c>
      <c r="AJ183" s="44" t="e">
        <f t="shared" si="90"/>
        <v>#N/A</v>
      </c>
      <c r="AK183" s="44" t="e">
        <f>HLOOKUP(I183,ElecAvoidedCostsWOCC!$A$5:$Q$50,G183+1,FALSE)*J183*L183</f>
        <v>#N/A</v>
      </c>
      <c r="AL183" s="44" t="e">
        <f t="shared" si="91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92"/>
        <v>0</v>
      </c>
      <c r="AO183" s="47">
        <f t="shared" si="93"/>
        <v>0</v>
      </c>
      <c r="AP183" s="47" t="e">
        <f t="shared" si="94"/>
        <v>#DIV/0!</v>
      </c>
    </row>
    <row r="184" spans="2:42" x14ac:dyDescent="0.35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76"/>
        <v>0</v>
      </c>
      <c r="U184" s="47">
        <f t="shared" si="77"/>
        <v>0</v>
      </c>
      <c r="V184" s="48">
        <f t="shared" si="78"/>
        <v>0</v>
      </c>
      <c r="W184" s="49">
        <f t="shared" si="79"/>
        <v>0</v>
      </c>
      <c r="X184" s="44">
        <f t="shared" si="80"/>
        <v>0</v>
      </c>
      <c r="Y184" s="44">
        <f t="shared" si="81"/>
        <v>0</v>
      </c>
      <c r="Z184" s="44">
        <f t="shared" si="82"/>
        <v>0</v>
      </c>
      <c r="AA184" s="50">
        <f t="shared" si="83"/>
        <v>0</v>
      </c>
      <c r="AB184" s="51">
        <f t="shared" si="84"/>
        <v>0</v>
      </c>
      <c r="AC184" s="44">
        <f t="shared" si="85"/>
        <v>0</v>
      </c>
      <c r="AD184" s="44">
        <f t="shared" si="86"/>
        <v>0</v>
      </c>
      <c r="AE184" s="44">
        <f t="shared" si="87"/>
        <v>0</v>
      </c>
      <c r="AF184" s="52" t="e">
        <f>HLOOKUP(I184,ElecAvoidedCostsWOCC!$A$5:$Q$50,G184+1,FALSE)</f>
        <v>#N/A</v>
      </c>
      <c r="AG184" s="44" t="e">
        <f t="shared" si="88"/>
        <v>#N/A</v>
      </c>
      <c r="AH184" s="52" t="e">
        <f>HLOOKUP(I184,ElecAvoidedCostsWOCC!$A$5:$Q$50,T184+1,FALSE)</f>
        <v>#N/A</v>
      </c>
      <c r="AI184" s="44" t="e">
        <f t="shared" si="89"/>
        <v>#N/A</v>
      </c>
      <c r="AJ184" s="44" t="e">
        <f t="shared" si="90"/>
        <v>#N/A</v>
      </c>
      <c r="AK184" s="44" t="e">
        <f>HLOOKUP(I184,ElecAvoidedCostsWOCC!$A$5:$Q$50,G184+1,FALSE)*J184*L184</f>
        <v>#N/A</v>
      </c>
      <c r="AL184" s="44" t="e">
        <f t="shared" si="91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92"/>
        <v>0</v>
      </c>
      <c r="AO184" s="47">
        <f t="shared" si="93"/>
        <v>0</v>
      </c>
      <c r="AP184" s="47" t="e">
        <f t="shared" si="94"/>
        <v>#DIV/0!</v>
      </c>
    </row>
    <row r="185" spans="2:42" x14ac:dyDescent="0.35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76"/>
        <v>0</v>
      </c>
      <c r="U185" s="47">
        <f t="shared" si="77"/>
        <v>0</v>
      </c>
      <c r="V185" s="48">
        <f t="shared" si="78"/>
        <v>0</v>
      </c>
      <c r="W185" s="49">
        <f t="shared" si="79"/>
        <v>0</v>
      </c>
      <c r="X185" s="44">
        <f t="shared" si="80"/>
        <v>0</v>
      </c>
      <c r="Y185" s="44">
        <f t="shared" si="81"/>
        <v>0</v>
      </c>
      <c r="Z185" s="44">
        <f t="shared" si="82"/>
        <v>0</v>
      </c>
      <c r="AA185" s="50">
        <f t="shared" si="83"/>
        <v>0</v>
      </c>
      <c r="AB185" s="51">
        <f t="shared" si="84"/>
        <v>0</v>
      </c>
      <c r="AC185" s="44">
        <f t="shared" si="85"/>
        <v>0</v>
      </c>
      <c r="AD185" s="44">
        <f t="shared" si="86"/>
        <v>0</v>
      </c>
      <c r="AE185" s="44">
        <f t="shared" si="87"/>
        <v>0</v>
      </c>
      <c r="AF185" s="52" t="e">
        <f>HLOOKUP(I185,ElecAvoidedCostsWOCC!$A$5:$Q$50,G185+1,FALSE)</f>
        <v>#N/A</v>
      </c>
      <c r="AG185" s="44" t="e">
        <f t="shared" si="88"/>
        <v>#N/A</v>
      </c>
      <c r="AH185" s="52" t="e">
        <f>HLOOKUP(I185,ElecAvoidedCostsWOCC!$A$5:$Q$50,T185+1,FALSE)</f>
        <v>#N/A</v>
      </c>
      <c r="AI185" s="44" t="e">
        <f t="shared" si="89"/>
        <v>#N/A</v>
      </c>
      <c r="AJ185" s="44" t="e">
        <f t="shared" si="90"/>
        <v>#N/A</v>
      </c>
      <c r="AK185" s="44" t="e">
        <f>HLOOKUP(I185,ElecAvoidedCostsWOCC!$A$5:$Q$50,G185+1,FALSE)*J185*L185</f>
        <v>#N/A</v>
      </c>
      <c r="AL185" s="44" t="e">
        <f t="shared" si="91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92"/>
        <v>0</v>
      </c>
      <c r="AO185" s="47">
        <f t="shared" si="93"/>
        <v>0</v>
      </c>
      <c r="AP185" s="47" t="e">
        <f t="shared" si="94"/>
        <v>#DIV/0!</v>
      </c>
    </row>
    <row r="186" spans="2:42" x14ac:dyDescent="0.35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76"/>
        <v>0</v>
      </c>
      <c r="U186" s="47">
        <f t="shared" si="77"/>
        <v>0</v>
      </c>
      <c r="V186" s="48">
        <f t="shared" si="78"/>
        <v>0</v>
      </c>
      <c r="W186" s="49">
        <f t="shared" si="79"/>
        <v>0</v>
      </c>
      <c r="X186" s="44">
        <f t="shared" si="80"/>
        <v>0</v>
      </c>
      <c r="Y186" s="44">
        <f t="shared" si="81"/>
        <v>0</v>
      </c>
      <c r="Z186" s="44">
        <f t="shared" si="82"/>
        <v>0</v>
      </c>
      <c r="AA186" s="50">
        <f t="shared" si="83"/>
        <v>0</v>
      </c>
      <c r="AB186" s="51">
        <f t="shared" si="84"/>
        <v>0</v>
      </c>
      <c r="AC186" s="44">
        <f t="shared" si="85"/>
        <v>0</v>
      </c>
      <c r="AD186" s="44">
        <f t="shared" si="86"/>
        <v>0</v>
      </c>
      <c r="AE186" s="44">
        <f t="shared" si="87"/>
        <v>0</v>
      </c>
      <c r="AF186" s="52" t="e">
        <f>HLOOKUP(I186,ElecAvoidedCostsWOCC!$A$5:$Q$50,G186+1,FALSE)</f>
        <v>#N/A</v>
      </c>
      <c r="AG186" s="44" t="e">
        <f t="shared" si="88"/>
        <v>#N/A</v>
      </c>
      <c r="AH186" s="52" t="e">
        <f>HLOOKUP(I186,ElecAvoidedCostsWOCC!$A$5:$Q$50,T186+1,FALSE)</f>
        <v>#N/A</v>
      </c>
      <c r="AI186" s="44" t="e">
        <f t="shared" si="89"/>
        <v>#N/A</v>
      </c>
      <c r="AJ186" s="44" t="e">
        <f t="shared" si="90"/>
        <v>#N/A</v>
      </c>
      <c r="AK186" s="44" t="e">
        <f>HLOOKUP(I186,ElecAvoidedCostsWOCC!$A$5:$Q$50,G186+1,FALSE)*J186*L186</f>
        <v>#N/A</v>
      </c>
      <c r="AL186" s="44" t="e">
        <f t="shared" si="91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92"/>
        <v>0</v>
      </c>
      <c r="AO186" s="47">
        <f t="shared" si="93"/>
        <v>0</v>
      </c>
      <c r="AP186" s="47" t="e">
        <f t="shared" si="94"/>
        <v>#DIV/0!</v>
      </c>
    </row>
    <row r="187" spans="2:42" x14ac:dyDescent="0.35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76"/>
        <v>0</v>
      </c>
      <c r="U187" s="47">
        <f t="shared" si="77"/>
        <v>0</v>
      </c>
      <c r="V187" s="48">
        <f t="shared" si="78"/>
        <v>0</v>
      </c>
      <c r="W187" s="49">
        <f t="shared" si="79"/>
        <v>0</v>
      </c>
      <c r="X187" s="44">
        <f t="shared" si="80"/>
        <v>0</v>
      </c>
      <c r="Y187" s="44">
        <f t="shared" si="81"/>
        <v>0</v>
      </c>
      <c r="Z187" s="44">
        <f t="shared" si="82"/>
        <v>0</v>
      </c>
      <c r="AA187" s="50">
        <f t="shared" si="83"/>
        <v>0</v>
      </c>
      <c r="AB187" s="51">
        <f t="shared" si="84"/>
        <v>0</v>
      </c>
      <c r="AC187" s="44">
        <f t="shared" si="85"/>
        <v>0</v>
      </c>
      <c r="AD187" s="44">
        <f t="shared" si="86"/>
        <v>0</v>
      </c>
      <c r="AE187" s="44">
        <f t="shared" si="87"/>
        <v>0</v>
      </c>
      <c r="AF187" s="52" t="e">
        <f>HLOOKUP(I187,ElecAvoidedCostsWOCC!$A$5:$Q$50,G187+1,FALSE)</f>
        <v>#N/A</v>
      </c>
      <c r="AG187" s="44" t="e">
        <f t="shared" si="88"/>
        <v>#N/A</v>
      </c>
      <c r="AH187" s="52" t="e">
        <f>HLOOKUP(I187,ElecAvoidedCostsWOCC!$A$5:$Q$50,T187+1,FALSE)</f>
        <v>#N/A</v>
      </c>
      <c r="AI187" s="44" t="e">
        <f t="shared" si="89"/>
        <v>#N/A</v>
      </c>
      <c r="AJ187" s="44" t="e">
        <f t="shared" si="90"/>
        <v>#N/A</v>
      </c>
      <c r="AK187" s="44" t="e">
        <f>HLOOKUP(I187,ElecAvoidedCostsWOCC!$A$5:$Q$50,G187+1,FALSE)*J187*L187</f>
        <v>#N/A</v>
      </c>
      <c r="AL187" s="44" t="e">
        <f t="shared" si="91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92"/>
        <v>0</v>
      </c>
      <c r="AO187" s="47">
        <f t="shared" si="93"/>
        <v>0</v>
      </c>
      <c r="AP187" s="47" t="e">
        <f t="shared" si="94"/>
        <v>#DIV/0!</v>
      </c>
    </row>
    <row r="188" spans="2:42" x14ac:dyDescent="0.35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76"/>
        <v>0</v>
      </c>
      <c r="U188" s="47">
        <f t="shared" si="77"/>
        <v>0</v>
      </c>
      <c r="V188" s="48">
        <f t="shared" si="78"/>
        <v>0</v>
      </c>
      <c r="W188" s="49">
        <f t="shared" si="79"/>
        <v>0</v>
      </c>
      <c r="X188" s="44">
        <f t="shared" si="80"/>
        <v>0</v>
      </c>
      <c r="Y188" s="44">
        <f t="shared" si="81"/>
        <v>0</v>
      </c>
      <c r="Z188" s="44">
        <f t="shared" si="82"/>
        <v>0</v>
      </c>
      <c r="AA188" s="50">
        <f t="shared" si="83"/>
        <v>0</v>
      </c>
      <c r="AB188" s="51">
        <f t="shared" si="84"/>
        <v>0</v>
      </c>
      <c r="AC188" s="44">
        <f t="shared" si="85"/>
        <v>0</v>
      </c>
      <c r="AD188" s="44">
        <f t="shared" si="86"/>
        <v>0</v>
      </c>
      <c r="AE188" s="44">
        <f t="shared" si="87"/>
        <v>0</v>
      </c>
      <c r="AF188" s="52" t="e">
        <f>HLOOKUP(I188,ElecAvoidedCostsWOCC!$A$5:$Q$50,G188+1,FALSE)</f>
        <v>#N/A</v>
      </c>
      <c r="AG188" s="44" t="e">
        <f t="shared" si="88"/>
        <v>#N/A</v>
      </c>
      <c r="AH188" s="52" t="e">
        <f>HLOOKUP(I188,ElecAvoidedCostsWOCC!$A$5:$Q$50,T188+1,FALSE)</f>
        <v>#N/A</v>
      </c>
      <c r="AI188" s="44" t="e">
        <f t="shared" si="89"/>
        <v>#N/A</v>
      </c>
      <c r="AJ188" s="44" t="e">
        <f t="shared" si="90"/>
        <v>#N/A</v>
      </c>
      <c r="AK188" s="44" t="e">
        <f>HLOOKUP(I188,ElecAvoidedCostsWOCC!$A$5:$Q$50,G188+1,FALSE)*J188*L188</f>
        <v>#N/A</v>
      </c>
      <c r="AL188" s="44" t="e">
        <f t="shared" si="91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92"/>
        <v>0</v>
      </c>
      <c r="AO188" s="47">
        <f t="shared" si="93"/>
        <v>0</v>
      </c>
      <c r="AP188" s="47" t="e">
        <f t="shared" si="94"/>
        <v>#DIV/0!</v>
      </c>
    </row>
    <row r="189" spans="2:42" x14ac:dyDescent="0.35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76"/>
        <v>0</v>
      </c>
      <c r="U189" s="47">
        <f t="shared" si="77"/>
        <v>0</v>
      </c>
      <c r="V189" s="48">
        <f t="shared" si="78"/>
        <v>0</v>
      </c>
      <c r="W189" s="49">
        <f t="shared" si="79"/>
        <v>0</v>
      </c>
      <c r="X189" s="44">
        <f t="shared" si="80"/>
        <v>0</v>
      </c>
      <c r="Y189" s="44">
        <f t="shared" si="81"/>
        <v>0</v>
      </c>
      <c r="Z189" s="44">
        <f t="shared" si="82"/>
        <v>0</v>
      </c>
      <c r="AA189" s="50">
        <f t="shared" si="83"/>
        <v>0</v>
      </c>
      <c r="AB189" s="51">
        <f t="shared" si="84"/>
        <v>0</v>
      </c>
      <c r="AC189" s="44">
        <f t="shared" si="85"/>
        <v>0</v>
      </c>
      <c r="AD189" s="44">
        <f t="shared" si="86"/>
        <v>0</v>
      </c>
      <c r="AE189" s="44">
        <f t="shared" si="87"/>
        <v>0</v>
      </c>
      <c r="AF189" s="52" t="e">
        <f>HLOOKUP(I189,ElecAvoidedCostsWOCC!$A$5:$Q$50,G189+1,FALSE)</f>
        <v>#N/A</v>
      </c>
      <c r="AG189" s="44" t="e">
        <f t="shared" si="88"/>
        <v>#N/A</v>
      </c>
      <c r="AH189" s="52" t="e">
        <f>HLOOKUP(I189,ElecAvoidedCostsWOCC!$A$5:$Q$50,T189+1,FALSE)</f>
        <v>#N/A</v>
      </c>
      <c r="AI189" s="44" t="e">
        <f t="shared" si="89"/>
        <v>#N/A</v>
      </c>
      <c r="AJ189" s="44" t="e">
        <f t="shared" si="90"/>
        <v>#N/A</v>
      </c>
      <c r="AK189" s="44" t="e">
        <f>HLOOKUP(I189,ElecAvoidedCostsWOCC!$A$5:$Q$50,G189+1,FALSE)*J189*L189</f>
        <v>#N/A</v>
      </c>
      <c r="AL189" s="44" t="e">
        <f t="shared" si="91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92"/>
        <v>0</v>
      </c>
      <c r="AO189" s="47">
        <f t="shared" si="93"/>
        <v>0</v>
      </c>
      <c r="AP189" s="47" t="e">
        <f t="shared" si="94"/>
        <v>#DIV/0!</v>
      </c>
    </row>
    <row r="190" spans="2:42" x14ac:dyDescent="0.35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76"/>
        <v>0</v>
      </c>
      <c r="U190" s="47">
        <f t="shared" si="77"/>
        <v>0</v>
      </c>
      <c r="V190" s="48">
        <f t="shared" si="78"/>
        <v>0</v>
      </c>
      <c r="W190" s="49">
        <f t="shared" si="79"/>
        <v>0</v>
      </c>
      <c r="X190" s="44">
        <f t="shared" si="80"/>
        <v>0</v>
      </c>
      <c r="Y190" s="44">
        <f t="shared" si="81"/>
        <v>0</v>
      </c>
      <c r="Z190" s="44">
        <f t="shared" si="82"/>
        <v>0</v>
      </c>
      <c r="AA190" s="50">
        <f t="shared" si="83"/>
        <v>0</v>
      </c>
      <c r="AB190" s="51">
        <f t="shared" si="84"/>
        <v>0</v>
      </c>
      <c r="AC190" s="44">
        <f t="shared" si="85"/>
        <v>0</v>
      </c>
      <c r="AD190" s="44">
        <f t="shared" si="86"/>
        <v>0</v>
      </c>
      <c r="AE190" s="44">
        <f t="shared" si="87"/>
        <v>0</v>
      </c>
      <c r="AF190" s="52" t="e">
        <f>HLOOKUP(I190,ElecAvoidedCostsWOCC!$A$5:$Q$50,G190+1,FALSE)</f>
        <v>#N/A</v>
      </c>
      <c r="AG190" s="44" t="e">
        <f t="shared" si="88"/>
        <v>#N/A</v>
      </c>
      <c r="AH190" s="52" t="e">
        <f>HLOOKUP(I190,ElecAvoidedCostsWOCC!$A$5:$Q$50,T190+1,FALSE)</f>
        <v>#N/A</v>
      </c>
      <c r="AI190" s="44" t="e">
        <f t="shared" si="89"/>
        <v>#N/A</v>
      </c>
      <c r="AJ190" s="44" t="e">
        <f t="shared" si="90"/>
        <v>#N/A</v>
      </c>
      <c r="AK190" s="44" t="e">
        <f>HLOOKUP(I190,ElecAvoidedCostsWOCC!$A$5:$Q$50,G190+1,FALSE)*J190*L190</f>
        <v>#N/A</v>
      </c>
      <c r="AL190" s="44" t="e">
        <f t="shared" si="91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92"/>
        <v>0</v>
      </c>
      <c r="AO190" s="47">
        <f t="shared" si="93"/>
        <v>0</v>
      </c>
      <c r="AP190" s="47" t="e">
        <f t="shared" si="94"/>
        <v>#DIV/0!</v>
      </c>
    </row>
    <row r="191" spans="2:42" x14ac:dyDescent="0.35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76"/>
        <v>0</v>
      </c>
      <c r="U191" s="47">
        <f t="shared" si="77"/>
        <v>0</v>
      </c>
      <c r="V191" s="48">
        <f t="shared" si="78"/>
        <v>0</v>
      </c>
      <c r="W191" s="49">
        <f t="shared" si="79"/>
        <v>0</v>
      </c>
      <c r="X191" s="44">
        <f t="shared" si="80"/>
        <v>0</v>
      </c>
      <c r="Y191" s="44">
        <f t="shared" si="81"/>
        <v>0</v>
      </c>
      <c r="Z191" s="44">
        <f t="shared" si="82"/>
        <v>0</v>
      </c>
      <c r="AA191" s="50">
        <f t="shared" si="83"/>
        <v>0</v>
      </c>
      <c r="AB191" s="51">
        <f t="shared" si="84"/>
        <v>0</v>
      </c>
      <c r="AC191" s="44">
        <f t="shared" si="85"/>
        <v>0</v>
      </c>
      <c r="AD191" s="44">
        <f t="shared" si="86"/>
        <v>0</v>
      </c>
      <c r="AE191" s="44">
        <f t="shared" si="87"/>
        <v>0</v>
      </c>
      <c r="AF191" s="52" t="e">
        <f>HLOOKUP(I191,ElecAvoidedCostsWOCC!$A$5:$Q$50,G191+1,FALSE)</f>
        <v>#N/A</v>
      </c>
      <c r="AG191" s="44" t="e">
        <f t="shared" si="88"/>
        <v>#N/A</v>
      </c>
      <c r="AH191" s="52" t="e">
        <f>HLOOKUP(I191,ElecAvoidedCostsWOCC!$A$5:$Q$50,T191+1,FALSE)</f>
        <v>#N/A</v>
      </c>
      <c r="AI191" s="44" t="e">
        <f t="shared" si="89"/>
        <v>#N/A</v>
      </c>
      <c r="AJ191" s="44" t="e">
        <f t="shared" si="90"/>
        <v>#N/A</v>
      </c>
      <c r="AK191" s="44" t="e">
        <f>HLOOKUP(I191,ElecAvoidedCostsWOCC!$A$5:$Q$50,G191+1,FALSE)*J191*L191</f>
        <v>#N/A</v>
      </c>
      <c r="AL191" s="44" t="e">
        <f t="shared" si="91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92"/>
        <v>0</v>
      </c>
      <c r="AO191" s="47">
        <f t="shared" si="93"/>
        <v>0</v>
      </c>
      <c r="AP191" s="47" t="e">
        <f t="shared" si="94"/>
        <v>#DIV/0!</v>
      </c>
    </row>
    <row r="192" spans="2:42" x14ac:dyDescent="0.35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76"/>
        <v>0</v>
      </c>
      <c r="U192" s="47">
        <f t="shared" si="77"/>
        <v>0</v>
      </c>
      <c r="V192" s="48">
        <f t="shared" si="78"/>
        <v>0</v>
      </c>
      <c r="W192" s="49">
        <f t="shared" si="79"/>
        <v>0</v>
      </c>
      <c r="X192" s="44">
        <f t="shared" si="80"/>
        <v>0</v>
      </c>
      <c r="Y192" s="44">
        <f t="shared" si="81"/>
        <v>0</v>
      </c>
      <c r="Z192" s="44">
        <f t="shared" si="82"/>
        <v>0</v>
      </c>
      <c r="AA192" s="50">
        <f t="shared" si="83"/>
        <v>0</v>
      </c>
      <c r="AB192" s="51">
        <f t="shared" si="84"/>
        <v>0</v>
      </c>
      <c r="AC192" s="44">
        <f t="shared" si="85"/>
        <v>0</v>
      </c>
      <c r="AD192" s="44">
        <f t="shared" si="86"/>
        <v>0</v>
      </c>
      <c r="AE192" s="44">
        <f t="shared" si="87"/>
        <v>0</v>
      </c>
      <c r="AF192" s="52" t="e">
        <f>HLOOKUP(I192,ElecAvoidedCostsWOCC!$A$5:$Q$50,G192+1,FALSE)</f>
        <v>#N/A</v>
      </c>
      <c r="AG192" s="44" t="e">
        <f t="shared" si="88"/>
        <v>#N/A</v>
      </c>
      <c r="AH192" s="52" t="e">
        <f>HLOOKUP(I192,ElecAvoidedCostsWOCC!$A$5:$Q$50,T192+1,FALSE)</f>
        <v>#N/A</v>
      </c>
      <c r="AI192" s="44" t="e">
        <f t="shared" si="89"/>
        <v>#N/A</v>
      </c>
      <c r="AJ192" s="44" t="e">
        <f t="shared" si="90"/>
        <v>#N/A</v>
      </c>
      <c r="AK192" s="44" t="e">
        <f>HLOOKUP(I192,ElecAvoidedCostsWOCC!$A$5:$Q$50,G192+1,FALSE)*J192*L192</f>
        <v>#N/A</v>
      </c>
      <c r="AL192" s="44" t="e">
        <f t="shared" si="91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92"/>
        <v>0</v>
      </c>
      <c r="AO192" s="47">
        <f t="shared" si="93"/>
        <v>0</v>
      </c>
      <c r="AP192" s="47" t="e">
        <f t="shared" si="94"/>
        <v>#DIV/0!</v>
      </c>
    </row>
    <row r="193" spans="2:42" x14ac:dyDescent="0.35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76"/>
        <v>0</v>
      </c>
      <c r="U193" s="47">
        <f t="shared" si="77"/>
        <v>0</v>
      </c>
      <c r="V193" s="48">
        <f t="shared" si="78"/>
        <v>0</v>
      </c>
      <c r="W193" s="49">
        <f t="shared" si="79"/>
        <v>0</v>
      </c>
      <c r="X193" s="44">
        <f t="shared" si="80"/>
        <v>0</v>
      </c>
      <c r="Y193" s="44">
        <f t="shared" si="81"/>
        <v>0</v>
      </c>
      <c r="Z193" s="44">
        <f t="shared" si="82"/>
        <v>0</v>
      </c>
      <c r="AA193" s="50">
        <f t="shared" si="83"/>
        <v>0</v>
      </c>
      <c r="AB193" s="51">
        <f t="shared" si="84"/>
        <v>0</v>
      </c>
      <c r="AC193" s="44">
        <f t="shared" si="85"/>
        <v>0</v>
      </c>
      <c r="AD193" s="44">
        <f t="shared" si="86"/>
        <v>0</v>
      </c>
      <c r="AE193" s="44">
        <f t="shared" si="87"/>
        <v>0</v>
      </c>
      <c r="AF193" s="52" t="e">
        <f>HLOOKUP(I193,ElecAvoidedCostsWOCC!$A$5:$Q$50,G193+1,FALSE)</f>
        <v>#N/A</v>
      </c>
      <c r="AG193" s="44" t="e">
        <f t="shared" si="88"/>
        <v>#N/A</v>
      </c>
      <c r="AH193" s="52" t="e">
        <f>HLOOKUP(I193,ElecAvoidedCostsWOCC!$A$5:$Q$50,T193+1,FALSE)</f>
        <v>#N/A</v>
      </c>
      <c r="AI193" s="44" t="e">
        <f t="shared" si="89"/>
        <v>#N/A</v>
      </c>
      <c r="AJ193" s="44" t="e">
        <f t="shared" si="90"/>
        <v>#N/A</v>
      </c>
      <c r="AK193" s="44" t="e">
        <f>HLOOKUP(I193,ElecAvoidedCostsWOCC!$A$5:$Q$50,G193+1,FALSE)*J193*L193</f>
        <v>#N/A</v>
      </c>
      <c r="AL193" s="44" t="e">
        <f t="shared" si="91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92"/>
        <v>0</v>
      </c>
      <c r="AO193" s="47">
        <f t="shared" si="93"/>
        <v>0</v>
      </c>
      <c r="AP193" s="47" t="e">
        <f t="shared" si="94"/>
        <v>#DIV/0!</v>
      </c>
    </row>
    <row r="194" spans="2:42" x14ac:dyDescent="0.35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76"/>
        <v>0</v>
      </c>
      <c r="U194" s="47">
        <f t="shared" si="77"/>
        <v>0</v>
      </c>
      <c r="V194" s="48">
        <f t="shared" si="78"/>
        <v>0</v>
      </c>
      <c r="W194" s="49">
        <f t="shared" si="79"/>
        <v>0</v>
      </c>
      <c r="X194" s="44">
        <f t="shared" si="80"/>
        <v>0</v>
      </c>
      <c r="Y194" s="44">
        <f t="shared" si="81"/>
        <v>0</v>
      </c>
      <c r="Z194" s="44">
        <f t="shared" si="82"/>
        <v>0</v>
      </c>
      <c r="AA194" s="50">
        <f t="shared" si="83"/>
        <v>0</v>
      </c>
      <c r="AB194" s="51">
        <f t="shared" si="84"/>
        <v>0</v>
      </c>
      <c r="AC194" s="44">
        <f t="shared" si="85"/>
        <v>0</v>
      </c>
      <c r="AD194" s="44">
        <f t="shared" si="86"/>
        <v>0</v>
      </c>
      <c r="AE194" s="44">
        <f t="shared" si="87"/>
        <v>0</v>
      </c>
      <c r="AF194" s="52" t="e">
        <f>HLOOKUP(I194,ElecAvoidedCostsWOCC!$A$5:$Q$50,G194+1,FALSE)</f>
        <v>#N/A</v>
      </c>
      <c r="AG194" s="44" t="e">
        <f t="shared" si="88"/>
        <v>#N/A</v>
      </c>
      <c r="AH194" s="52" t="e">
        <f>HLOOKUP(I194,ElecAvoidedCostsWOCC!$A$5:$Q$50,T194+1,FALSE)</f>
        <v>#N/A</v>
      </c>
      <c r="AI194" s="44" t="e">
        <f t="shared" si="89"/>
        <v>#N/A</v>
      </c>
      <c r="AJ194" s="44" t="e">
        <f t="shared" si="90"/>
        <v>#N/A</v>
      </c>
      <c r="AK194" s="44" t="e">
        <f>HLOOKUP(I194,ElecAvoidedCostsWOCC!$A$5:$Q$50,G194+1,FALSE)*J194*L194</f>
        <v>#N/A</v>
      </c>
      <c r="AL194" s="44" t="e">
        <f t="shared" si="91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92"/>
        <v>0</v>
      </c>
      <c r="AO194" s="47">
        <f t="shared" si="93"/>
        <v>0</v>
      </c>
      <c r="AP194" s="47" t="e">
        <f t="shared" si="94"/>
        <v>#DIV/0!</v>
      </c>
    </row>
  </sheetData>
  <autoFilter ref="B4:AP194"/>
  <conditionalFormatting sqref="R5:S194">
    <cfRule type="expression" dxfId="334" priority="1">
      <formula>"istext($AB17)"</formula>
    </cfRule>
  </conditionalFormatting>
  <conditionalFormatting sqref="J5:L194">
    <cfRule type="expression" dxfId="333" priority="4">
      <formula>ISTEXT(J5)</formula>
    </cfRule>
    <cfRule type="notContainsBlanks" dxfId="332" priority="5">
      <formula>LEN(TRIM(J5))&gt;0</formula>
    </cfRule>
  </conditionalFormatting>
  <conditionalFormatting sqref="M5:N194 R5:S194">
    <cfRule type="expression" dxfId="331" priority="2">
      <formula>ISTEXT(M5)</formula>
    </cfRule>
  </conditionalFormatting>
  <conditionalFormatting sqref="M5:N194 R5:S194">
    <cfRule type="notContainsBlanks" dxfId="33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18230700</v>
      </c>
      <c r="D2" s="20" t="s">
        <v>112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18230700</v>
      </c>
      <c r="D5" s="61" t="s">
        <v>112</v>
      </c>
      <c r="E5" s="38" t="s">
        <v>708</v>
      </c>
      <c r="F5" s="39" t="s">
        <v>709</v>
      </c>
      <c r="G5" s="39">
        <v>10</v>
      </c>
      <c r="H5" s="39"/>
      <c r="I5" s="40" t="s">
        <v>270</v>
      </c>
      <c r="J5" s="41">
        <v>18</v>
      </c>
      <c r="K5" s="41">
        <v>0.4</v>
      </c>
      <c r="L5" s="41"/>
      <c r="M5" s="42">
        <v>1.5</v>
      </c>
      <c r="N5" s="42">
        <v>5.4</v>
      </c>
      <c r="O5" s="43">
        <v>7.2</v>
      </c>
      <c r="P5" s="44">
        <v>27</v>
      </c>
      <c r="Q5" s="44">
        <v>97.2</v>
      </c>
      <c r="R5" s="45">
        <v>3.72</v>
      </c>
      <c r="S5" s="46">
        <v>0</v>
      </c>
      <c r="T5" s="39">
        <f t="shared" ref="T5:T24" si="0">G5+H5</f>
        <v>10</v>
      </c>
      <c r="U5" s="47">
        <f t="shared" ref="U5:U24" si="1">(O5/$A$10)*T5</f>
        <v>4.2857142857142856</v>
      </c>
      <c r="V5" s="48">
        <f t="shared" ref="V5:V24" si="2">N5-M5</f>
        <v>3.9000000000000004</v>
      </c>
      <c r="W5" s="49">
        <f t="shared" ref="W5:W24" si="3">(O5/A$10)</f>
        <v>0.42857142857142855</v>
      </c>
      <c r="X5" s="44">
        <f t="shared" ref="X5:X24" si="4">W5*A$8</f>
        <v>-6616.7314285714274</v>
      </c>
      <c r="Y5" s="44">
        <f t="shared" ref="Y5:Y24" si="5">Q5-P5</f>
        <v>70.2</v>
      </c>
      <c r="Z5" s="44">
        <f t="shared" ref="Z5:Z24" si="6">X5+(A$6*W5)</f>
        <v>441.53142857142848</v>
      </c>
      <c r="AA5" s="50">
        <f t="shared" ref="AA5:AA24" si="7">Q5+X5</f>
        <v>-6519.5314285714276</v>
      </c>
      <c r="AB5" s="51">
        <f t="shared" ref="AB5:AB24" si="8">Z5/(1+GasDiscountRate)^1</f>
        <v>413.41894060995173</v>
      </c>
      <c r="AC5" s="44">
        <f t="shared" ref="AC5:AC24" si="9">AA5/(1+GasDiscountRate)^1</f>
        <v>-6104.4301765650071</v>
      </c>
      <c r="AD5" s="44">
        <f t="shared" ref="AD5:AD24" si="10">-PV(GasDiscountRate,T5,R5)*J5</f>
        <v>474.67789845191328</v>
      </c>
      <c r="AE5" s="44">
        <v>0</v>
      </c>
      <c r="AF5" s="52">
        <f>HLOOKUP(I5,GasAvoidedCostsWOCC!$A$5:$G$50,G5+1,FALSE)</f>
        <v>7.1529424306693103</v>
      </c>
      <c r="AG5" s="44">
        <f t="shared" ref="AG5:AG24" si="11">AF5*J5*K5</f>
        <v>51.501185500819034</v>
      </c>
      <c r="AH5" s="52">
        <f>HLOOKUP(I5,GasAvoidedCostsWOCC!$A$5:$Q$50,T5+1,FALSE)</f>
        <v>7.1529424306693103</v>
      </c>
      <c r="AI5" s="44">
        <f t="shared" ref="AI5:AI24" si="12">AH5*J5*L5</f>
        <v>0</v>
      </c>
      <c r="AJ5" s="44">
        <f>AG5+AI5</f>
        <v>51.501185500819034</v>
      </c>
      <c r="AK5" s="44">
        <f>HLOOKUP(I5,GasAvoidedCostsWOCC!$A$5:$Q$50,G5+1,FALSE)*J5*L5</f>
        <v>0</v>
      </c>
      <c r="AL5" s="44">
        <f>AG5+AI5-AK5</f>
        <v>51.501185500819034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51.501185500819041</v>
      </c>
      <c r="AN5" s="48">
        <f>AM5*1.1+AD5+AE5</f>
        <v>531.32920250281427</v>
      </c>
      <c r="AO5" s="47">
        <f>IFERROR(AM5/AB5,0)</f>
        <v>0.12457384130691983</v>
      </c>
      <c r="AP5" s="47">
        <f>AN5/AC5</f>
        <v>-8.7039934463104277E-2</v>
      </c>
    </row>
    <row r="6" spans="1:42" ht="13.5" customHeight="1" x14ac:dyDescent="0.35">
      <c r="A6" s="53">
        <f>SUMIF('Program Costs'!D:D,C2,'Program Costs'!L:L)</f>
        <v>16469.28</v>
      </c>
      <c r="B6" s="97" t="s">
        <v>33</v>
      </c>
      <c r="C6" s="98">
        <v>18230700</v>
      </c>
      <c r="D6" s="61" t="s">
        <v>112</v>
      </c>
      <c r="E6" s="38" t="s">
        <v>712</v>
      </c>
      <c r="F6" s="39" t="s">
        <v>713</v>
      </c>
      <c r="G6" s="39">
        <v>10</v>
      </c>
      <c r="H6" s="39"/>
      <c r="I6" s="40" t="s">
        <v>270</v>
      </c>
      <c r="J6" s="41">
        <v>6</v>
      </c>
      <c r="K6" s="41">
        <v>1.6</v>
      </c>
      <c r="L6" s="41"/>
      <c r="M6" s="42">
        <v>5</v>
      </c>
      <c r="N6" s="42">
        <v>17.399999999999999</v>
      </c>
      <c r="O6" s="43">
        <v>9.6</v>
      </c>
      <c r="P6" s="44">
        <v>30</v>
      </c>
      <c r="Q6" s="44">
        <v>104.4</v>
      </c>
      <c r="R6" s="45">
        <v>3.72</v>
      </c>
      <c r="S6" s="46">
        <v>0</v>
      </c>
      <c r="T6" s="39">
        <f t="shared" si="0"/>
        <v>10</v>
      </c>
      <c r="U6" s="47">
        <f t="shared" si="1"/>
        <v>5.7142857142857135</v>
      </c>
      <c r="V6" s="48">
        <f t="shared" si="2"/>
        <v>12.399999999999999</v>
      </c>
      <c r="W6" s="49">
        <f t="shared" si="3"/>
        <v>0.5714285714285714</v>
      </c>
      <c r="X6" s="44">
        <f t="shared" si="4"/>
        <v>-8822.3085714285698</v>
      </c>
      <c r="Y6" s="44">
        <f t="shared" si="5"/>
        <v>74.400000000000006</v>
      </c>
      <c r="Z6" s="44">
        <f t="shared" si="6"/>
        <v>588.7085714285713</v>
      </c>
      <c r="AA6" s="50">
        <f t="shared" si="7"/>
        <v>-8717.9085714285702</v>
      </c>
      <c r="AB6" s="51">
        <f t="shared" si="8"/>
        <v>551.22525414660231</v>
      </c>
      <c r="AC6" s="44">
        <f t="shared" si="9"/>
        <v>-8162.8357410379867</v>
      </c>
      <c r="AD6" s="44">
        <f t="shared" si="10"/>
        <v>158.22596615063776</v>
      </c>
      <c r="AE6" s="44">
        <v>0</v>
      </c>
      <c r="AF6" s="52">
        <f>HLOOKUP(I6,GasAvoidedCostsWOCC!$A$5:$G$50,G6+1,FALSE)</f>
        <v>7.1529424306693103</v>
      </c>
      <c r="AG6" s="44">
        <f t="shared" si="11"/>
        <v>68.668247334425388</v>
      </c>
      <c r="AH6" s="52">
        <f>HLOOKUP(I6,GasAvoidedCostsWOCC!$A$5:$Q$50,T6+1,FALSE)</f>
        <v>7.1529424306693103</v>
      </c>
      <c r="AI6" s="44">
        <f t="shared" si="12"/>
        <v>0</v>
      </c>
      <c r="AJ6" s="44">
        <f t="shared" ref="AJ6:AJ24" si="13">AG6+AI6</f>
        <v>68.668247334425388</v>
      </c>
      <c r="AK6" s="44">
        <f>HLOOKUP(I6,GasAvoidedCostsWOCC!$A$5:$Q$50,G6+1,FALSE)*J6*L6</f>
        <v>0</v>
      </c>
      <c r="AL6" s="44">
        <f t="shared" ref="AL6:AL24" si="14">AG6+AI6-AK6</f>
        <v>68.668247334425388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68.668247334425388</v>
      </c>
      <c r="AN6" s="48">
        <f t="shared" ref="AN6:AN24" si="15">AM6*1.1+AD6+AE6</f>
        <v>233.76103821850569</v>
      </c>
      <c r="AO6" s="47">
        <f t="shared" ref="AO6:AO24" si="16">IFERROR(AM6/AB6,0)</f>
        <v>0.12457384130691983</v>
      </c>
      <c r="AP6" s="47">
        <f t="shared" ref="AP6:AP24" si="17">AN6/AC6</f>
        <v>-2.8637234122364026E-2</v>
      </c>
    </row>
    <row r="7" spans="1:42" ht="13.5" customHeight="1" x14ac:dyDescent="0.35">
      <c r="A7" s="36" t="s">
        <v>240</v>
      </c>
      <c r="B7" s="97" t="s">
        <v>33</v>
      </c>
      <c r="C7" s="98">
        <v>18230700</v>
      </c>
      <c r="D7" s="61" t="s">
        <v>112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-15439.039999999999</v>
      </c>
      <c r="B8" s="97" t="s">
        <v>33</v>
      </c>
      <c r="C8" s="98">
        <v>18230700</v>
      </c>
      <c r="D8" s="61" t="s">
        <v>112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97" t="s">
        <v>33</v>
      </c>
      <c r="C9" s="98">
        <v>18230700</v>
      </c>
      <c r="D9" s="61" t="s">
        <v>112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16.8</v>
      </c>
      <c r="B10" s="97" t="s">
        <v>33</v>
      </c>
      <c r="C10" s="98">
        <v>18230700</v>
      </c>
      <c r="D10" s="61" t="s">
        <v>112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97" t="s">
        <v>33</v>
      </c>
      <c r="C11" s="98">
        <v>18230700</v>
      </c>
      <c r="D11" s="61" t="s">
        <v>112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57</v>
      </c>
      <c r="B12" s="97" t="s">
        <v>33</v>
      </c>
      <c r="C12" s="98">
        <v>18230700</v>
      </c>
      <c r="D12" s="61" t="s">
        <v>112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97" t="s">
        <v>33</v>
      </c>
      <c r="C13" s="98">
        <v>18230700</v>
      </c>
      <c r="D13" s="61" t="s">
        <v>112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144.60000000000002</v>
      </c>
      <c r="B14" s="97" t="s">
        <v>33</v>
      </c>
      <c r="C14" s="98">
        <v>18230700</v>
      </c>
      <c r="D14" s="61" t="s">
        <v>112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97" t="s">
        <v>33</v>
      </c>
      <c r="C15" s="98">
        <v>18230700</v>
      </c>
      <c r="D15" s="61" t="s">
        <v>112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10</v>
      </c>
      <c r="B16" s="97" t="s">
        <v>33</v>
      </c>
      <c r="C16" s="98">
        <v>18230700</v>
      </c>
      <c r="D16" s="61" t="s">
        <v>112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97" t="s">
        <v>33</v>
      </c>
      <c r="C17" s="98">
        <v>18230700</v>
      </c>
      <c r="D17" s="61" t="s">
        <v>112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1030.2399999999998</v>
      </c>
      <c r="B18" s="97" t="s">
        <v>33</v>
      </c>
      <c r="C18" s="98">
        <v>18230700</v>
      </c>
      <c r="D18" s="61" t="s">
        <v>112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-15237.439999999999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0.12457384130691984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-5.3625568145985805E-2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24 R5:S24">
    <cfRule type="expression" dxfId="107" priority="2">
      <formula>ISTEXT(M5)</formula>
    </cfRule>
  </conditionalFormatting>
  <conditionalFormatting sqref="M5:N24 R5:S24">
    <cfRule type="notContainsBlanks" dxfId="106" priority="3">
      <formula>LEN(TRIM(M5))&gt;0</formula>
    </cfRule>
  </conditionalFormatting>
  <conditionalFormatting sqref="R5:S24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K33" sqref="K3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18230637</v>
      </c>
      <c r="D2" s="20" t="s">
        <v>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18230637</v>
      </c>
      <c r="D5" s="61" t="s">
        <v>78</v>
      </c>
      <c r="E5" s="38" t="s">
        <v>722</v>
      </c>
      <c r="F5" s="39" t="s">
        <v>723</v>
      </c>
      <c r="G5" s="39">
        <v>30</v>
      </c>
      <c r="H5" s="39"/>
      <c r="I5" s="40" t="s">
        <v>274</v>
      </c>
      <c r="J5" s="41">
        <v>243.47</v>
      </c>
      <c r="K5" s="41">
        <v>0.64</v>
      </c>
      <c r="L5" s="41"/>
      <c r="M5" s="42">
        <v>50</v>
      </c>
      <c r="N5" s="42">
        <v>20.5</v>
      </c>
      <c r="O5" s="43">
        <v>155.82</v>
      </c>
      <c r="P5" s="44">
        <v>700</v>
      </c>
      <c r="Q5" s="44">
        <v>4991.1400000000003</v>
      </c>
      <c r="R5" s="45">
        <v>0.24</v>
      </c>
      <c r="S5" s="46"/>
      <c r="T5" s="39">
        <f t="shared" ref="T5:T24" si="0">G5+H5</f>
        <v>30</v>
      </c>
      <c r="U5" s="47">
        <f t="shared" ref="U5:U24" si="1">(O5/$A$10)*T5</f>
        <v>1.7638431178026926E-2</v>
      </c>
      <c r="V5" s="48">
        <f t="shared" ref="V5:V24" si="2">N5-M5</f>
        <v>-29.5</v>
      </c>
      <c r="W5" s="49">
        <f t="shared" ref="W5:W24" si="3">(O5/A$10)</f>
        <v>5.879477059342309E-4</v>
      </c>
      <c r="X5" s="44">
        <f t="shared" ref="X5:X24" si="4">W5*A$8</f>
        <v>105.75998042815601</v>
      </c>
      <c r="Y5" s="44">
        <f t="shared" ref="Y5:Y24" si="5">Q5-P5</f>
        <v>4291.1400000000003</v>
      </c>
      <c r="Z5" s="44">
        <f t="shared" ref="Z5:Z24" si="6">X5+(A$6*W5)</f>
        <v>1533.5965580336881</v>
      </c>
      <c r="AA5" s="50">
        <f t="shared" ref="AA5:AA24" si="7">Q5+X5</f>
        <v>5096.8999804281566</v>
      </c>
      <c r="AB5" s="51">
        <f t="shared" ref="AB5:AB24" si="8">Z5/(1+GasDiscountRate)^1</f>
        <v>1435.9518333648764</v>
      </c>
      <c r="AC5" s="44">
        <f t="shared" ref="AC5:AC24" si="9">AA5/(1+GasDiscountRate)^1</f>
        <v>4772.3782588278618</v>
      </c>
      <c r="AD5" s="44">
        <f t="shared" ref="AD5:AD24" si="10">-PV(GasDiscountRate,T5,R5)*J5</f>
        <v>739.90426653591294</v>
      </c>
      <c r="AE5" s="44">
        <v>0</v>
      </c>
      <c r="AF5" s="52">
        <f>HLOOKUP(I5,GasAvoidedCostsWOCC!$A$5:$G$50,G5+1,FALSE)</f>
        <v>18.146512576376317</v>
      </c>
      <c r="AG5" s="44">
        <f t="shared" ref="AG5:AG24" si="11">AF5*J5*K5</f>
        <v>2827.6041068610189</v>
      </c>
      <c r="AH5" s="52">
        <f>HLOOKUP(I5,GasAvoidedCostsWOCC!$A$5:$Q$50,T5+1,FALSE)</f>
        <v>18.146512576376317</v>
      </c>
      <c r="AI5" s="44">
        <f t="shared" ref="AI5:AI24" si="12">AH5*J5*L5</f>
        <v>0</v>
      </c>
      <c r="AJ5" s="44">
        <f>AG5+AI5</f>
        <v>2827.6041068610189</v>
      </c>
      <c r="AK5" s="44">
        <f>HLOOKUP(I5,GasAvoidedCostsWOCC!$A$5:$Q$50,G5+1,FALSE)*J5*L5</f>
        <v>0</v>
      </c>
      <c r="AL5" s="44">
        <f>AG5+AI5-AK5</f>
        <v>2827.6041068610189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2827.6041068610189</v>
      </c>
      <c r="AN5" s="48">
        <f>AM5*1.1+AD5+AE5</f>
        <v>3850.268784083034</v>
      </c>
      <c r="AO5" s="47">
        <f>IFERROR(AM5/AB5,0)</f>
        <v>1.9691496895373388</v>
      </c>
      <c r="AP5" s="47">
        <f>AN5/AC5</f>
        <v>0.80678198065312068</v>
      </c>
    </row>
    <row r="6" spans="1:42" ht="13.5" customHeight="1" x14ac:dyDescent="0.35">
      <c r="A6" s="53">
        <f>SUMIF('Program Costs'!D:D,C2,'Program Costs'!L:L)</f>
        <v>2428509.48</v>
      </c>
      <c r="B6" s="97" t="s">
        <v>33</v>
      </c>
      <c r="C6" s="98">
        <v>18230637</v>
      </c>
      <c r="D6" s="61" t="s">
        <v>78</v>
      </c>
      <c r="E6" s="38" t="s">
        <v>724</v>
      </c>
      <c r="F6" s="39" t="s">
        <v>723</v>
      </c>
      <c r="G6" s="39">
        <v>45</v>
      </c>
      <c r="H6" s="39"/>
      <c r="I6" s="40" t="s">
        <v>274</v>
      </c>
      <c r="J6" s="41">
        <v>36.75</v>
      </c>
      <c r="K6" s="41">
        <v>0.64</v>
      </c>
      <c r="L6" s="41"/>
      <c r="M6" s="42">
        <v>50</v>
      </c>
      <c r="N6" s="42">
        <v>20.5</v>
      </c>
      <c r="O6" s="43">
        <v>23.52</v>
      </c>
      <c r="P6" s="44">
        <v>150</v>
      </c>
      <c r="Q6" s="44">
        <v>753.38</v>
      </c>
      <c r="R6" s="45">
        <v>0</v>
      </c>
      <c r="S6" s="46"/>
      <c r="T6" s="39">
        <f t="shared" si="0"/>
        <v>45</v>
      </c>
      <c r="U6" s="47">
        <f t="shared" si="1"/>
        <v>3.9936070591759078E-3</v>
      </c>
      <c r="V6" s="48">
        <f t="shared" si="2"/>
        <v>-29.5</v>
      </c>
      <c r="W6" s="49">
        <f t="shared" si="3"/>
        <v>8.8746823537242395E-5</v>
      </c>
      <c r="X6" s="44">
        <f t="shared" si="4"/>
        <v>15.963770630665056</v>
      </c>
      <c r="Y6" s="44">
        <f t="shared" si="5"/>
        <v>603.38</v>
      </c>
      <c r="Z6" s="44">
        <f t="shared" si="6"/>
        <v>231.48627291074536</v>
      </c>
      <c r="AA6" s="50">
        <f t="shared" si="7"/>
        <v>769.34377063066506</v>
      </c>
      <c r="AB6" s="51">
        <f t="shared" si="8"/>
        <v>216.74744654564171</v>
      </c>
      <c r="AC6" s="44">
        <f t="shared" si="9"/>
        <v>720.35933579650282</v>
      </c>
      <c r="AD6" s="44">
        <f t="shared" si="10"/>
        <v>0</v>
      </c>
      <c r="AE6" s="44">
        <v>0</v>
      </c>
      <c r="AF6" s="52">
        <f>HLOOKUP(I6,GasAvoidedCostsWOCC!$A$5:$G$50,G6+1,FALSE)</f>
        <v>26.281560892700742</v>
      </c>
      <c r="AG6" s="44">
        <f t="shared" si="11"/>
        <v>618.14231219632143</v>
      </c>
      <c r="AH6" s="52">
        <f>HLOOKUP(I6,GasAvoidedCostsWOCC!$A$5:$Q$50,T6+1,FALSE)</f>
        <v>26.281560892700742</v>
      </c>
      <c r="AI6" s="44">
        <f t="shared" si="12"/>
        <v>0</v>
      </c>
      <c r="AJ6" s="44">
        <f t="shared" ref="AJ6:AJ24" si="13">AG6+AI6</f>
        <v>618.14231219632143</v>
      </c>
      <c r="AK6" s="44">
        <f>HLOOKUP(I6,GasAvoidedCostsWOCC!$A$5:$Q$50,G6+1,FALSE)*J6*L6</f>
        <v>0</v>
      </c>
      <c r="AL6" s="44">
        <f t="shared" ref="AL6:AL24" si="14">AG6+AI6-AK6</f>
        <v>618.14231219632143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618.14231219632154</v>
      </c>
      <c r="AN6" s="48">
        <f t="shared" ref="AN6:AN24" si="15">AM6*1.1+AD6+AE6</f>
        <v>679.95654341595377</v>
      </c>
      <c r="AO6" s="47">
        <f t="shared" ref="AO6:AO24" si="16">IFERROR(AM6/AB6,0)</f>
        <v>2.8519012428880259</v>
      </c>
      <c r="AP6" s="47">
        <f t="shared" ref="AP6:AP24" si="17">AN6/AC6</f>
        <v>0.94391300234087261</v>
      </c>
    </row>
    <row r="7" spans="1:42" ht="13.5" customHeight="1" x14ac:dyDescent="0.35">
      <c r="A7" s="36" t="s">
        <v>240</v>
      </c>
      <c r="B7" s="97" t="s">
        <v>33</v>
      </c>
      <c r="C7" s="98">
        <v>18230637</v>
      </c>
      <c r="D7" s="61" t="s">
        <v>78</v>
      </c>
      <c r="E7" s="38" t="s">
        <v>725</v>
      </c>
      <c r="F7" s="39" t="s">
        <v>723</v>
      </c>
      <c r="G7" s="39">
        <v>45</v>
      </c>
      <c r="H7" s="39"/>
      <c r="I7" s="40" t="s">
        <v>274</v>
      </c>
      <c r="J7" s="41">
        <v>132031.04000000001</v>
      </c>
      <c r="K7" s="41">
        <v>0.38109999999999999</v>
      </c>
      <c r="L7" s="41"/>
      <c r="M7" s="42">
        <v>50</v>
      </c>
      <c r="N7" s="42">
        <v>22.6</v>
      </c>
      <c r="O7" s="43">
        <v>50316.910000000098</v>
      </c>
      <c r="P7" s="44">
        <v>336825</v>
      </c>
      <c r="Q7" s="44">
        <v>2983901.33</v>
      </c>
      <c r="R7" s="45">
        <v>0</v>
      </c>
      <c r="S7" s="46"/>
      <c r="T7" s="39">
        <f t="shared" si="0"/>
        <v>45</v>
      </c>
      <c r="U7" s="47">
        <f t="shared" si="1"/>
        <v>8.5436210447244569</v>
      </c>
      <c r="V7" s="48">
        <f t="shared" si="2"/>
        <v>-27.4</v>
      </c>
      <c r="W7" s="49">
        <f t="shared" si="3"/>
        <v>0.18985824543832128</v>
      </c>
      <c r="X7" s="44">
        <f t="shared" si="4"/>
        <v>34151.684102203173</v>
      </c>
      <c r="Y7" s="44">
        <f t="shared" si="5"/>
        <v>2647076.33</v>
      </c>
      <c r="Z7" s="44">
        <f t="shared" si="6"/>
        <v>495224.23300533317</v>
      </c>
      <c r="AA7" s="50">
        <f t="shared" si="7"/>
        <v>3018053.0141022033</v>
      </c>
      <c r="AB7" s="51">
        <f t="shared" si="8"/>
        <v>463693.10206491867</v>
      </c>
      <c r="AC7" s="44">
        <f t="shared" si="9"/>
        <v>2825892.3353016884</v>
      </c>
      <c r="AD7" s="44">
        <f t="shared" si="10"/>
        <v>0</v>
      </c>
      <c r="AE7" s="44">
        <v>0</v>
      </c>
      <c r="AF7" s="52">
        <f>HLOOKUP(I7,GasAvoidedCostsWOCC!$A$5:$G$50,G7+1,FALSE)</f>
        <v>26.281560892700742</v>
      </c>
      <c r="AG7" s="44">
        <f t="shared" si="11"/>
        <v>1322410.0706441461</v>
      </c>
      <c r="AH7" s="52">
        <f>HLOOKUP(I7,GasAvoidedCostsWOCC!$A$5:$Q$50,T7+1,FALSE)</f>
        <v>26.281560892700742</v>
      </c>
      <c r="AI7" s="44">
        <f t="shared" si="12"/>
        <v>0</v>
      </c>
      <c r="AJ7" s="44">
        <f t="shared" si="13"/>
        <v>1322410.0706441461</v>
      </c>
      <c r="AK7" s="44">
        <f>HLOOKUP(I7,GasAvoidedCostsWOCC!$A$5:$Q$50,G7+1,FALSE)*J7*L7</f>
        <v>0</v>
      </c>
      <c r="AL7" s="44">
        <f t="shared" si="14"/>
        <v>1322410.0706441461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1322410.0706441463</v>
      </c>
      <c r="AN7" s="48">
        <f t="shared" si="15"/>
        <v>1454651.077708561</v>
      </c>
      <c r="AO7" s="47">
        <f t="shared" si="16"/>
        <v>2.8519080071607452</v>
      </c>
      <c r="AP7" s="47">
        <f t="shared" si="17"/>
        <v>0.51475813835393858</v>
      </c>
    </row>
    <row r="8" spans="1:42" ht="13.5" customHeight="1" x14ac:dyDescent="0.35">
      <c r="A8" s="53">
        <f>SUMIF('Program Costs'!D:D,C2,'Program Costs'!O:O)</f>
        <v>179879.91000000015</v>
      </c>
      <c r="B8" s="97" t="s">
        <v>33</v>
      </c>
      <c r="C8" s="98">
        <v>18230637</v>
      </c>
      <c r="D8" s="61" t="s">
        <v>78</v>
      </c>
      <c r="E8" s="38" t="s">
        <v>728</v>
      </c>
      <c r="F8" s="39" t="s">
        <v>729</v>
      </c>
      <c r="G8" s="39">
        <v>25</v>
      </c>
      <c r="H8" s="39"/>
      <c r="I8" s="40" t="s">
        <v>274</v>
      </c>
      <c r="J8" s="41">
        <v>2768.63</v>
      </c>
      <c r="K8" s="41">
        <v>0.76370000000000005</v>
      </c>
      <c r="L8" s="41"/>
      <c r="M8" s="42">
        <v>200</v>
      </c>
      <c r="N8" s="42">
        <v>18.53</v>
      </c>
      <c r="O8" s="43">
        <v>2114.39</v>
      </c>
      <c r="P8" s="44">
        <v>15435.13</v>
      </c>
      <c r="Q8" s="44">
        <v>51302.71</v>
      </c>
      <c r="R8" s="45">
        <v>0</v>
      </c>
      <c r="S8" s="46"/>
      <c r="T8" s="39">
        <f t="shared" si="0"/>
        <v>25</v>
      </c>
      <c r="U8" s="47">
        <f t="shared" si="1"/>
        <v>0.19945301468846718</v>
      </c>
      <c r="V8" s="48">
        <f t="shared" si="2"/>
        <v>-181.47</v>
      </c>
      <c r="W8" s="49">
        <f t="shared" si="3"/>
        <v>7.9781205875386878E-3</v>
      </c>
      <c r="X8" s="44">
        <f t="shared" si="4"/>
        <v>1435.1036132556076</v>
      </c>
      <c r="Y8" s="44">
        <f t="shared" si="5"/>
        <v>35867.58</v>
      </c>
      <c r="Z8" s="44">
        <f t="shared" si="6"/>
        <v>20810.045092676479</v>
      </c>
      <c r="AA8" s="50">
        <f t="shared" si="7"/>
        <v>52737.81361325561</v>
      </c>
      <c r="AB8" s="51">
        <f t="shared" si="8"/>
        <v>19485.060948198949</v>
      </c>
      <c r="AC8" s="44">
        <f t="shared" si="9"/>
        <v>49379.97529331049</v>
      </c>
      <c r="AD8" s="44">
        <f t="shared" si="10"/>
        <v>0</v>
      </c>
      <c r="AE8" s="44">
        <v>0</v>
      </c>
      <c r="AF8" s="52">
        <f>HLOOKUP(I8,GasAvoidedCostsWOCC!$A$5:$G$50,G8+1,FALSE)</f>
        <v>16.143326773708047</v>
      </c>
      <c r="AG8" s="44">
        <f t="shared" si="11"/>
        <v>34133.494217753716</v>
      </c>
      <c r="AH8" s="52">
        <f>HLOOKUP(I8,GasAvoidedCostsWOCC!$A$5:$Q$50,T8+1,FALSE)</f>
        <v>16.143326773708047</v>
      </c>
      <c r="AI8" s="44">
        <f t="shared" si="12"/>
        <v>0</v>
      </c>
      <c r="AJ8" s="44">
        <f t="shared" si="13"/>
        <v>34133.494217753716</v>
      </c>
      <c r="AK8" s="44">
        <f>HLOOKUP(I8,GasAvoidedCostsWOCC!$A$5:$Q$50,G8+1,FALSE)*J8*L8</f>
        <v>0</v>
      </c>
      <c r="AL8" s="44">
        <f t="shared" si="14"/>
        <v>34133.494217753716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34133.494217753716</v>
      </c>
      <c r="AN8" s="48">
        <f t="shared" si="15"/>
        <v>37546.843639529092</v>
      </c>
      <c r="AO8" s="47">
        <f t="shared" si="16"/>
        <v>1.7517776469110176</v>
      </c>
      <c r="AP8" s="47">
        <f t="shared" si="17"/>
        <v>0.76036578423755441</v>
      </c>
    </row>
    <row r="9" spans="1:42" ht="13.5" customHeight="1" x14ac:dyDescent="0.35">
      <c r="A9" s="36" t="s">
        <v>305</v>
      </c>
      <c r="B9" s="97" t="s">
        <v>33</v>
      </c>
      <c r="C9" s="98">
        <v>18230637</v>
      </c>
      <c r="D9" s="61" t="s">
        <v>78</v>
      </c>
      <c r="E9" s="38" t="s">
        <v>733</v>
      </c>
      <c r="F9" s="39" t="s">
        <v>734</v>
      </c>
      <c r="G9" s="39">
        <v>45</v>
      </c>
      <c r="H9" s="39"/>
      <c r="I9" s="40" t="s">
        <v>274</v>
      </c>
      <c r="J9" s="41">
        <v>78083</v>
      </c>
      <c r="K9" s="41">
        <v>9.2399999999999996E-2</v>
      </c>
      <c r="L9" s="41"/>
      <c r="M9" s="42">
        <v>0.5</v>
      </c>
      <c r="N9" s="42">
        <v>1.49</v>
      </c>
      <c r="O9" s="43">
        <v>7214.92</v>
      </c>
      <c r="P9" s="44">
        <v>41945.88</v>
      </c>
      <c r="Q9" s="44">
        <v>116343.67</v>
      </c>
      <c r="R9" s="45">
        <v>0</v>
      </c>
      <c r="S9" s="46"/>
      <c r="T9" s="39">
        <f t="shared" si="0"/>
        <v>45</v>
      </c>
      <c r="U9" s="47">
        <f t="shared" si="1"/>
        <v>1.2250661327971704</v>
      </c>
      <c r="V9" s="48">
        <f t="shared" si="2"/>
        <v>0.99</v>
      </c>
      <c r="W9" s="49">
        <f t="shared" si="3"/>
        <v>2.7223691839937118E-2</v>
      </c>
      <c r="X9" s="44">
        <f t="shared" si="4"/>
        <v>4896.9952380356272</v>
      </c>
      <c r="Y9" s="44">
        <f t="shared" si="5"/>
        <v>74397.790000000008</v>
      </c>
      <c r="Z9" s="44">
        <f t="shared" si="6"/>
        <v>71009.988951921565</v>
      </c>
      <c r="AA9" s="50">
        <f t="shared" si="7"/>
        <v>121240.66523803562</v>
      </c>
      <c r="AB9" s="51">
        <f t="shared" si="8"/>
        <v>66488.75370030108</v>
      </c>
      <c r="AC9" s="44">
        <f t="shared" si="9"/>
        <v>113521.22213299214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26.281560892700742</v>
      </c>
      <c r="AG9" s="44">
        <f t="shared" si="11"/>
        <v>189618.02421267107</v>
      </c>
      <c r="AH9" s="52">
        <f>HLOOKUP(I9,GasAvoidedCostsWOCC!$A$5:$Q$50,T9+1,FALSE)</f>
        <v>26.281560892700742</v>
      </c>
      <c r="AI9" s="44">
        <f t="shared" si="12"/>
        <v>0</v>
      </c>
      <c r="AJ9" s="44">
        <f t="shared" si="13"/>
        <v>189618.02421267107</v>
      </c>
      <c r="AK9" s="44">
        <f>HLOOKUP(I9,GasAvoidedCostsWOCC!$A$5:$Q$50,G9+1,FALSE)*J9*L9</f>
        <v>0</v>
      </c>
      <c r="AL9" s="44">
        <f t="shared" si="14"/>
        <v>189618.02421267107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189618.02421267107</v>
      </c>
      <c r="AN9" s="48">
        <f t="shared" si="15"/>
        <v>208579.82663393818</v>
      </c>
      <c r="AO9" s="47">
        <f t="shared" si="16"/>
        <v>2.8518811627508733</v>
      </c>
      <c r="AP9" s="47">
        <f t="shared" si="17"/>
        <v>1.8373641748640019</v>
      </c>
    </row>
    <row r="10" spans="1:42" ht="13.5" customHeight="1" x14ac:dyDescent="0.35">
      <c r="A10" s="54">
        <f>SUM(O5:O999)</f>
        <v>265023.56999999989</v>
      </c>
      <c r="B10" s="97" t="s">
        <v>33</v>
      </c>
      <c r="C10" s="98">
        <v>18230637</v>
      </c>
      <c r="D10" s="61" t="s">
        <v>78</v>
      </c>
      <c r="E10" s="38" t="s">
        <v>735</v>
      </c>
      <c r="F10" s="39" t="s">
        <v>734</v>
      </c>
      <c r="G10" s="39">
        <v>45</v>
      </c>
      <c r="H10" s="39"/>
      <c r="I10" s="40" t="s">
        <v>274</v>
      </c>
      <c r="J10" s="41">
        <v>264717</v>
      </c>
      <c r="K10" s="41">
        <v>9.2399999999999996E-2</v>
      </c>
      <c r="L10" s="41"/>
      <c r="M10" s="42">
        <v>0.5</v>
      </c>
      <c r="N10" s="42">
        <v>1.49</v>
      </c>
      <c r="O10" s="43">
        <v>24459.91</v>
      </c>
      <c r="P10" s="44">
        <v>132321.82999999999</v>
      </c>
      <c r="Q10" s="44">
        <v>394428.33</v>
      </c>
      <c r="R10" s="45">
        <v>4.3299999999999998E-2</v>
      </c>
      <c r="S10" s="46"/>
      <c r="T10" s="39">
        <f t="shared" si="0"/>
        <v>45</v>
      </c>
      <c r="U10" s="47">
        <f t="shared" si="1"/>
        <v>4.1532002229084775</v>
      </c>
      <c r="V10" s="48">
        <f t="shared" si="2"/>
        <v>0.99</v>
      </c>
      <c r="W10" s="49">
        <f t="shared" si="3"/>
        <v>9.2293338286855056E-2</v>
      </c>
      <c r="X10" s="44">
        <f t="shared" si="4"/>
        <v>16601.717384639054</v>
      </c>
      <c r="Y10" s="44">
        <f t="shared" si="5"/>
        <v>262106.50000000003</v>
      </c>
      <c r="Z10" s="44">
        <f t="shared" si="6"/>
        <v>240736.96435511351</v>
      </c>
      <c r="AA10" s="50">
        <f t="shared" si="7"/>
        <v>411030.0473846391</v>
      </c>
      <c r="AB10" s="51">
        <f t="shared" si="8"/>
        <v>225409.14265460064</v>
      </c>
      <c r="AC10" s="44">
        <f t="shared" si="9"/>
        <v>384859.59492943733</v>
      </c>
      <c r="AD10" s="44">
        <f t="shared" si="10"/>
        <v>159831.63450331721</v>
      </c>
      <c r="AE10" s="44">
        <f t="shared" si="18"/>
        <v>0</v>
      </c>
      <c r="AF10" s="52">
        <f>HLOOKUP(I10,GasAvoidedCostsWOCC!$A$5:$G$50,G10+1,FALSE)</f>
        <v>26.281560892700742</v>
      </c>
      <c r="AG10" s="44">
        <f t="shared" si="11"/>
        <v>642843.05822657491</v>
      </c>
      <c r="AH10" s="52">
        <f>HLOOKUP(I10,GasAvoidedCostsWOCC!$A$5:$Q$50,T10+1,FALSE)</f>
        <v>26.281560892700742</v>
      </c>
      <c r="AI10" s="44">
        <f t="shared" si="12"/>
        <v>0</v>
      </c>
      <c r="AJ10" s="44">
        <f t="shared" si="13"/>
        <v>642843.05822657491</v>
      </c>
      <c r="AK10" s="44">
        <f>HLOOKUP(I10,GasAvoidedCostsWOCC!$A$5:$Q$50,G10+1,FALSE)*J10*L10</f>
        <v>0</v>
      </c>
      <c r="AL10" s="44">
        <f t="shared" si="14"/>
        <v>642843.05822657491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642843.05822657491</v>
      </c>
      <c r="AN10" s="48">
        <f t="shared" si="15"/>
        <v>866958.99855254963</v>
      </c>
      <c r="AO10" s="47">
        <f t="shared" si="16"/>
        <v>2.8518943404687778</v>
      </c>
      <c r="AP10" s="47">
        <f t="shared" si="17"/>
        <v>2.2526630749884347</v>
      </c>
    </row>
    <row r="11" spans="1:42" ht="13.5" customHeight="1" x14ac:dyDescent="0.35">
      <c r="A11" s="36" t="s">
        <v>243</v>
      </c>
      <c r="B11" s="97" t="s">
        <v>33</v>
      </c>
      <c r="C11" s="98">
        <v>18230637</v>
      </c>
      <c r="D11" s="61" t="s">
        <v>78</v>
      </c>
      <c r="E11" s="38" t="s">
        <v>745</v>
      </c>
      <c r="F11" s="39" t="s">
        <v>746</v>
      </c>
      <c r="G11" s="39">
        <v>45</v>
      </c>
      <c r="H11" s="39"/>
      <c r="I11" s="40" t="s">
        <v>274</v>
      </c>
      <c r="J11" s="41">
        <v>152890.04999999999</v>
      </c>
      <c r="K11" s="41">
        <v>3.2099999999999997E-2</v>
      </c>
      <c r="L11" s="41"/>
      <c r="M11" s="42">
        <v>0.5</v>
      </c>
      <c r="N11" s="42">
        <v>1.24</v>
      </c>
      <c r="O11" s="43">
        <v>4907.8100000000004</v>
      </c>
      <c r="P11" s="44">
        <v>71847.88</v>
      </c>
      <c r="Q11" s="44">
        <v>189583.66</v>
      </c>
      <c r="R11" s="45">
        <v>0</v>
      </c>
      <c r="S11" s="46"/>
      <c r="T11" s="39">
        <f t="shared" si="0"/>
        <v>45</v>
      </c>
      <c r="U11" s="47">
        <f t="shared" si="1"/>
        <v>0.83332757912815114</v>
      </c>
      <c r="V11" s="48">
        <f t="shared" si="2"/>
        <v>0.74</v>
      </c>
      <c r="W11" s="49">
        <f t="shared" si="3"/>
        <v>1.8518390647292247E-2</v>
      </c>
      <c r="X11" s="44">
        <f t="shared" si="4"/>
        <v>3331.0864429797739</v>
      </c>
      <c r="Y11" s="44">
        <f t="shared" si="5"/>
        <v>117735.78</v>
      </c>
      <c r="Z11" s="44">
        <f t="shared" si="6"/>
        <v>48303.173684272333</v>
      </c>
      <c r="AA11" s="50">
        <f t="shared" si="7"/>
        <v>192914.74644297978</v>
      </c>
      <c r="AB11" s="51">
        <f t="shared" si="8"/>
        <v>45227.690715610799</v>
      </c>
      <c r="AC11" s="44">
        <f t="shared" si="9"/>
        <v>180631.78505896984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26.281560892700742</v>
      </c>
      <c r="AG11" s="44">
        <f t="shared" si="11"/>
        <v>128983.87200271424</v>
      </c>
      <c r="AH11" s="52">
        <f>HLOOKUP(I11,GasAvoidedCostsWOCC!$A$5:$Q$50,T11+1,FALSE)</f>
        <v>26.281560892700742</v>
      </c>
      <c r="AI11" s="44">
        <f t="shared" si="12"/>
        <v>0</v>
      </c>
      <c r="AJ11" s="44">
        <f t="shared" si="13"/>
        <v>128983.87200271424</v>
      </c>
      <c r="AK11" s="44">
        <f>HLOOKUP(I11,GasAvoidedCostsWOCC!$A$5:$Q$50,G11+1,FALSE)*J11*L11</f>
        <v>0</v>
      </c>
      <c r="AL11" s="44">
        <f t="shared" si="14"/>
        <v>128983.87200271424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128983.87200271424</v>
      </c>
      <c r="AN11" s="48">
        <f t="shared" si="15"/>
        <v>141882.25920298568</v>
      </c>
      <c r="AO11" s="47">
        <f t="shared" si="16"/>
        <v>2.8518783506714427</v>
      </c>
      <c r="AP11" s="47">
        <f t="shared" si="17"/>
        <v>0.78547781143095152</v>
      </c>
    </row>
    <row r="12" spans="1:42" ht="13.5" customHeight="1" x14ac:dyDescent="0.35">
      <c r="A12" s="55">
        <f>SUM(P5:P1000)</f>
        <v>2349763.14</v>
      </c>
      <c r="B12" s="97" t="s">
        <v>33</v>
      </c>
      <c r="C12" s="98">
        <v>18230637</v>
      </c>
      <c r="D12" s="61" t="s">
        <v>78</v>
      </c>
      <c r="E12" s="38" t="s">
        <v>747</v>
      </c>
      <c r="F12" s="39" t="s">
        <v>746</v>
      </c>
      <c r="G12" s="39">
        <v>45</v>
      </c>
      <c r="H12" s="39"/>
      <c r="I12" s="40" t="s">
        <v>274</v>
      </c>
      <c r="J12" s="41">
        <v>294537</v>
      </c>
      <c r="K12" s="41">
        <v>3.2099999999999997E-2</v>
      </c>
      <c r="L12" s="41"/>
      <c r="M12" s="42">
        <v>0.5</v>
      </c>
      <c r="N12" s="42">
        <v>1.24</v>
      </c>
      <c r="O12" s="43">
        <v>9454.7400000000107</v>
      </c>
      <c r="P12" s="44">
        <v>147268.5</v>
      </c>
      <c r="Q12" s="44">
        <v>365225.88</v>
      </c>
      <c r="R12" s="45">
        <v>4.8099999999999997E-2</v>
      </c>
      <c r="S12" s="46"/>
      <c r="T12" s="39">
        <f t="shared" si="0"/>
        <v>45</v>
      </c>
      <c r="U12" s="47">
        <f t="shared" si="1"/>
        <v>1.6053790989231662</v>
      </c>
      <c r="V12" s="48">
        <f t="shared" si="2"/>
        <v>0.74</v>
      </c>
      <c r="W12" s="49">
        <f t="shared" si="3"/>
        <v>3.5675091087181469E-2</v>
      </c>
      <c r="X12" s="44">
        <f t="shared" si="4"/>
        <v>6417.2321740040106</v>
      </c>
      <c r="Y12" s="44">
        <f t="shared" si="5"/>
        <v>217957.38</v>
      </c>
      <c r="Z12" s="44">
        <f t="shared" si="6"/>
        <v>93054.529079087704</v>
      </c>
      <c r="AA12" s="50">
        <f t="shared" si="7"/>
        <v>371643.11217400403</v>
      </c>
      <c r="AB12" s="51">
        <f t="shared" si="8"/>
        <v>87129.708875550277</v>
      </c>
      <c r="AC12" s="44">
        <f t="shared" si="9"/>
        <v>347980.44211049064</v>
      </c>
      <c r="AD12" s="44">
        <f t="shared" si="10"/>
        <v>197550.41547528285</v>
      </c>
      <c r="AE12" s="44">
        <f t="shared" si="18"/>
        <v>0</v>
      </c>
      <c r="AF12" s="52">
        <f>HLOOKUP(I12,GasAvoidedCostsWOCC!$A$5:$G$50,G12+1,FALSE)</f>
        <v>26.281560892700742</v>
      </c>
      <c r="AG12" s="44">
        <f t="shared" si="11"/>
        <v>248482.63643097406</v>
      </c>
      <c r="AH12" s="52">
        <f>HLOOKUP(I12,GasAvoidedCostsWOCC!$A$5:$Q$50,T12+1,FALSE)</f>
        <v>26.281560892700742</v>
      </c>
      <c r="AI12" s="44">
        <f t="shared" si="12"/>
        <v>0</v>
      </c>
      <c r="AJ12" s="44">
        <f t="shared" si="13"/>
        <v>248482.63643097406</v>
      </c>
      <c r="AK12" s="44">
        <f>HLOOKUP(I12,GasAvoidedCostsWOCC!$A$5:$Q$50,G12+1,FALSE)*J12*L12</f>
        <v>0</v>
      </c>
      <c r="AL12" s="44">
        <f t="shared" si="14"/>
        <v>248482.63643097406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248482.63643097409</v>
      </c>
      <c r="AN12" s="48">
        <f t="shared" si="15"/>
        <v>470881.31554935442</v>
      </c>
      <c r="AO12" s="47">
        <f t="shared" si="16"/>
        <v>2.851870385403084</v>
      </c>
      <c r="AP12" s="47">
        <f t="shared" si="17"/>
        <v>1.353183278616102</v>
      </c>
    </row>
    <row r="13" spans="1:42" ht="13.5" customHeight="1" x14ac:dyDescent="0.35">
      <c r="A13" s="56" t="s">
        <v>246</v>
      </c>
      <c r="B13" s="97" t="s">
        <v>33</v>
      </c>
      <c r="C13" s="98">
        <v>18230637</v>
      </c>
      <c r="D13" s="61" t="s">
        <v>78</v>
      </c>
      <c r="E13" s="38" t="s">
        <v>754</v>
      </c>
      <c r="F13" s="39" t="s">
        <v>755</v>
      </c>
      <c r="G13" s="39">
        <v>5</v>
      </c>
      <c r="H13" s="39"/>
      <c r="I13" s="40" t="s">
        <v>274</v>
      </c>
      <c r="J13" s="41">
        <v>62</v>
      </c>
      <c r="K13" s="41">
        <v>0</v>
      </c>
      <c r="L13" s="41"/>
      <c r="M13" s="42">
        <v>38.299999999999997</v>
      </c>
      <c r="N13" s="42">
        <v>38.299999999999997</v>
      </c>
      <c r="O13" s="43">
        <v>0</v>
      </c>
      <c r="P13" s="44">
        <v>0</v>
      </c>
      <c r="Q13" s="44">
        <v>2374.6</v>
      </c>
      <c r="R13" s="45">
        <v>0</v>
      </c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2374.6</v>
      </c>
      <c r="Z13" s="44">
        <f t="shared" si="6"/>
        <v>0</v>
      </c>
      <c r="AA13" s="50">
        <f t="shared" si="7"/>
        <v>2374.6</v>
      </c>
      <c r="AB13" s="51">
        <f t="shared" si="8"/>
        <v>0</v>
      </c>
      <c r="AC13" s="44">
        <f t="shared" si="9"/>
        <v>2223.4082397003745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4.1154404453131255</v>
      </c>
      <c r="AG13" s="44">
        <f t="shared" si="11"/>
        <v>0</v>
      </c>
      <c r="AH13" s="52">
        <f>HLOOKUP(I13,GasAvoidedCostsWOCC!$A$5:$Q$50,T13+1,FALSE)</f>
        <v>4.1154404453131255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>
        <f t="shared" si="17"/>
        <v>0</v>
      </c>
    </row>
    <row r="14" spans="1:42" ht="13.5" customHeight="1" x14ac:dyDescent="0.35">
      <c r="A14" s="55">
        <f>SUM(Y5:Y1000)</f>
        <v>5590102.5200000005</v>
      </c>
      <c r="B14" s="97" t="s">
        <v>33</v>
      </c>
      <c r="C14" s="98">
        <v>18230637</v>
      </c>
      <c r="D14" s="61" t="s">
        <v>78</v>
      </c>
      <c r="E14" s="38" t="s">
        <v>756</v>
      </c>
      <c r="F14" s="39" t="s">
        <v>755</v>
      </c>
      <c r="G14" s="39">
        <v>5</v>
      </c>
      <c r="H14" s="39"/>
      <c r="I14" s="40" t="s">
        <v>274</v>
      </c>
      <c r="J14" s="41">
        <v>483</v>
      </c>
      <c r="K14" s="41">
        <v>0</v>
      </c>
      <c r="L14" s="41"/>
      <c r="M14" s="42">
        <v>38.299999999999997</v>
      </c>
      <c r="N14" s="42">
        <v>38.299999999999997</v>
      </c>
      <c r="O14" s="43">
        <v>0</v>
      </c>
      <c r="P14" s="44">
        <v>0</v>
      </c>
      <c r="Q14" s="44">
        <v>18498.900000000001</v>
      </c>
      <c r="R14" s="45">
        <v>38.85</v>
      </c>
      <c r="S14" s="46"/>
      <c r="T14" s="39">
        <f t="shared" si="0"/>
        <v>5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18498.900000000001</v>
      </c>
      <c r="Z14" s="44">
        <f t="shared" si="6"/>
        <v>0</v>
      </c>
      <c r="AA14" s="50">
        <f t="shared" si="7"/>
        <v>18498.900000000001</v>
      </c>
      <c r="AB14" s="51">
        <f t="shared" si="8"/>
        <v>0</v>
      </c>
      <c r="AC14" s="44">
        <f t="shared" si="9"/>
        <v>17321.067415730337</v>
      </c>
      <c r="AD14" s="44">
        <f t="shared" si="10"/>
        <v>77352.130286786298</v>
      </c>
      <c r="AE14" s="44">
        <f t="shared" si="18"/>
        <v>0</v>
      </c>
      <c r="AF14" s="52">
        <f>HLOOKUP(I14,GasAvoidedCostsWOCC!$A$5:$G$50,G14+1,FALSE)</f>
        <v>4.1154404453131255</v>
      </c>
      <c r="AG14" s="44">
        <f t="shared" si="11"/>
        <v>0</v>
      </c>
      <c r="AH14" s="52">
        <f>HLOOKUP(I14,GasAvoidedCostsWOCC!$A$5:$Q$50,T14+1,FALSE)</f>
        <v>4.1154404453131255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77352.130286786298</v>
      </c>
      <c r="AO14" s="47">
        <f t="shared" si="16"/>
        <v>0</v>
      </c>
      <c r="AP14" s="47">
        <f t="shared" si="17"/>
        <v>4.4657831085247102</v>
      </c>
    </row>
    <row r="15" spans="1:42" ht="13.5" customHeight="1" x14ac:dyDescent="0.35">
      <c r="A15" s="57" t="s">
        <v>249</v>
      </c>
      <c r="B15" s="97" t="s">
        <v>33</v>
      </c>
      <c r="C15" s="98">
        <v>18230637</v>
      </c>
      <c r="D15" s="61" t="s">
        <v>78</v>
      </c>
      <c r="E15" s="38" t="s">
        <v>763</v>
      </c>
      <c r="F15" s="39" t="s">
        <v>764</v>
      </c>
      <c r="G15" s="39">
        <v>25</v>
      </c>
      <c r="H15" s="39"/>
      <c r="I15" s="40" t="s">
        <v>274</v>
      </c>
      <c r="J15" s="41">
        <v>1188</v>
      </c>
      <c r="K15" s="41">
        <v>4.2799999999999998E-2</v>
      </c>
      <c r="L15" s="41"/>
      <c r="M15" s="42">
        <v>1.39</v>
      </c>
      <c r="N15" s="42">
        <v>2.3199999999999998</v>
      </c>
      <c r="O15" s="43">
        <v>50.85</v>
      </c>
      <c r="P15" s="44">
        <v>1200</v>
      </c>
      <c r="Q15" s="44">
        <v>2756.16</v>
      </c>
      <c r="R15" s="45">
        <v>0</v>
      </c>
      <c r="S15" s="46"/>
      <c r="T15" s="39">
        <f t="shared" si="0"/>
        <v>25</v>
      </c>
      <c r="U15" s="47">
        <f t="shared" si="1"/>
        <v>4.7967431726921514E-3</v>
      </c>
      <c r="V15" s="48">
        <f t="shared" si="2"/>
        <v>0.92999999999999994</v>
      </c>
      <c r="W15" s="49">
        <f t="shared" si="3"/>
        <v>1.9186972690768606E-4</v>
      </c>
      <c r="X15" s="44">
        <f t="shared" si="4"/>
        <v>34.513509207879174</v>
      </c>
      <c r="Y15" s="44">
        <f t="shared" si="5"/>
        <v>1556.1599999999999</v>
      </c>
      <c r="Z15" s="44">
        <f t="shared" si="6"/>
        <v>500.47095992820584</v>
      </c>
      <c r="AA15" s="50">
        <f t="shared" si="7"/>
        <v>2790.6735092078789</v>
      </c>
      <c r="AB15" s="51">
        <f t="shared" si="8"/>
        <v>468.60576772303915</v>
      </c>
      <c r="AC15" s="44">
        <f t="shared" si="9"/>
        <v>2612.9901771609352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16.143326773708047</v>
      </c>
      <c r="AG15" s="44">
        <f t="shared" si="11"/>
        <v>820.83005046666881</v>
      </c>
      <c r="AH15" s="52">
        <f>HLOOKUP(I15,GasAvoidedCostsWOCC!$A$5:$Q$50,T15+1,FALSE)</f>
        <v>16.143326773708047</v>
      </c>
      <c r="AI15" s="44">
        <f t="shared" si="12"/>
        <v>0</v>
      </c>
      <c r="AJ15" s="44">
        <f t="shared" si="13"/>
        <v>820.83005046666881</v>
      </c>
      <c r="AK15" s="44">
        <f>HLOOKUP(I15,GasAvoidedCostsWOCC!$A$5:$Q$50,G15+1,FALSE)*J15*L15</f>
        <v>0</v>
      </c>
      <c r="AL15" s="44">
        <f t="shared" si="14"/>
        <v>820.83005046666881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820.83005046666881</v>
      </c>
      <c r="AN15" s="48">
        <f t="shared" si="15"/>
        <v>902.91305551333573</v>
      </c>
      <c r="AO15" s="47">
        <f t="shared" si="16"/>
        <v>1.7516430803980316</v>
      </c>
      <c r="AP15" s="47">
        <f t="shared" si="17"/>
        <v>0.34554781851279992</v>
      </c>
    </row>
    <row r="16" spans="1:42" ht="13.5" customHeight="1" x14ac:dyDescent="0.35">
      <c r="A16" s="54">
        <f>SUM(U5:U999)</f>
        <v>36.806521095463346</v>
      </c>
      <c r="B16" s="97" t="s">
        <v>33</v>
      </c>
      <c r="C16" s="98">
        <v>18230637</v>
      </c>
      <c r="D16" s="61" t="s">
        <v>78</v>
      </c>
      <c r="E16" s="38" t="s">
        <v>765</v>
      </c>
      <c r="F16" s="39" t="s">
        <v>764</v>
      </c>
      <c r="G16" s="39">
        <v>25</v>
      </c>
      <c r="H16" s="39"/>
      <c r="I16" s="40" t="s">
        <v>274</v>
      </c>
      <c r="J16" s="41">
        <v>1932</v>
      </c>
      <c r="K16" s="41">
        <v>4.2799999999999998E-2</v>
      </c>
      <c r="L16" s="41"/>
      <c r="M16" s="42">
        <v>1</v>
      </c>
      <c r="N16" s="42">
        <v>2.3199999999999998</v>
      </c>
      <c r="O16" s="43">
        <v>82.69</v>
      </c>
      <c r="P16" s="44">
        <v>1932</v>
      </c>
      <c r="Q16" s="44">
        <v>4482.24</v>
      </c>
      <c r="R16" s="45">
        <v>9.1700000000000004E-2</v>
      </c>
      <c r="S16" s="46"/>
      <c r="T16" s="39">
        <f t="shared" si="0"/>
        <v>25</v>
      </c>
      <c r="U16" s="47">
        <f t="shared" si="1"/>
        <v>7.8002496155341996E-3</v>
      </c>
      <c r="V16" s="48">
        <f t="shared" si="2"/>
        <v>1.3199999999999998</v>
      </c>
      <c r="W16" s="49">
        <f t="shared" si="3"/>
        <v>3.1200998462136797E-4</v>
      </c>
      <c r="X16" s="44">
        <f t="shared" si="4"/>
        <v>56.124327952793102</v>
      </c>
      <c r="Y16" s="44">
        <f t="shared" si="5"/>
        <v>2550.2399999999998</v>
      </c>
      <c r="Z16" s="44">
        <f t="shared" si="6"/>
        <v>813.8435334604394</v>
      </c>
      <c r="AA16" s="50">
        <f t="shared" si="7"/>
        <v>4538.3643279527932</v>
      </c>
      <c r="AB16" s="51">
        <f t="shared" si="8"/>
        <v>762.02578039366983</v>
      </c>
      <c r="AC16" s="44">
        <f t="shared" si="9"/>
        <v>4249.4048014539258</v>
      </c>
      <c r="AD16" s="44">
        <f t="shared" si="10"/>
        <v>2102.3376944152419</v>
      </c>
      <c r="AE16" s="44">
        <f t="shared" si="18"/>
        <v>0</v>
      </c>
      <c r="AF16" s="52">
        <f>HLOOKUP(I16,GasAvoidedCostsWOCC!$A$5:$G$50,G16+1,FALSE)</f>
        <v>16.143326773708047</v>
      </c>
      <c r="AG16" s="44">
        <f t="shared" si="11"/>
        <v>1334.8852335872089</v>
      </c>
      <c r="AH16" s="52">
        <f>HLOOKUP(I16,GasAvoidedCostsWOCC!$A$5:$Q$50,T16+1,FALSE)</f>
        <v>16.143326773708047</v>
      </c>
      <c r="AI16" s="44">
        <f t="shared" si="12"/>
        <v>0</v>
      </c>
      <c r="AJ16" s="44">
        <f t="shared" si="13"/>
        <v>1334.8852335872089</v>
      </c>
      <c r="AK16" s="44">
        <f>HLOOKUP(I16,GasAvoidedCostsWOCC!$A$5:$Q$50,G16+1,FALSE)*J16*L16</f>
        <v>0</v>
      </c>
      <c r="AL16" s="44">
        <f t="shared" si="14"/>
        <v>1334.8852335872089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1334.8852335872089</v>
      </c>
      <c r="AN16" s="48">
        <f t="shared" si="15"/>
        <v>3570.7114513611718</v>
      </c>
      <c r="AO16" s="47">
        <f t="shared" si="16"/>
        <v>1.7517586254071278</v>
      </c>
      <c r="AP16" s="47">
        <f t="shared" si="17"/>
        <v>0.84028507948676945</v>
      </c>
    </row>
    <row r="17" spans="1:42" ht="13.5" customHeight="1" x14ac:dyDescent="0.35">
      <c r="A17" s="58" t="s">
        <v>252</v>
      </c>
      <c r="B17" s="97" t="s">
        <v>33</v>
      </c>
      <c r="C17" s="98">
        <v>18230637</v>
      </c>
      <c r="D17" s="61" t="s">
        <v>78</v>
      </c>
      <c r="E17" s="38" t="s">
        <v>769</v>
      </c>
      <c r="F17" s="39" t="s">
        <v>770</v>
      </c>
      <c r="G17" s="39">
        <v>45</v>
      </c>
      <c r="H17" s="39"/>
      <c r="I17" s="40" t="s">
        <v>274</v>
      </c>
      <c r="J17" s="41">
        <v>269145</v>
      </c>
      <c r="K17" s="41">
        <v>3.4500000000000003E-2</v>
      </c>
      <c r="L17" s="41"/>
      <c r="M17" s="42">
        <v>0.25</v>
      </c>
      <c r="N17" s="42">
        <v>1.41</v>
      </c>
      <c r="O17" s="43">
        <v>9285.84</v>
      </c>
      <c r="P17" s="44">
        <v>46063.58</v>
      </c>
      <c r="Q17" s="44">
        <v>379494.45</v>
      </c>
      <c r="R17" s="45">
        <v>0</v>
      </c>
      <c r="S17" s="46"/>
      <c r="T17" s="39">
        <f t="shared" si="0"/>
        <v>45</v>
      </c>
      <c r="U17" s="47">
        <f t="shared" si="1"/>
        <v>1.5767005176181128</v>
      </c>
      <c r="V17" s="48">
        <f t="shared" si="2"/>
        <v>1.1599999999999999</v>
      </c>
      <c r="W17" s="49">
        <f t="shared" si="3"/>
        <v>3.5037789280402507E-2</v>
      </c>
      <c r="X17" s="44">
        <f t="shared" si="4"/>
        <v>6302.5943823577727</v>
      </c>
      <c r="Y17" s="44">
        <f t="shared" si="5"/>
        <v>333430.87</v>
      </c>
      <c r="Z17" s="44">
        <f t="shared" si="6"/>
        <v>91392.197808057637</v>
      </c>
      <c r="AA17" s="50">
        <f t="shared" si="7"/>
        <v>385797.0443823578</v>
      </c>
      <c r="AB17" s="51">
        <f t="shared" si="8"/>
        <v>85573.21892140228</v>
      </c>
      <c r="AC17" s="44">
        <f t="shared" si="9"/>
        <v>361233.18762393051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26.281560892700742</v>
      </c>
      <c r="AG17" s="44">
        <f t="shared" si="11"/>
        <v>244037.49937307497</v>
      </c>
      <c r="AH17" s="52">
        <f>HLOOKUP(I17,GasAvoidedCostsWOCC!$A$5:$Q$50,T17+1,FALSE)</f>
        <v>26.281560892700742</v>
      </c>
      <c r="AI17" s="44">
        <f t="shared" si="12"/>
        <v>0</v>
      </c>
      <c r="AJ17" s="44">
        <f t="shared" si="13"/>
        <v>244037.49937307497</v>
      </c>
      <c r="AK17" s="44">
        <f>HLOOKUP(I17,GasAvoidedCostsWOCC!$A$5:$Q$50,G17+1,FALSE)*J17*L17</f>
        <v>0</v>
      </c>
      <c r="AL17" s="44">
        <f t="shared" si="14"/>
        <v>244037.49937307497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244037.499373075</v>
      </c>
      <c r="AN17" s="48">
        <f t="shared" si="15"/>
        <v>268441.24931038253</v>
      </c>
      <c r="AO17" s="47">
        <f t="shared" si="16"/>
        <v>2.8517975886500166</v>
      </c>
      <c r="AP17" s="47">
        <f t="shared" si="17"/>
        <v>0.74312454809619821</v>
      </c>
    </row>
    <row r="18" spans="1:42" ht="13.5" customHeight="1" x14ac:dyDescent="0.35">
      <c r="A18" s="59">
        <f>A6+A8</f>
        <v>2608389.39</v>
      </c>
      <c r="B18" s="97" t="s">
        <v>33</v>
      </c>
      <c r="C18" s="98">
        <v>18230637</v>
      </c>
      <c r="D18" s="61" t="s">
        <v>78</v>
      </c>
      <c r="E18" s="38" t="s">
        <v>771</v>
      </c>
      <c r="F18" s="39" t="s">
        <v>770</v>
      </c>
      <c r="G18" s="39">
        <v>45</v>
      </c>
      <c r="H18" s="39"/>
      <c r="I18" s="40" t="s">
        <v>274</v>
      </c>
      <c r="J18" s="41">
        <v>630025</v>
      </c>
      <c r="K18" s="41">
        <v>3.4500000000000003E-2</v>
      </c>
      <c r="L18" s="41"/>
      <c r="M18" s="42">
        <v>0.25</v>
      </c>
      <c r="N18" s="42">
        <v>1.41</v>
      </c>
      <c r="O18" s="43">
        <v>21736.65</v>
      </c>
      <c r="P18" s="44">
        <v>157506.25</v>
      </c>
      <c r="Q18" s="44">
        <v>888335.25</v>
      </c>
      <c r="R18" s="45">
        <v>4.0300000000000002E-2</v>
      </c>
      <c r="S18" s="46"/>
      <c r="T18" s="39">
        <f t="shared" si="0"/>
        <v>45</v>
      </c>
      <c r="U18" s="47">
        <f t="shared" si="1"/>
        <v>3.6908009729096944</v>
      </c>
      <c r="V18" s="48">
        <f t="shared" si="2"/>
        <v>1.1599999999999999</v>
      </c>
      <c r="W18" s="49">
        <f t="shared" si="3"/>
        <v>8.201779939799321E-2</v>
      </c>
      <c r="X18" s="44">
        <f t="shared" si="4"/>
        <v>14753.354374109085</v>
      </c>
      <c r="Y18" s="44">
        <f t="shared" si="5"/>
        <v>730829</v>
      </c>
      <c r="Z18" s="44">
        <f t="shared" si="6"/>
        <v>213934.35774087391</v>
      </c>
      <c r="AA18" s="50">
        <f t="shared" si="7"/>
        <v>903088.60437410907</v>
      </c>
      <c r="AB18" s="51">
        <f t="shared" si="8"/>
        <v>200313.06904576207</v>
      </c>
      <c r="AC18" s="44">
        <f t="shared" si="9"/>
        <v>845588.58087463386</v>
      </c>
      <c r="AD18" s="44">
        <f t="shared" si="10"/>
        <v>354042.86065507552</v>
      </c>
      <c r="AE18" s="44">
        <f t="shared" si="18"/>
        <v>0</v>
      </c>
      <c r="AF18" s="52">
        <f>HLOOKUP(I18,GasAvoidedCostsWOCC!$A$5:$G$50,G18+1,FALSE)</f>
        <v>26.281560892700742</v>
      </c>
      <c r="AG18" s="44">
        <f t="shared" si="11"/>
        <v>571252.39384912071</v>
      </c>
      <c r="AH18" s="52">
        <f>HLOOKUP(I18,GasAvoidedCostsWOCC!$A$5:$Q$50,T18+1,FALSE)</f>
        <v>26.281560892700742</v>
      </c>
      <c r="AI18" s="44">
        <f t="shared" si="12"/>
        <v>0</v>
      </c>
      <c r="AJ18" s="44">
        <f t="shared" si="13"/>
        <v>571252.39384912071</v>
      </c>
      <c r="AK18" s="44">
        <f>HLOOKUP(I18,GasAvoidedCostsWOCC!$A$5:$Q$50,G18+1,FALSE)*J18*L18</f>
        <v>0</v>
      </c>
      <c r="AL18" s="44">
        <f t="shared" si="14"/>
        <v>571252.39384912071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571252.39384912059</v>
      </c>
      <c r="AN18" s="48">
        <f t="shared" si="15"/>
        <v>982420.49388910818</v>
      </c>
      <c r="AO18" s="47">
        <f t="shared" si="16"/>
        <v>2.8517979209764714</v>
      </c>
      <c r="AP18" s="47">
        <f t="shared" si="17"/>
        <v>1.161818544040581</v>
      </c>
    </row>
    <row r="19" spans="1:42" ht="13.5" customHeight="1" x14ac:dyDescent="0.35">
      <c r="A19" s="58" t="s">
        <v>222</v>
      </c>
      <c r="B19" s="97" t="s">
        <v>33</v>
      </c>
      <c r="C19" s="98">
        <v>18230637</v>
      </c>
      <c r="D19" s="61" t="s">
        <v>78</v>
      </c>
      <c r="E19" s="38" t="s">
        <v>781</v>
      </c>
      <c r="F19" s="39" t="s">
        <v>782</v>
      </c>
      <c r="G19" s="39">
        <v>20</v>
      </c>
      <c r="H19" s="39"/>
      <c r="I19" s="40" t="s">
        <v>274</v>
      </c>
      <c r="J19" s="41">
        <v>239</v>
      </c>
      <c r="K19" s="41">
        <v>75.319999999999993</v>
      </c>
      <c r="L19" s="41"/>
      <c r="M19" s="42">
        <v>400</v>
      </c>
      <c r="N19" s="42">
        <v>1000</v>
      </c>
      <c r="O19" s="43">
        <v>18001.48</v>
      </c>
      <c r="P19" s="44">
        <v>92573.16</v>
      </c>
      <c r="Q19" s="44">
        <v>239000</v>
      </c>
      <c r="R19" s="45">
        <v>0</v>
      </c>
      <c r="S19" s="46"/>
      <c r="T19" s="39">
        <f t="shared" si="0"/>
        <v>20</v>
      </c>
      <c r="U19" s="47">
        <f t="shared" si="1"/>
        <v>1.358481436198298</v>
      </c>
      <c r="V19" s="48">
        <f t="shared" si="2"/>
        <v>600</v>
      </c>
      <c r="W19" s="49">
        <f t="shared" si="3"/>
        <v>6.7924071809914902E-2</v>
      </c>
      <c r="X19" s="44">
        <f t="shared" si="4"/>
        <v>12218.17592400104</v>
      </c>
      <c r="Y19" s="44">
        <f t="shared" si="5"/>
        <v>146426.84</v>
      </c>
      <c r="Z19" s="44">
        <f t="shared" si="6"/>
        <v>177172.42823458012</v>
      </c>
      <c r="AA19" s="50">
        <f t="shared" si="7"/>
        <v>251218.17592400103</v>
      </c>
      <c r="AB19" s="51">
        <f t="shared" si="8"/>
        <v>165891.78673649824</v>
      </c>
      <c r="AC19" s="44">
        <f t="shared" si="9"/>
        <v>235223.01116479497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13.713759429231397</v>
      </c>
      <c r="AG19" s="44">
        <f t="shared" si="11"/>
        <v>246867.96609012038</v>
      </c>
      <c r="AH19" s="52">
        <f>HLOOKUP(I19,GasAvoidedCostsWOCC!$A$5:$Q$50,T19+1,FALSE)</f>
        <v>13.713759429231397</v>
      </c>
      <c r="AI19" s="44">
        <f t="shared" si="12"/>
        <v>0</v>
      </c>
      <c r="AJ19" s="44">
        <f t="shared" si="13"/>
        <v>246867.96609012038</v>
      </c>
      <c r="AK19" s="44">
        <f>HLOOKUP(I19,GasAvoidedCostsWOCC!$A$5:$Q$50,G19+1,FALSE)*J19*L19</f>
        <v>0</v>
      </c>
      <c r="AL19" s="44">
        <f t="shared" si="14"/>
        <v>246867.96609012038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246867.96609012038</v>
      </c>
      <c r="AN19" s="48">
        <f t="shared" si="15"/>
        <v>271554.76269913244</v>
      </c>
      <c r="AO19" s="47">
        <f t="shared" si="16"/>
        <v>1.4881265127504133</v>
      </c>
      <c r="AP19" s="47">
        <f t="shared" si="17"/>
        <v>1.1544566212056686</v>
      </c>
    </row>
    <row r="20" spans="1:42" ht="13.5" customHeight="1" x14ac:dyDescent="0.35">
      <c r="A20" s="59">
        <f>A8+SUM(Q5:Q906)</f>
        <v>8119745.5699999975</v>
      </c>
      <c r="B20" s="97" t="s">
        <v>33</v>
      </c>
      <c r="C20" s="98">
        <v>18230637</v>
      </c>
      <c r="D20" s="61" t="s">
        <v>78</v>
      </c>
      <c r="E20" s="38" t="s">
        <v>783</v>
      </c>
      <c r="F20" s="39" t="s">
        <v>782</v>
      </c>
      <c r="G20" s="39">
        <v>20</v>
      </c>
      <c r="H20" s="39"/>
      <c r="I20" s="40" t="s">
        <v>274</v>
      </c>
      <c r="J20" s="41">
        <v>648</v>
      </c>
      <c r="K20" s="41">
        <v>75.319999999999993</v>
      </c>
      <c r="L20" s="41"/>
      <c r="M20" s="42">
        <v>400</v>
      </c>
      <c r="N20" s="42">
        <v>1000</v>
      </c>
      <c r="O20" s="43">
        <v>48807.359999999797</v>
      </c>
      <c r="P20" s="44">
        <v>257255.4</v>
      </c>
      <c r="Q20" s="44">
        <v>648000</v>
      </c>
      <c r="R20" s="45">
        <v>36.090899999999998</v>
      </c>
      <c r="S20" s="46"/>
      <c r="T20" s="39">
        <f t="shared" si="0"/>
        <v>20</v>
      </c>
      <c r="U20" s="47">
        <f t="shared" si="1"/>
        <v>3.6832467391485082</v>
      </c>
      <c r="V20" s="48">
        <f t="shared" si="2"/>
        <v>600</v>
      </c>
      <c r="W20" s="49">
        <f t="shared" si="3"/>
        <v>0.1841623369574254</v>
      </c>
      <c r="X20" s="44">
        <f t="shared" si="4"/>
        <v>33127.104597291385</v>
      </c>
      <c r="Y20" s="44">
        <f t="shared" si="5"/>
        <v>390744.6</v>
      </c>
      <c r="Z20" s="44">
        <f t="shared" si="6"/>
        <v>480367.08575735334</v>
      </c>
      <c r="AA20" s="50">
        <f t="shared" si="7"/>
        <v>681127.10459729144</v>
      </c>
      <c r="AB20" s="51">
        <f t="shared" si="8"/>
        <v>449781.91550313978</v>
      </c>
      <c r="AC20" s="44">
        <f t="shared" si="9"/>
        <v>637759.4612334189</v>
      </c>
      <c r="AD20" s="44">
        <f t="shared" si="10"/>
        <v>251659.67199278303</v>
      </c>
      <c r="AE20" s="44">
        <f t="shared" si="18"/>
        <v>0</v>
      </c>
      <c r="AF20" s="52">
        <f>HLOOKUP(I20,GasAvoidedCostsWOCC!$A$5:$G$50,G20+1,FALSE)</f>
        <v>13.713759429231397</v>
      </c>
      <c r="AG20" s="44">
        <f t="shared" si="11"/>
        <v>669332.39341589122</v>
      </c>
      <c r="AH20" s="52">
        <f>HLOOKUP(I20,GasAvoidedCostsWOCC!$A$5:$Q$50,T20+1,FALSE)</f>
        <v>13.713759429231397</v>
      </c>
      <c r="AI20" s="44">
        <f t="shared" si="12"/>
        <v>0</v>
      </c>
      <c r="AJ20" s="44">
        <f t="shared" si="13"/>
        <v>669332.39341589122</v>
      </c>
      <c r="AK20" s="44">
        <f>HLOOKUP(I20,GasAvoidedCostsWOCC!$A$5:$Q$50,G20+1,FALSE)*J20*L20</f>
        <v>0</v>
      </c>
      <c r="AL20" s="44">
        <f t="shared" si="14"/>
        <v>669332.39341589122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669332.39341589122</v>
      </c>
      <c r="AN20" s="48">
        <f t="shared" si="15"/>
        <v>987925.30475026346</v>
      </c>
      <c r="AO20" s="47">
        <f t="shared" si="16"/>
        <v>1.4881265127504195</v>
      </c>
      <c r="AP20" s="47">
        <f t="shared" si="17"/>
        <v>1.5490562897171736</v>
      </c>
    </row>
    <row r="21" spans="1:42" ht="13.5" customHeight="1" x14ac:dyDescent="0.35">
      <c r="A21" s="58" t="s">
        <v>236</v>
      </c>
      <c r="B21" s="97" t="s">
        <v>33</v>
      </c>
      <c r="C21" s="98">
        <v>18230637</v>
      </c>
      <c r="D21" s="61" t="s">
        <v>78</v>
      </c>
      <c r="E21" s="38" t="s">
        <v>787</v>
      </c>
      <c r="F21" s="39" t="s">
        <v>788</v>
      </c>
      <c r="G21" s="39">
        <v>20</v>
      </c>
      <c r="H21" s="39"/>
      <c r="I21" s="40" t="s">
        <v>274</v>
      </c>
      <c r="J21" s="41">
        <v>35</v>
      </c>
      <c r="K21" s="41">
        <v>50.81</v>
      </c>
      <c r="L21" s="41"/>
      <c r="M21" s="42">
        <v>300</v>
      </c>
      <c r="N21" s="42">
        <v>631.58000000000004</v>
      </c>
      <c r="O21" s="43">
        <v>1778.35</v>
      </c>
      <c r="P21" s="44">
        <v>10381.1</v>
      </c>
      <c r="Q21" s="44">
        <v>22105.3</v>
      </c>
      <c r="R21" s="45">
        <v>0</v>
      </c>
      <c r="S21" s="46"/>
      <c r="T21" s="39">
        <f t="shared" si="0"/>
        <v>20</v>
      </c>
      <c r="U21" s="47">
        <f t="shared" si="1"/>
        <v>0.13420315785497874</v>
      </c>
      <c r="V21" s="48">
        <f t="shared" si="2"/>
        <v>331.58000000000004</v>
      </c>
      <c r="W21" s="49">
        <f t="shared" si="3"/>
        <v>6.7101578927489377E-3</v>
      </c>
      <c r="X21" s="44">
        <f t="shared" si="4"/>
        <v>1207.0225978334695</v>
      </c>
      <c r="Y21" s="44">
        <f t="shared" si="5"/>
        <v>11724.199999999999</v>
      </c>
      <c r="Z21" s="44">
        <f t="shared" si="6"/>
        <v>17502.704652671087</v>
      </c>
      <c r="AA21" s="50">
        <f t="shared" si="7"/>
        <v>23312.32259783347</v>
      </c>
      <c r="AB21" s="51">
        <f t="shared" si="8"/>
        <v>16388.300236583415</v>
      </c>
      <c r="AC21" s="44">
        <f t="shared" si="9"/>
        <v>21828.017413701749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13.713759429231397</v>
      </c>
      <c r="AG21" s="44">
        <f t="shared" si="11"/>
        <v>24387.864080973657</v>
      </c>
      <c r="AH21" s="52">
        <f>HLOOKUP(I21,GasAvoidedCostsWOCC!$A$5:$Q$50,T21+1,FALSE)</f>
        <v>13.713759429231397</v>
      </c>
      <c r="AI21" s="44">
        <f t="shared" si="12"/>
        <v>0</v>
      </c>
      <c r="AJ21" s="44">
        <f t="shared" si="13"/>
        <v>24387.864080973657</v>
      </c>
      <c r="AK21" s="44">
        <f>HLOOKUP(I21,GasAvoidedCostsWOCC!$A$5:$Q$50,G21+1,FALSE)*J21*L21</f>
        <v>0</v>
      </c>
      <c r="AL21" s="44">
        <f t="shared" si="14"/>
        <v>24387.864080973657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24387.864080973653</v>
      </c>
      <c r="AN21" s="48">
        <f t="shared" si="15"/>
        <v>26826.65048907102</v>
      </c>
      <c r="AO21" s="47">
        <f t="shared" si="16"/>
        <v>1.4881265127504135</v>
      </c>
      <c r="AP21" s="47">
        <f t="shared" si="17"/>
        <v>1.2290007828302152</v>
      </c>
    </row>
    <row r="22" spans="1:42" ht="13.5" customHeight="1" x14ac:dyDescent="0.35">
      <c r="A22" s="60">
        <f>(SUM(AM5:AM1000)/(SUM(AB5:AB1000)))</f>
        <v>2.4047972152759294</v>
      </c>
      <c r="B22" s="97" t="s">
        <v>33</v>
      </c>
      <c r="C22" s="98">
        <v>18230637</v>
      </c>
      <c r="D22" s="61" t="s">
        <v>78</v>
      </c>
      <c r="E22" s="38" t="s">
        <v>789</v>
      </c>
      <c r="F22" s="39" t="s">
        <v>788</v>
      </c>
      <c r="G22" s="39">
        <v>20</v>
      </c>
      <c r="H22" s="39"/>
      <c r="I22" s="40" t="s">
        <v>274</v>
      </c>
      <c r="J22" s="41">
        <v>144</v>
      </c>
      <c r="K22" s="41">
        <v>50.81</v>
      </c>
      <c r="L22" s="41"/>
      <c r="M22" s="42">
        <v>300</v>
      </c>
      <c r="N22" s="42">
        <v>631.58000000000004</v>
      </c>
      <c r="O22" s="43">
        <v>7316.6400000000203</v>
      </c>
      <c r="P22" s="44">
        <v>43019.18</v>
      </c>
      <c r="Q22" s="44">
        <v>90947.520000000004</v>
      </c>
      <c r="R22" s="45">
        <v>40.396900000000002</v>
      </c>
      <c r="S22" s="46"/>
      <c r="T22" s="39">
        <f t="shared" si="0"/>
        <v>20</v>
      </c>
      <c r="U22" s="47">
        <f t="shared" si="1"/>
        <v>0.55215013517477129</v>
      </c>
      <c r="V22" s="48">
        <f t="shared" si="2"/>
        <v>331.58000000000004</v>
      </c>
      <c r="W22" s="49">
        <f t="shared" si="3"/>
        <v>2.7607506758738565E-2</v>
      </c>
      <c r="X22" s="44">
        <f t="shared" si="4"/>
        <v>4966.0358310862894</v>
      </c>
      <c r="Y22" s="44">
        <f t="shared" si="5"/>
        <v>47928.340000000004</v>
      </c>
      <c r="Z22" s="44">
        <f t="shared" si="6"/>
        <v>72011.127713846974</v>
      </c>
      <c r="AA22" s="50">
        <f t="shared" si="7"/>
        <v>95913.555831086298</v>
      </c>
      <c r="AB22" s="51">
        <f t="shared" si="8"/>
        <v>67426.14954480053</v>
      </c>
      <c r="AC22" s="44">
        <f t="shared" si="9"/>
        <v>89806.700216372934</v>
      </c>
      <c r="AD22" s="44">
        <f t="shared" si="10"/>
        <v>62596.700144020644</v>
      </c>
      <c r="AE22" s="44">
        <f t="shared" si="18"/>
        <v>0</v>
      </c>
      <c r="AF22" s="52">
        <f>HLOOKUP(I22,GasAvoidedCostsWOCC!$A$5:$G$50,G22+1,FALSE)</f>
        <v>13.713759429231397</v>
      </c>
      <c r="AG22" s="44">
        <f t="shared" si="11"/>
        <v>100338.64079029161</v>
      </c>
      <c r="AH22" s="52">
        <f>HLOOKUP(I22,GasAvoidedCostsWOCC!$A$5:$Q$50,T22+1,FALSE)</f>
        <v>13.713759429231397</v>
      </c>
      <c r="AI22" s="44">
        <f t="shared" si="12"/>
        <v>0</v>
      </c>
      <c r="AJ22" s="44">
        <f t="shared" si="13"/>
        <v>100338.64079029161</v>
      </c>
      <c r="AK22" s="44">
        <f>HLOOKUP(I22,GasAvoidedCostsWOCC!$A$5:$Q$50,G22+1,FALSE)*J22*L22</f>
        <v>0</v>
      </c>
      <c r="AL22" s="44">
        <f t="shared" si="14"/>
        <v>100338.64079029161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100338.64079029161</v>
      </c>
      <c r="AN22" s="48">
        <f t="shared" si="15"/>
        <v>172969.20501334142</v>
      </c>
      <c r="AO22" s="47">
        <f t="shared" si="16"/>
        <v>1.4881265127504093</v>
      </c>
      <c r="AP22" s="47">
        <f t="shared" si="17"/>
        <v>1.9260167069562018</v>
      </c>
    </row>
    <row r="23" spans="1:42" ht="13.5" customHeight="1" x14ac:dyDescent="0.35">
      <c r="A23" s="58" t="s">
        <v>237</v>
      </c>
      <c r="B23" s="97" t="s">
        <v>33</v>
      </c>
      <c r="C23" s="98">
        <v>18230637</v>
      </c>
      <c r="D23" s="61" t="s">
        <v>78</v>
      </c>
      <c r="E23" s="38" t="s">
        <v>796</v>
      </c>
      <c r="F23" s="39" t="s">
        <v>797</v>
      </c>
      <c r="G23" s="39">
        <v>45</v>
      </c>
      <c r="H23" s="39"/>
      <c r="I23" s="40" t="s">
        <v>274</v>
      </c>
      <c r="J23" s="41">
        <v>35478</v>
      </c>
      <c r="K23" s="41">
        <v>6.6900000000000001E-2</v>
      </c>
      <c r="L23" s="41"/>
      <c r="M23" s="42">
        <v>0.75</v>
      </c>
      <c r="N23" s="42">
        <v>1.56</v>
      </c>
      <c r="O23" s="43">
        <v>2373.5</v>
      </c>
      <c r="P23" s="44">
        <v>13914.11</v>
      </c>
      <c r="Q23" s="44">
        <v>55345.68</v>
      </c>
      <c r="R23" s="45">
        <v>0</v>
      </c>
      <c r="S23" s="46"/>
      <c r="T23" s="39">
        <f t="shared" si="0"/>
        <v>45</v>
      </c>
      <c r="U23" s="47">
        <f t="shared" si="1"/>
        <v>0.40301132461539191</v>
      </c>
      <c r="V23" s="48">
        <f t="shared" si="2"/>
        <v>0.81</v>
      </c>
      <c r="W23" s="49">
        <f t="shared" si="3"/>
        <v>8.9558072136753757E-3</v>
      </c>
      <c r="X23" s="44">
        <f t="shared" si="4"/>
        <v>1610.9697955732786</v>
      </c>
      <c r="Y23" s="44">
        <f t="shared" si="5"/>
        <v>41431.57</v>
      </c>
      <c r="Z23" s="44">
        <f t="shared" si="6"/>
        <v>23360.232515036314</v>
      </c>
      <c r="AA23" s="50">
        <f t="shared" si="7"/>
        <v>56956.649795573278</v>
      </c>
      <c r="AB23" s="51">
        <f t="shared" si="8"/>
        <v>21872.876886738122</v>
      </c>
      <c r="AC23" s="44">
        <f t="shared" si="9"/>
        <v>53330.19643780269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26.281560892700742</v>
      </c>
      <c r="AG23" s="44">
        <f t="shared" si="11"/>
        <v>62378.711840797754</v>
      </c>
      <c r="AH23" s="52">
        <f>HLOOKUP(I23,GasAvoidedCostsWOCC!$A$5:$Q$50,T23+1,FALSE)</f>
        <v>26.281560892700742</v>
      </c>
      <c r="AI23" s="44">
        <f t="shared" si="12"/>
        <v>0</v>
      </c>
      <c r="AJ23" s="44">
        <f t="shared" si="13"/>
        <v>62378.711840797754</v>
      </c>
      <c r="AK23" s="44">
        <f>HLOOKUP(I23,GasAvoidedCostsWOCC!$A$5:$Q$50,G23+1,FALSE)*J23*L23</f>
        <v>0</v>
      </c>
      <c r="AL23" s="44">
        <f t="shared" si="14"/>
        <v>62378.711840797754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62378.711840797754</v>
      </c>
      <c r="AN23" s="48">
        <f t="shared" si="15"/>
        <v>68616.583024877531</v>
      </c>
      <c r="AO23" s="47">
        <f t="shared" si="16"/>
        <v>2.8518750488930413</v>
      </c>
      <c r="AP23" s="47">
        <f t="shared" si="17"/>
        <v>1.2866366075531499</v>
      </c>
    </row>
    <row r="24" spans="1:42" ht="13.5" customHeight="1" x14ac:dyDescent="0.35">
      <c r="A24" s="60">
        <f>(SUM(AN5:AN1000)/SUM(AC5:AC1000))</f>
        <v>1.0289856307727212</v>
      </c>
      <c r="B24" s="97" t="s">
        <v>33</v>
      </c>
      <c r="C24" s="98">
        <v>18230637</v>
      </c>
      <c r="D24" s="61" t="s">
        <v>78</v>
      </c>
      <c r="E24" s="38" t="s">
        <v>798</v>
      </c>
      <c r="F24" s="39" t="s">
        <v>797</v>
      </c>
      <c r="G24" s="39">
        <v>45</v>
      </c>
      <c r="H24" s="39"/>
      <c r="I24" s="40" t="s">
        <v>274</v>
      </c>
      <c r="J24" s="41">
        <v>124604</v>
      </c>
      <c r="K24" s="41">
        <v>6.6900000000000001E-2</v>
      </c>
      <c r="L24" s="41"/>
      <c r="M24" s="42">
        <v>0.75</v>
      </c>
      <c r="N24" s="42">
        <v>1.56</v>
      </c>
      <c r="O24" s="43">
        <v>8336.0400000000009</v>
      </c>
      <c r="P24" s="44">
        <v>93453</v>
      </c>
      <c r="Q24" s="44">
        <v>194382.24</v>
      </c>
      <c r="R24" s="45">
        <v>4.1700000000000001E-2</v>
      </c>
      <c r="S24" s="46"/>
      <c r="T24" s="39">
        <f t="shared" si="0"/>
        <v>45</v>
      </c>
      <c r="U24" s="47">
        <f t="shared" si="1"/>
        <v>1.4154280692845553</v>
      </c>
      <c r="V24" s="48">
        <f t="shared" si="2"/>
        <v>0.81</v>
      </c>
      <c r="W24" s="49">
        <f t="shared" si="3"/>
        <v>3.1453957095212343E-2</v>
      </c>
      <c r="X24" s="44">
        <f t="shared" si="4"/>
        <v>5657.9349714306627</v>
      </c>
      <c r="Y24" s="44">
        <f t="shared" si="5"/>
        <v>100929.23999999999</v>
      </c>
      <c r="Z24" s="44">
        <f t="shared" si="6"/>
        <v>82044.167960667095</v>
      </c>
      <c r="AA24" s="50">
        <f t="shared" si="7"/>
        <v>200040.17497143065</v>
      </c>
      <c r="AB24" s="51">
        <f t="shared" si="8"/>
        <v>76820.38198564334</v>
      </c>
      <c r="AC24" s="44">
        <f t="shared" si="9"/>
        <v>187303.53461744441</v>
      </c>
      <c r="AD24" s="44">
        <f t="shared" si="10"/>
        <v>72453.780511802208</v>
      </c>
      <c r="AE24" s="44">
        <f t="shared" si="18"/>
        <v>0</v>
      </c>
      <c r="AF24" s="52">
        <f>HLOOKUP(I24,GasAvoidedCostsWOCC!$A$5:$G$50,G24+1,FALSE)</f>
        <v>26.281560892700742</v>
      </c>
      <c r="AG24" s="44">
        <f t="shared" si="11"/>
        <v>219083.29134141616</v>
      </c>
      <c r="AH24" s="52">
        <f>HLOOKUP(I24,GasAvoidedCostsWOCC!$A$5:$Q$50,T24+1,FALSE)</f>
        <v>26.281560892700742</v>
      </c>
      <c r="AI24" s="44">
        <f t="shared" si="12"/>
        <v>0</v>
      </c>
      <c r="AJ24" s="44">
        <f t="shared" si="13"/>
        <v>219083.29134141616</v>
      </c>
      <c r="AK24" s="44">
        <f>HLOOKUP(I24,GasAvoidedCostsWOCC!$A$5:$Q$50,G24+1,FALSE)*J24*L24</f>
        <v>0</v>
      </c>
      <c r="AL24" s="44">
        <f t="shared" si="14"/>
        <v>219083.29134141616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219083.29134141616</v>
      </c>
      <c r="AN24" s="48">
        <f t="shared" si="15"/>
        <v>313445.40098736004</v>
      </c>
      <c r="AO24" s="47">
        <f t="shared" si="16"/>
        <v>2.8518901582962681</v>
      </c>
      <c r="AP24" s="47">
        <f t="shared" si="17"/>
        <v>1.6734622847750973</v>
      </c>
    </row>
    <row r="25" spans="1:42" ht="13.5" customHeight="1" x14ac:dyDescent="0.35">
      <c r="B25" s="97" t="s">
        <v>33</v>
      </c>
      <c r="C25" s="98">
        <v>18230637</v>
      </c>
      <c r="D25" s="61" t="s">
        <v>78</v>
      </c>
      <c r="E25" s="38" t="s">
        <v>812</v>
      </c>
      <c r="F25" s="39" t="s">
        <v>813</v>
      </c>
      <c r="G25" s="39">
        <v>25</v>
      </c>
      <c r="H25" s="39"/>
      <c r="I25" s="40" t="s">
        <v>274</v>
      </c>
      <c r="J25" s="41">
        <v>712.22</v>
      </c>
      <c r="K25" s="41">
        <v>0.32950000000000002</v>
      </c>
      <c r="L25" s="41"/>
      <c r="M25" s="42">
        <v>200</v>
      </c>
      <c r="N25" s="42">
        <v>18.53</v>
      </c>
      <c r="O25" s="43">
        <v>234.66</v>
      </c>
      <c r="P25" s="44">
        <v>9200</v>
      </c>
      <c r="Q25" s="44">
        <v>13197.43</v>
      </c>
      <c r="R25" s="45">
        <v>0</v>
      </c>
      <c r="S25" s="46"/>
      <c r="T25" s="39">
        <f t="shared" ref="T25:T82" si="19">G25+H25</f>
        <v>25</v>
      </c>
      <c r="U25" s="47">
        <f t="shared" ref="U25:U82" si="20">(O25/$A$10)*T25</f>
        <v>2.2135767018759887E-2</v>
      </c>
      <c r="V25" s="48">
        <f t="shared" ref="V25:V82" si="21">N25-M25</f>
        <v>-181.47</v>
      </c>
      <c r="W25" s="49">
        <f t="shared" ref="W25:W82" si="22">(O25/A$10)</f>
        <v>8.8543068075039549E-4</v>
      </c>
      <c r="X25" s="44">
        <f t="shared" ref="X25:X82" si="23">W25*A$8</f>
        <v>159.27119116462001</v>
      </c>
      <c r="Y25" s="44">
        <f t="shared" ref="Y25:Y82" si="24">Q25-P25</f>
        <v>3997.4300000000003</v>
      </c>
      <c r="Z25" s="44">
        <f t="shared" ref="Z25:Z82" si="25">X25+(A$6*W25)</f>
        <v>2309.5479932498092</v>
      </c>
      <c r="AA25" s="50">
        <f t="shared" ref="AA25:AA82" si="26">Q25+X25</f>
        <v>13356.70119116462</v>
      </c>
      <c r="AB25" s="51">
        <f t="shared" ref="AB25:AB82" si="27">Z25/(1+GasDiscountRate)^1</f>
        <v>2162.4981210204205</v>
      </c>
      <c r="AC25" s="44">
        <f t="shared" ref="AC25:AC82" si="28">AA25/(1+GasDiscountRate)^1</f>
        <v>12506.274523562379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>
        <f>HLOOKUP(I25,GasAvoidedCostsWOCC!$A$5:$G$50,G25+1,FALSE)</f>
        <v>16.143326773708047</v>
      </c>
      <c r="AG25" s="44">
        <f t="shared" ref="AG25:AG82" si="31">AF25*J25*K25</f>
        <v>3788.459264176829</v>
      </c>
      <c r="AH25" s="52">
        <f>HLOOKUP(I25,GasAvoidedCostsWOCC!$A$5:$Q$50,T25+1,FALSE)</f>
        <v>16.143326773708047</v>
      </c>
      <c r="AI25" s="44">
        <f t="shared" ref="AI25:AI82" si="32">AH25*J25*L25</f>
        <v>0</v>
      </c>
      <c r="AJ25" s="44">
        <f t="shared" ref="AJ25:AJ82" si="33">AG25+AI25</f>
        <v>3788.459264176829</v>
      </c>
      <c r="AK25" s="44">
        <f>HLOOKUP(I25,GasAvoidedCostsWOCC!$A$5:$Q$50,G25+1,FALSE)*J25*L25</f>
        <v>0</v>
      </c>
      <c r="AL25" s="44">
        <f t="shared" ref="AL25:AL82" si="34">AG25+AI25-AK25</f>
        <v>3788.459264176829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3788.4592641768295</v>
      </c>
      <c r="AN25" s="48">
        <f t="shared" ref="AN25:AN82" si="35">AM25*1.1+AD25+AE25</f>
        <v>4167.3051905945131</v>
      </c>
      <c r="AO25" s="47">
        <f t="shared" ref="AO25:AO82" si="36">IFERROR(AM25/AB25,0)</f>
        <v>1.7518901992798794</v>
      </c>
      <c r="AP25" s="47">
        <f t="shared" ref="AP25:AP82" si="37">AN25/AC25</f>
        <v>0.33321715293736148</v>
      </c>
    </row>
    <row r="26" spans="1:42" ht="13.5" customHeight="1" x14ac:dyDescent="0.35">
      <c r="B26" s="97" t="s">
        <v>33</v>
      </c>
      <c r="C26" s="98">
        <v>18230637</v>
      </c>
      <c r="D26" s="61" t="s">
        <v>78</v>
      </c>
      <c r="E26" s="38" t="s">
        <v>817</v>
      </c>
      <c r="F26" s="39" t="s">
        <v>818</v>
      </c>
      <c r="G26" s="39"/>
      <c r="H26" s="39"/>
      <c r="I26" s="40"/>
      <c r="J26" s="41">
        <v>5</v>
      </c>
      <c r="K26" s="41">
        <v>0</v>
      </c>
      <c r="L26" s="41"/>
      <c r="M26" s="42">
        <v>250</v>
      </c>
      <c r="N26" s="42">
        <v>0</v>
      </c>
      <c r="O26" s="43">
        <v>0</v>
      </c>
      <c r="P26" s="44">
        <v>1250</v>
      </c>
      <c r="Q26" s="44">
        <v>0</v>
      </c>
      <c r="R26" s="45">
        <v>0</v>
      </c>
      <c r="S26" s="46"/>
      <c r="T26" s="39">
        <f t="shared" si="19"/>
        <v>0</v>
      </c>
      <c r="U26" s="47">
        <f t="shared" si="20"/>
        <v>0</v>
      </c>
      <c r="V26" s="48">
        <f t="shared" si="21"/>
        <v>-250</v>
      </c>
      <c r="W26" s="49">
        <f t="shared" si="22"/>
        <v>0</v>
      </c>
      <c r="X26" s="44">
        <f t="shared" si="23"/>
        <v>0</v>
      </c>
      <c r="Y26" s="44">
        <f t="shared" si="24"/>
        <v>-1250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33</v>
      </c>
      <c r="C27" s="98">
        <v>18230637</v>
      </c>
      <c r="D27" s="61" t="s">
        <v>78</v>
      </c>
      <c r="E27" s="38" t="s">
        <v>819</v>
      </c>
      <c r="F27" s="39" t="s">
        <v>818</v>
      </c>
      <c r="G27" s="39"/>
      <c r="H27" s="39"/>
      <c r="I27" s="40" t="s">
        <v>274</v>
      </c>
      <c r="J27" s="41">
        <v>163</v>
      </c>
      <c r="K27" s="41">
        <v>0</v>
      </c>
      <c r="L27" s="41"/>
      <c r="M27" s="42">
        <v>400</v>
      </c>
      <c r="N27" s="42">
        <v>0</v>
      </c>
      <c r="O27" s="43">
        <v>0</v>
      </c>
      <c r="P27" s="44">
        <v>64900</v>
      </c>
      <c r="Q27" s="44">
        <v>0</v>
      </c>
      <c r="R27" s="45">
        <v>0</v>
      </c>
      <c r="S27" s="46"/>
      <c r="T27" s="39">
        <f t="shared" si="19"/>
        <v>0</v>
      </c>
      <c r="U27" s="47">
        <f t="shared" si="20"/>
        <v>0</v>
      </c>
      <c r="V27" s="48">
        <f t="shared" si="21"/>
        <v>-400</v>
      </c>
      <c r="W27" s="49">
        <f t="shared" si="22"/>
        <v>0</v>
      </c>
      <c r="X27" s="44">
        <f t="shared" si="23"/>
        <v>0</v>
      </c>
      <c r="Y27" s="44">
        <f t="shared" si="24"/>
        <v>-64900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33</v>
      </c>
      <c r="C28" s="98">
        <v>18230637</v>
      </c>
      <c r="D28" s="61" t="s">
        <v>78</v>
      </c>
      <c r="E28" s="38" t="s">
        <v>820</v>
      </c>
      <c r="F28" s="39" t="s">
        <v>818</v>
      </c>
      <c r="G28" s="39"/>
      <c r="H28" s="39"/>
      <c r="I28" s="40" t="s">
        <v>274</v>
      </c>
      <c r="J28" s="41">
        <v>490</v>
      </c>
      <c r="K28" s="41">
        <v>0</v>
      </c>
      <c r="L28" s="41"/>
      <c r="M28" s="42">
        <v>250</v>
      </c>
      <c r="N28" s="42">
        <v>0</v>
      </c>
      <c r="O28" s="43">
        <v>0</v>
      </c>
      <c r="P28" s="44">
        <v>122500</v>
      </c>
      <c r="Q28" s="44">
        <v>0</v>
      </c>
      <c r="R28" s="45">
        <v>0</v>
      </c>
      <c r="S28" s="46"/>
      <c r="T28" s="39">
        <f t="shared" si="19"/>
        <v>0</v>
      </c>
      <c r="U28" s="47">
        <f t="shared" si="20"/>
        <v>0</v>
      </c>
      <c r="V28" s="48">
        <f t="shared" si="21"/>
        <v>-250</v>
      </c>
      <c r="W28" s="49">
        <f t="shared" si="22"/>
        <v>0</v>
      </c>
      <c r="X28" s="44">
        <f t="shared" si="23"/>
        <v>0</v>
      </c>
      <c r="Y28" s="44">
        <f t="shared" si="24"/>
        <v>-122500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str">
        <f>HLOOKUP(I28,GasAvoidedCostsWOCC!$A$5:$G$50,G28+1,FALSE)</f>
        <v>SF Space Heat</v>
      </c>
      <c r="AG28" s="44" t="e">
        <f t="shared" si="31"/>
        <v>#VALUE!</v>
      </c>
      <c r="AH28" s="52" t="str">
        <f>HLOOKUP(I28,GasAvoidedCostsWOCC!$A$5:$Q$50,T28+1,FALSE)</f>
        <v>SF Space Heat</v>
      </c>
      <c r="AI28" s="44" t="e">
        <f t="shared" si="32"/>
        <v>#VALUE!</v>
      </c>
      <c r="AJ28" s="44" t="e">
        <f t="shared" si="33"/>
        <v>#VALUE!</v>
      </c>
      <c r="AK28" s="44" t="e">
        <f>HLOOKUP(I28,GasAvoidedCostsWOCC!$A$5:$Q$50,G28+1,FALSE)*J28*L28</f>
        <v>#VALUE!</v>
      </c>
      <c r="AL28" s="44" t="e">
        <f t="shared" si="34"/>
        <v>#VALUE!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33</v>
      </c>
      <c r="C29" s="98">
        <v>18230637</v>
      </c>
      <c r="D29" s="61" t="s">
        <v>78</v>
      </c>
      <c r="E29" s="38" t="s">
        <v>825</v>
      </c>
      <c r="F29" s="39" t="s">
        <v>826</v>
      </c>
      <c r="G29" s="39"/>
      <c r="H29" s="39"/>
      <c r="I29" s="40"/>
      <c r="J29" s="41">
        <v>1</v>
      </c>
      <c r="K29" s="41">
        <v>0</v>
      </c>
      <c r="L29" s="41"/>
      <c r="M29" s="42">
        <v>400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/>
      <c r="T29" s="39">
        <f t="shared" si="19"/>
        <v>0</v>
      </c>
      <c r="U29" s="47">
        <f t="shared" si="20"/>
        <v>0</v>
      </c>
      <c r="V29" s="48">
        <f t="shared" si="21"/>
        <v>-400</v>
      </c>
      <c r="W29" s="49">
        <f t="shared" si="22"/>
        <v>0</v>
      </c>
      <c r="X29" s="44">
        <f t="shared" si="23"/>
        <v>0</v>
      </c>
      <c r="Y29" s="44">
        <f t="shared" si="24"/>
        <v>-400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33</v>
      </c>
      <c r="C30" s="98">
        <v>18230637</v>
      </c>
      <c r="D30" s="61" t="s">
        <v>78</v>
      </c>
      <c r="E30" s="38" t="s">
        <v>827</v>
      </c>
      <c r="F30" s="39" t="s">
        <v>826</v>
      </c>
      <c r="G30" s="39"/>
      <c r="H30" s="39"/>
      <c r="I30" s="40" t="s">
        <v>274</v>
      </c>
      <c r="J30" s="41">
        <v>52</v>
      </c>
      <c r="K30" s="41">
        <v>0</v>
      </c>
      <c r="L30" s="41"/>
      <c r="M30" s="42">
        <v>600</v>
      </c>
      <c r="N30" s="42">
        <v>0</v>
      </c>
      <c r="O30" s="43">
        <v>0</v>
      </c>
      <c r="P30" s="44">
        <v>31200</v>
      </c>
      <c r="Q30" s="44">
        <v>0</v>
      </c>
      <c r="R30" s="45">
        <v>0</v>
      </c>
      <c r="S30" s="46"/>
      <c r="T30" s="39">
        <f t="shared" si="19"/>
        <v>0</v>
      </c>
      <c r="U30" s="47">
        <f t="shared" si="20"/>
        <v>0</v>
      </c>
      <c r="V30" s="48">
        <f t="shared" si="21"/>
        <v>-600</v>
      </c>
      <c r="W30" s="49">
        <f t="shared" si="22"/>
        <v>0</v>
      </c>
      <c r="X30" s="44">
        <f t="shared" si="23"/>
        <v>0</v>
      </c>
      <c r="Y30" s="44">
        <f t="shared" si="24"/>
        <v>-31200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str">
        <f>HLOOKUP(I30,GasAvoidedCostsWOCC!$A$5:$G$50,G30+1,FALSE)</f>
        <v>SF Space Heat</v>
      </c>
      <c r="AG30" s="44" t="e">
        <f t="shared" si="31"/>
        <v>#VALUE!</v>
      </c>
      <c r="AH30" s="52" t="str">
        <f>HLOOKUP(I30,GasAvoidedCostsWOCC!$A$5:$Q$50,T30+1,FALSE)</f>
        <v>SF Space Heat</v>
      </c>
      <c r="AI30" s="44" t="e">
        <f t="shared" si="32"/>
        <v>#VALUE!</v>
      </c>
      <c r="AJ30" s="44" t="e">
        <f t="shared" si="33"/>
        <v>#VALUE!</v>
      </c>
      <c r="AK30" s="44" t="e">
        <f>HLOOKUP(I30,GasAvoidedCostsWOCC!$A$5:$Q$50,G30+1,FALSE)*J30*L30</f>
        <v>#VALUE!</v>
      </c>
      <c r="AL30" s="44" t="e">
        <f t="shared" si="34"/>
        <v>#VALUE!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97" t="s">
        <v>33</v>
      </c>
      <c r="C31" s="98">
        <v>18230637</v>
      </c>
      <c r="D31" s="61" t="s">
        <v>78</v>
      </c>
      <c r="E31" s="38" t="s">
        <v>828</v>
      </c>
      <c r="F31" s="39" t="s">
        <v>826</v>
      </c>
      <c r="G31" s="39"/>
      <c r="H31" s="39"/>
      <c r="I31" s="40" t="s">
        <v>274</v>
      </c>
      <c r="J31" s="41">
        <v>121</v>
      </c>
      <c r="K31" s="41">
        <v>0</v>
      </c>
      <c r="L31" s="41"/>
      <c r="M31" s="42">
        <v>400</v>
      </c>
      <c r="N31" s="42">
        <v>0</v>
      </c>
      <c r="O31" s="43">
        <v>0</v>
      </c>
      <c r="P31" s="44">
        <v>48400</v>
      </c>
      <c r="Q31" s="44">
        <v>0</v>
      </c>
      <c r="R31" s="45">
        <v>0</v>
      </c>
      <c r="S31" s="46"/>
      <c r="T31" s="39">
        <f t="shared" si="19"/>
        <v>0</v>
      </c>
      <c r="U31" s="47">
        <f t="shared" si="20"/>
        <v>0</v>
      </c>
      <c r="V31" s="48">
        <f t="shared" si="21"/>
        <v>-400</v>
      </c>
      <c r="W31" s="49">
        <f t="shared" si="22"/>
        <v>0</v>
      </c>
      <c r="X31" s="44">
        <f t="shared" si="23"/>
        <v>0</v>
      </c>
      <c r="Y31" s="44">
        <f t="shared" si="24"/>
        <v>-48400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str">
        <f>HLOOKUP(I31,GasAvoidedCostsWOCC!$A$5:$G$50,G31+1,FALSE)</f>
        <v>SF Space Heat</v>
      </c>
      <c r="AG31" s="44" t="e">
        <f t="shared" si="31"/>
        <v>#VALUE!</v>
      </c>
      <c r="AH31" s="52" t="str">
        <f>HLOOKUP(I31,GasAvoidedCostsWOCC!$A$5:$Q$50,T31+1,FALSE)</f>
        <v>SF Space Heat</v>
      </c>
      <c r="AI31" s="44" t="e">
        <f t="shared" si="32"/>
        <v>#VALUE!</v>
      </c>
      <c r="AJ31" s="44" t="e">
        <f t="shared" si="33"/>
        <v>#VALUE!</v>
      </c>
      <c r="AK31" s="44" t="e">
        <f>HLOOKUP(I31,GasAvoidedCostsWOCC!$A$5:$Q$50,G31+1,FALSE)*J31*L31</f>
        <v>#VALUE!</v>
      </c>
      <c r="AL31" s="44" t="e">
        <f t="shared" si="34"/>
        <v>#VALUE!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33</v>
      </c>
      <c r="C32" s="98">
        <v>18230637</v>
      </c>
      <c r="D32" s="61" t="s">
        <v>78</v>
      </c>
      <c r="E32" s="38" t="s">
        <v>831</v>
      </c>
      <c r="F32" s="39" t="s">
        <v>832</v>
      </c>
      <c r="G32" s="39">
        <v>45</v>
      </c>
      <c r="H32" s="39"/>
      <c r="I32" s="40" t="s">
        <v>274</v>
      </c>
      <c r="J32" s="41">
        <v>1709</v>
      </c>
      <c r="K32" s="41">
        <v>0.1</v>
      </c>
      <c r="L32" s="41"/>
      <c r="M32" s="42">
        <v>1</v>
      </c>
      <c r="N32" s="42">
        <v>1.24</v>
      </c>
      <c r="O32" s="43">
        <v>170.9</v>
      </c>
      <c r="P32" s="44">
        <v>1709</v>
      </c>
      <c r="Q32" s="44">
        <v>2119.16</v>
      </c>
      <c r="R32" s="45">
        <v>0</v>
      </c>
      <c r="S32" s="46"/>
      <c r="T32" s="39">
        <f t="shared" si="19"/>
        <v>45</v>
      </c>
      <c r="U32" s="47">
        <f t="shared" si="20"/>
        <v>2.9018173742056241E-2</v>
      </c>
      <c r="V32" s="48">
        <f t="shared" si="21"/>
        <v>0.24</v>
      </c>
      <c r="W32" s="49">
        <f t="shared" si="22"/>
        <v>6.4484830537902757E-4</v>
      </c>
      <c r="X32" s="44">
        <f t="shared" si="23"/>
        <v>115.99525513523209</v>
      </c>
      <c r="Y32" s="44">
        <f t="shared" si="24"/>
        <v>410.15999999999985</v>
      </c>
      <c r="Z32" s="44">
        <f t="shared" si="25"/>
        <v>1682.0154779101356</v>
      </c>
      <c r="AA32" s="50">
        <f t="shared" si="26"/>
        <v>2235.155255135232</v>
      </c>
      <c r="AB32" s="51">
        <f t="shared" si="27"/>
        <v>1574.920859466419</v>
      </c>
      <c r="AC32" s="44">
        <f t="shared" si="28"/>
        <v>2092.841999190292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26.281560892700742</v>
      </c>
      <c r="AG32" s="44">
        <f t="shared" si="31"/>
        <v>4491.5187565625574</v>
      </c>
      <c r="AH32" s="52">
        <f>HLOOKUP(I32,GasAvoidedCostsWOCC!$A$5:$Q$50,T32+1,FALSE)</f>
        <v>26.281560892700742</v>
      </c>
      <c r="AI32" s="44">
        <f t="shared" si="32"/>
        <v>0</v>
      </c>
      <c r="AJ32" s="44">
        <f t="shared" si="33"/>
        <v>4491.5187565625574</v>
      </c>
      <c r="AK32" s="44">
        <f>HLOOKUP(I32,GasAvoidedCostsWOCC!$A$5:$Q$50,G32+1,FALSE)*J32*L32</f>
        <v>0</v>
      </c>
      <c r="AL32" s="44">
        <f t="shared" si="34"/>
        <v>4491.5187565625574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4491.5187565625574</v>
      </c>
      <c r="AN32" s="48">
        <f t="shared" si="35"/>
        <v>4940.6706322188138</v>
      </c>
      <c r="AO32" s="47">
        <f t="shared" si="36"/>
        <v>2.8519012428880255</v>
      </c>
      <c r="AP32" s="47">
        <f t="shared" si="37"/>
        <v>2.3607470770035817</v>
      </c>
    </row>
    <row r="33" spans="2:42" x14ac:dyDescent="0.35">
      <c r="B33" s="97" t="s">
        <v>33</v>
      </c>
      <c r="C33" s="98">
        <v>18230637</v>
      </c>
      <c r="D33" s="61" t="s">
        <v>78</v>
      </c>
      <c r="E33" s="38" t="s">
        <v>833</v>
      </c>
      <c r="F33" s="39" t="s">
        <v>832</v>
      </c>
      <c r="G33" s="39">
        <v>45</v>
      </c>
      <c r="H33" s="39"/>
      <c r="I33" s="40" t="s">
        <v>274</v>
      </c>
      <c r="J33" s="41">
        <v>1100</v>
      </c>
      <c r="K33" s="41">
        <v>9.2399999999999996E-2</v>
      </c>
      <c r="L33" s="41"/>
      <c r="M33" s="42">
        <v>1</v>
      </c>
      <c r="N33" s="42">
        <v>1.49</v>
      </c>
      <c r="O33" s="43">
        <v>101.64</v>
      </c>
      <c r="P33" s="44">
        <v>1200</v>
      </c>
      <c r="Q33" s="44">
        <v>1639</v>
      </c>
      <c r="R33" s="45">
        <v>0</v>
      </c>
      <c r="S33" s="46"/>
      <c r="T33" s="39">
        <f t="shared" si="19"/>
        <v>45</v>
      </c>
      <c r="U33" s="47">
        <f t="shared" si="20"/>
        <v>1.7258087648581603E-2</v>
      </c>
      <c r="V33" s="48">
        <f t="shared" si="21"/>
        <v>0.49</v>
      </c>
      <c r="W33" s="49">
        <f t="shared" si="22"/>
        <v>3.8351305885736894E-4</v>
      </c>
      <c r="X33" s="44">
        <f t="shared" si="23"/>
        <v>68.986294511088289</v>
      </c>
      <c r="Y33" s="44">
        <f t="shared" si="24"/>
        <v>439</v>
      </c>
      <c r="Z33" s="44">
        <f t="shared" si="25"/>
        <v>1000.3513936500068</v>
      </c>
      <c r="AA33" s="50">
        <f t="shared" si="26"/>
        <v>1707.9862945110883</v>
      </c>
      <c r="AB33" s="51">
        <f t="shared" si="27"/>
        <v>936.65860828652319</v>
      </c>
      <c r="AC33" s="44">
        <f t="shared" si="28"/>
        <v>1599.2381034748016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26.281560892700742</v>
      </c>
      <c r="AG33" s="44">
        <f t="shared" si="31"/>
        <v>2671.2578491341033</v>
      </c>
      <c r="AH33" s="52">
        <f>HLOOKUP(I33,GasAvoidedCostsWOCC!$A$5:$Q$50,T33+1,FALSE)</f>
        <v>26.281560892700742</v>
      </c>
      <c r="AI33" s="44">
        <f t="shared" si="32"/>
        <v>0</v>
      </c>
      <c r="AJ33" s="44">
        <f t="shared" si="33"/>
        <v>2671.2578491341033</v>
      </c>
      <c r="AK33" s="44">
        <f>HLOOKUP(I33,GasAvoidedCostsWOCC!$A$5:$Q$50,G33+1,FALSE)*J33*L33</f>
        <v>0</v>
      </c>
      <c r="AL33" s="44">
        <f t="shared" si="34"/>
        <v>2671.2578491341033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2671.2578491341033</v>
      </c>
      <c r="AN33" s="48">
        <f t="shared" si="35"/>
        <v>2938.3836340475136</v>
      </c>
      <c r="AO33" s="47">
        <f t="shared" si="36"/>
        <v>2.851901242888025</v>
      </c>
      <c r="AP33" s="47">
        <f t="shared" si="37"/>
        <v>1.8373646973912363</v>
      </c>
    </row>
    <row r="34" spans="2:42" x14ac:dyDescent="0.35">
      <c r="B34" s="97" t="s">
        <v>33</v>
      </c>
      <c r="C34" s="98">
        <v>18230637</v>
      </c>
      <c r="D34" s="61" t="s">
        <v>78</v>
      </c>
      <c r="E34" s="38" t="s">
        <v>834</v>
      </c>
      <c r="F34" s="39" t="s">
        <v>832</v>
      </c>
      <c r="G34" s="39">
        <v>45</v>
      </c>
      <c r="H34" s="39"/>
      <c r="I34" s="40" t="s">
        <v>274</v>
      </c>
      <c r="J34" s="41">
        <v>17609</v>
      </c>
      <c r="K34" s="41">
        <v>9.2399999999999996E-2</v>
      </c>
      <c r="L34" s="41"/>
      <c r="M34" s="42">
        <v>1</v>
      </c>
      <c r="N34" s="42">
        <v>1.49</v>
      </c>
      <c r="O34" s="43">
        <v>1627.08</v>
      </c>
      <c r="P34" s="44">
        <v>17609</v>
      </c>
      <c r="Q34" s="44">
        <v>26237.41</v>
      </c>
      <c r="R34" s="45">
        <v>0</v>
      </c>
      <c r="S34" s="46"/>
      <c r="T34" s="39">
        <f t="shared" si="19"/>
        <v>45</v>
      </c>
      <c r="U34" s="47">
        <f t="shared" si="20"/>
        <v>0.27627203120084765</v>
      </c>
      <c r="V34" s="48">
        <f t="shared" si="21"/>
        <v>0.49</v>
      </c>
      <c r="W34" s="49">
        <f t="shared" si="22"/>
        <v>6.1393784711299476E-3</v>
      </c>
      <c r="X34" s="44">
        <f t="shared" si="23"/>
        <v>1104.3508468427935</v>
      </c>
      <c r="Y34" s="44">
        <f t="shared" si="24"/>
        <v>8628.41</v>
      </c>
      <c r="Z34" s="44">
        <f t="shared" si="25"/>
        <v>16013.889665289777</v>
      </c>
      <c r="AA34" s="50">
        <f t="shared" si="26"/>
        <v>27341.760846842793</v>
      </c>
      <c r="AB34" s="51">
        <f t="shared" si="27"/>
        <v>14994.278712818143</v>
      </c>
      <c r="AC34" s="44">
        <f t="shared" si="28"/>
        <v>25600.899669328457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26.281560892700742</v>
      </c>
      <c r="AG34" s="44">
        <f t="shared" si="31"/>
        <v>42761.981332184027</v>
      </c>
      <c r="AH34" s="52">
        <f>HLOOKUP(I34,GasAvoidedCostsWOCC!$A$5:$Q$50,T34+1,FALSE)</f>
        <v>26.281560892700742</v>
      </c>
      <c r="AI34" s="44">
        <f t="shared" si="32"/>
        <v>0</v>
      </c>
      <c r="AJ34" s="44">
        <f t="shared" si="33"/>
        <v>42761.981332184027</v>
      </c>
      <c r="AK34" s="44">
        <f>HLOOKUP(I34,GasAvoidedCostsWOCC!$A$5:$Q$50,G34+1,FALSE)*J34*L34</f>
        <v>0</v>
      </c>
      <c r="AL34" s="44">
        <f t="shared" si="34"/>
        <v>42761.981332184027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42761.981332184019</v>
      </c>
      <c r="AN34" s="48">
        <f t="shared" si="35"/>
        <v>47038.179465402427</v>
      </c>
      <c r="AO34" s="47">
        <f t="shared" si="36"/>
        <v>2.8518865195981804</v>
      </c>
      <c r="AP34" s="47">
        <f t="shared" si="37"/>
        <v>1.8373643142610814</v>
      </c>
    </row>
    <row r="35" spans="2:42" x14ac:dyDescent="0.35">
      <c r="B35" s="97" t="s">
        <v>33</v>
      </c>
      <c r="C35" s="98">
        <v>18230637</v>
      </c>
      <c r="D35" s="61" t="s">
        <v>78</v>
      </c>
      <c r="E35" s="38" t="s">
        <v>838</v>
      </c>
      <c r="F35" s="39" t="s">
        <v>839</v>
      </c>
      <c r="G35" s="39">
        <v>45</v>
      </c>
      <c r="H35" s="39"/>
      <c r="I35" s="40" t="s">
        <v>274</v>
      </c>
      <c r="J35" s="41">
        <v>4100</v>
      </c>
      <c r="K35" s="41">
        <v>3.2099999999999997E-2</v>
      </c>
      <c r="L35" s="41"/>
      <c r="M35" s="42">
        <v>1</v>
      </c>
      <c r="N35" s="42">
        <v>1.24</v>
      </c>
      <c r="O35" s="43">
        <v>131.61000000000001</v>
      </c>
      <c r="P35" s="44">
        <v>3600</v>
      </c>
      <c r="Q35" s="44">
        <v>5084</v>
      </c>
      <c r="R35" s="45">
        <v>0</v>
      </c>
      <c r="S35" s="46"/>
      <c r="T35" s="39">
        <f t="shared" si="19"/>
        <v>45</v>
      </c>
      <c r="U35" s="47">
        <f t="shared" si="20"/>
        <v>2.2346880317097844E-2</v>
      </c>
      <c r="V35" s="48">
        <f t="shared" si="21"/>
        <v>0.24</v>
      </c>
      <c r="W35" s="49">
        <f t="shared" si="22"/>
        <v>4.9659734037995208E-4</v>
      </c>
      <c r="X35" s="44">
        <f t="shared" si="23"/>
        <v>89.327884893785225</v>
      </c>
      <c r="Y35" s="44">
        <f t="shared" si="24"/>
        <v>1484</v>
      </c>
      <c r="Z35" s="44">
        <f t="shared" si="25"/>
        <v>1295.3192337492858</v>
      </c>
      <c r="AA35" s="50">
        <f t="shared" si="26"/>
        <v>5173.3278848937853</v>
      </c>
      <c r="AB35" s="51">
        <f t="shared" si="27"/>
        <v>1212.8457244843498</v>
      </c>
      <c r="AC35" s="44">
        <f t="shared" si="28"/>
        <v>4843.9399671290121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26.281560892700742</v>
      </c>
      <c r="AG35" s="44">
        <f t="shared" si="31"/>
        <v>3458.9162290883446</v>
      </c>
      <c r="AH35" s="52">
        <f>HLOOKUP(I35,GasAvoidedCostsWOCC!$A$5:$Q$50,T35+1,FALSE)</f>
        <v>26.281560892700742</v>
      </c>
      <c r="AI35" s="44">
        <f t="shared" si="32"/>
        <v>0</v>
      </c>
      <c r="AJ35" s="44">
        <f t="shared" si="33"/>
        <v>3458.9162290883446</v>
      </c>
      <c r="AK35" s="44">
        <f>HLOOKUP(I35,GasAvoidedCostsWOCC!$A$5:$Q$50,G35+1,FALSE)*J35*L35</f>
        <v>0</v>
      </c>
      <c r="AL35" s="44">
        <f t="shared" si="34"/>
        <v>3458.9162290883446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3458.9162290883446</v>
      </c>
      <c r="AN35" s="48">
        <f t="shared" si="35"/>
        <v>3804.8078519971796</v>
      </c>
      <c r="AO35" s="47">
        <f t="shared" si="36"/>
        <v>2.851901242888025</v>
      </c>
      <c r="AP35" s="47">
        <f t="shared" si="37"/>
        <v>0.78547791215758545</v>
      </c>
    </row>
    <row r="36" spans="2:42" x14ac:dyDescent="0.35">
      <c r="B36" s="97" t="s">
        <v>33</v>
      </c>
      <c r="C36" s="98">
        <v>18230637</v>
      </c>
      <c r="D36" s="61" t="s">
        <v>78</v>
      </c>
      <c r="E36" s="38" t="s">
        <v>840</v>
      </c>
      <c r="F36" s="39" t="s">
        <v>839</v>
      </c>
      <c r="G36" s="39">
        <v>45</v>
      </c>
      <c r="H36" s="39"/>
      <c r="I36" s="40" t="s">
        <v>274</v>
      </c>
      <c r="J36" s="41">
        <v>29011</v>
      </c>
      <c r="K36" s="41">
        <v>3.2099999999999997E-2</v>
      </c>
      <c r="L36" s="41"/>
      <c r="M36" s="42">
        <v>1</v>
      </c>
      <c r="N36" s="42">
        <v>1.24</v>
      </c>
      <c r="O36" s="43">
        <v>931.26</v>
      </c>
      <c r="P36" s="44">
        <v>29011</v>
      </c>
      <c r="Q36" s="44">
        <v>35973.64</v>
      </c>
      <c r="R36" s="45">
        <v>4.8800000000000003E-2</v>
      </c>
      <c r="S36" s="46"/>
      <c r="T36" s="39">
        <f t="shared" si="19"/>
        <v>45</v>
      </c>
      <c r="U36" s="47">
        <f t="shared" si="20"/>
        <v>0.15812442644252364</v>
      </c>
      <c r="V36" s="48">
        <f t="shared" si="21"/>
        <v>0.24</v>
      </c>
      <c r="W36" s="49">
        <f t="shared" si="22"/>
        <v>3.5138761431671921E-3</v>
      </c>
      <c r="X36" s="44">
        <f t="shared" si="23"/>
        <v>632.07572438406214</v>
      </c>
      <c r="Y36" s="44">
        <f t="shared" si="24"/>
        <v>6962.6399999999994</v>
      </c>
      <c r="Z36" s="44">
        <f t="shared" si="25"/>
        <v>9165.5572496114255</v>
      </c>
      <c r="AA36" s="50">
        <f t="shared" si="26"/>
        <v>36605.715724384063</v>
      </c>
      <c r="AB36" s="51">
        <f t="shared" si="27"/>
        <v>8581.9824434563907</v>
      </c>
      <c r="AC36" s="44">
        <f t="shared" si="28"/>
        <v>34275.014723206048</v>
      </c>
      <c r="AD36" s="44">
        <f t="shared" si="29"/>
        <v>19741.290214532728</v>
      </c>
      <c r="AE36" s="44">
        <f t="shared" si="30"/>
        <v>0</v>
      </c>
      <c r="AF36" s="52">
        <f>HLOOKUP(I36,GasAvoidedCostsWOCC!$A$5:$G$50,G36+1,FALSE)</f>
        <v>26.281560892700742</v>
      </c>
      <c r="AG36" s="44">
        <f t="shared" si="31"/>
        <v>24474.785054166328</v>
      </c>
      <c r="AH36" s="52">
        <f>HLOOKUP(I36,GasAvoidedCostsWOCC!$A$5:$Q$50,T36+1,FALSE)</f>
        <v>26.281560892700742</v>
      </c>
      <c r="AI36" s="44">
        <f t="shared" si="32"/>
        <v>0</v>
      </c>
      <c r="AJ36" s="44">
        <f t="shared" si="33"/>
        <v>24474.785054166328</v>
      </c>
      <c r="AK36" s="44">
        <f>HLOOKUP(I36,GasAvoidedCostsWOCC!$A$5:$Q$50,G36+1,FALSE)*J36*L36</f>
        <v>0</v>
      </c>
      <c r="AL36" s="44">
        <f t="shared" si="34"/>
        <v>24474.785054166328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24474.785054166332</v>
      </c>
      <c r="AN36" s="48">
        <f t="shared" si="35"/>
        <v>46663.553774115695</v>
      </c>
      <c r="AO36" s="47">
        <f t="shared" si="36"/>
        <v>2.8518801122493462</v>
      </c>
      <c r="AP36" s="47">
        <f t="shared" si="37"/>
        <v>1.3614451853910345</v>
      </c>
    </row>
    <row r="37" spans="2:42" x14ac:dyDescent="0.35">
      <c r="B37" s="97" t="s">
        <v>33</v>
      </c>
      <c r="C37" s="98">
        <v>18230637</v>
      </c>
      <c r="D37" s="61" t="s">
        <v>78</v>
      </c>
      <c r="E37" s="38" t="s">
        <v>845</v>
      </c>
      <c r="F37" s="39" t="s">
        <v>846</v>
      </c>
      <c r="G37" s="39">
        <v>45</v>
      </c>
      <c r="H37" s="39"/>
      <c r="I37" s="40" t="s">
        <v>274</v>
      </c>
      <c r="J37" s="41">
        <v>3556</v>
      </c>
      <c r="K37" s="41">
        <v>3.4500000000000003E-2</v>
      </c>
      <c r="L37" s="41"/>
      <c r="M37" s="42">
        <v>0.5</v>
      </c>
      <c r="N37" s="42">
        <v>1.41</v>
      </c>
      <c r="O37" s="43">
        <v>122.69</v>
      </c>
      <c r="P37" s="44">
        <v>1200</v>
      </c>
      <c r="Q37" s="44">
        <v>5013.96</v>
      </c>
      <c r="R37" s="45">
        <v>0</v>
      </c>
      <c r="S37" s="46"/>
      <c r="T37" s="39">
        <f t="shared" si="19"/>
        <v>45</v>
      </c>
      <c r="U37" s="47">
        <f t="shared" si="20"/>
        <v>2.0832298048056641E-2</v>
      </c>
      <c r="V37" s="48">
        <f t="shared" si="21"/>
        <v>0.90999999999999992</v>
      </c>
      <c r="W37" s="49">
        <f t="shared" si="22"/>
        <v>4.6293995662348089E-4</v>
      </c>
      <c r="X37" s="44">
        <f t="shared" si="23"/>
        <v>83.273597732835711</v>
      </c>
      <c r="Y37" s="44">
        <f t="shared" si="24"/>
        <v>3813.96</v>
      </c>
      <c r="Z37" s="44">
        <f t="shared" si="25"/>
        <v>1207.5276710637479</v>
      </c>
      <c r="AA37" s="50">
        <f t="shared" si="26"/>
        <v>5097.2335977328357</v>
      </c>
      <c r="AB37" s="51">
        <f t="shared" si="27"/>
        <v>1130.6438867638087</v>
      </c>
      <c r="AC37" s="44">
        <f t="shared" si="28"/>
        <v>4772.6906345813068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26.281560892700742</v>
      </c>
      <c r="AG37" s="44">
        <f t="shared" si="31"/>
        <v>3224.2744534383128</v>
      </c>
      <c r="AH37" s="52">
        <f>HLOOKUP(I37,GasAvoidedCostsWOCC!$A$5:$Q$50,T37+1,FALSE)</f>
        <v>26.281560892700742</v>
      </c>
      <c r="AI37" s="44">
        <f t="shared" si="32"/>
        <v>0</v>
      </c>
      <c r="AJ37" s="44">
        <f t="shared" si="33"/>
        <v>3224.2744534383128</v>
      </c>
      <c r="AK37" s="44">
        <f>HLOOKUP(I37,GasAvoidedCostsWOCC!$A$5:$Q$50,G37+1,FALSE)*J37*L37</f>
        <v>0</v>
      </c>
      <c r="AL37" s="44">
        <f t="shared" si="34"/>
        <v>3224.2744534383128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3224.2744534383128</v>
      </c>
      <c r="AN37" s="48">
        <f t="shared" si="35"/>
        <v>3546.7018987821443</v>
      </c>
      <c r="AO37" s="47">
        <f t="shared" si="36"/>
        <v>2.8517152847011884</v>
      </c>
      <c r="AP37" s="47">
        <f t="shared" si="37"/>
        <v>0.74312419771856542</v>
      </c>
    </row>
    <row r="38" spans="2:42" x14ac:dyDescent="0.35">
      <c r="B38" s="97" t="s">
        <v>33</v>
      </c>
      <c r="C38" s="98">
        <v>18230637</v>
      </c>
      <c r="D38" s="61" t="s">
        <v>78</v>
      </c>
      <c r="E38" s="38" t="s">
        <v>847</v>
      </c>
      <c r="F38" s="39" t="s">
        <v>846</v>
      </c>
      <c r="G38" s="39">
        <v>45</v>
      </c>
      <c r="H38" s="39"/>
      <c r="I38" s="40" t="s">
        <v>274</v>
      </c>
      <c r="J38" s="41">
        <v>24231</v>
      </c>
      <c r="K38" s="41">
        <v>3.4500000000000003E-2</v>
      </c>
      <c r="L38" s="41"/>
      <c r="M38" s="42">
        <v>1</v>
      </c>
      <c r="N38" s="42">
        <v>1.41</v>
      </c>
      <c r="O38" s="43">
        <v>835.98</v>
      </c>
      <c r="P38" s="44">
        <v>24231</v>
      </c>
      <c r="Q38" s="44">
        <v>34165.71</v>
      </c>
      <c r="R38" s="45">
        <v>3.9300000000000002E-2</v>
      </c>
      <c r="S38" s="46"/>
      <c r="T38" s="39">
        <f t="shared" si="19"/>
        <v>45</v>
      </c>
      <c r="U38" s="47">
        <f t="shared" si="20"/>
        <v>0.14194624274361717</v>
      </c>
      <c r="V38" s="48">
        <f t="shared" si="21"/>
        <v>0.40999999999999992</v>
      </c>
      <c r="W38" s="49">
        <f t="shared" si="22"/>
        <v>3.1543609498581593E-3</v>
      </c>
      <c r="X38" s="44">
        <f t="shared" si="23"/>
        <v>567.40616376800062</v>
      </c>
      <c r="Y38" s="44">
        <f t="shared" si="24"/>
        <v>9934.7099999999991</v>
      </c>
      <c r="Z38" s="44">
        <f t="shared" si="25"/>
        <v>8227.8016338403449</v>
      </c>
      <c r="AA38" s="50">
        <f t="shared" si="26"/>
        <v>34733.116163767998</v>
      </c>
      <c r="AB38" s="51">
        <f t="shared" si="27"/>
        <v>7703.9341140827191</v>
      </c>
      <c r="AC38" s="44">
        <f t="shared" si="28"/>
        <v>32521.644348097376</v>
      </c>
      <c r="AD38" s="44">
        <f t="shared" si="29"/>
        <v>13278.740995714643</v>
      </c>
      <c r="AE38" s="44">
        <f t="shared" si="30"/>
        <v>0</v>
      </c>
      <c r="AF38" s="52">
        <f>HLOOKUP(I38,GasAvoidedCostsWOCC!$A$5:$G$50,G38+1,FALSE)</f>
        <v>26.281560892700742</v>
      </c>
      <c r="AG38" s="44">
        <f t="shared" si="31"/>
        <v>21970.583318690595</v>
      </c>
      <c r="AH38" s="52">
        <f>HLOOKUP(I38,GasAvoidedCostsWOCC!$A$5:$Q$50,T38+1,FALSE)</f>
        <v>26.281560892700742</v>
      </c>
      <c r="AI38" s="44">
        <f t="shared" si="32"/>
        <v>0</v>
      </c>
      <c r="AJ38" s="44">
        <f t="shared" si="33"/>
        <v>21970.583318690595</v>
      </c>
      <c r="AK38" s="44">
        <f>HLOOKUP(I38,GasAvoidedCostsWOCC!$A$5:$Q$50,G38+1,FALSE)*J38*L38</f>
        <v>0</v>
      </c>
      <c r="AL38" s="44">
        <f t="shared" si="34"/>
        <v>21970.583318690595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21970.583318690595</v>
      </c>
      <c r="AN38" s="48">
        <f t="shared" si="35"/>
        <v>37446.382646274302</v>
      </c>
      <c r="AO38" s="47">
        <f t="shared" si="36"/>
        <v>2.851865422697291</v>
      </c>
      <c r="AP38" s="47">
        <f t="shared" si="37"/>
        <v>1.1514295601250877</v>
      </c>
    </row>
    <row r="39" spans="2:42" x14ac:dyDescent="0.35">
      <c r="B39" s="97" t="s">
        <v>33</v>
      </c>
      <c r="C39" s="98">
        <v>18230637</v>
      </c>
      <c r="D39" s="61" t="s">
        <v>78</v>
      </c>
      <c r="E39" s="38" t="s">
        <v>855</v>
      </c>
      <c r="F39" s="39" t="s">
        <v>856</v>
      </c>
      <c r="G39" s="39">
        <v>45</v>
      </c>
      <c r="H39" s="39"/>
      <c r="I39" s="40" t="s">
        <v>274</v>
      </c>
      <c r="J39" s="41">
        <v>4933</v>
      </c>
      <c r="K39" s="41">
        <v>6.6900000000000001E-2</v>
      </c>
      <c r="L39" s="41"/>
      <c r="M39" s="42">
        <v>1.5</v>
      </c>
      <c r="N39" s="42">
        <v>1.56</v>
      </c>
      <c r="O39" s="43">
        <v>330.01</v>
      </c>
      <c r="P39" s="44">
        <v>7399.5</v>
      </c>
      <c r="Q39" s="44">
        <v>7695.48</v>
      </c>
      <c r="R39" s="45">
        <v>0</v>
      </c>
      <c r="S39" s="46"/>
      <c r="T39" s="39">
        <f t="shared" si="19"/>
        <v>45</v>
      </c>
      <c r="U39" s="47">
        <f t="shared" si="20"/>
        <v>5.6034450067969449E-2</v>
      </c>
      <c r="V39" s="48">
        <f t="shared" si="21"/>
        <v>6.0000000000000053E-2</v>
      </c>
      <c r="W39" s="49">
        <f t="shared" si="22"/>
        <v>1.2452100015104323E-3</v>
      </c>
      <c r="X39" s="44">
        <f t="shared" si="23"/>
        <v>223.9882630027966</v>
      </c>
      <c r="Y39" s="44">
        <f t="shared" si="24"/>
        <v>295.97999999999956</v>
      </c>
      <c r="Z39" s="44">
        <f t="shared" si="25"/>
        <v>3247.9925562616954</v>
      </c>
      <c r="AA39" s="50">
        <f t="shared" si="26"/>
        <v>7919.4682630027964</v>
      </c>
      <c r="AB39" s="51">
        <f t="shared" si="27"/>
        <v>3041.1915320802391</v>
      </c>
      <c r="AC39" s="44">
        <f t="shared" si="28"/>
        <v>7415.2324559951276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26.281560892700742</v>
      </c>
      <c r="AG39" s="44">
        <f t="shared" si="31"/>
        <v>8673.3802782190451</v>
      </c>
      <c r="AH39" s="52">
        <f>HLOOKUP(I39,GasAvoidedCostsWOCC!$A$5:$Q$50,T39+1,FALSE)</f>
        <v>26.281560892700742</v>
      </c>
      <c r="AI39" s="44">
        <f t="shared" si="32"/>
        <v>0</v>
      </c>
      <c r="AJ39" s="44">
        <f t="shared" si="33"/>
        <v>8673.3802782190451</v>
      </c>
      <c r="AK39" s="44">
        <f>HLOOKUP(I39,GasAvoidedCostsWOCC!$A$5:$Q$50,G39+1,FALSE)*J39*L39</f>
        <v>0</v>
      </c>
      <c r="AL39" s="44">
        <f t="shared" si="34"/>
        <v>8673.3802782190451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8673.3802782190451</v>
      </c>
      <c r="AN39" s="48">
        <f t="shared" si="35"/>
        <v>9540.7183060409498</v>
      </c>
      <c r="AO39" s="47">
        <f t="shared" si="36"/>
        <v>2.8519677852339247</v>
      </c>
      <c r="AP39" s="47">
        <f t="shared" si="37"/>
        <v>1.28663779087969</v>
      </c>
    </row>
    <row r="40" spans="2:42" x14ac:dyDescent="0.35">
      <c r="B40" s="97" t="s">
        <v>33</v>
      </c>
      <c r="C40" s="98">
        <v>18230637</v>
      </c>
      <c r="D40" s="61" t="s">
        <v>78</v>
      </c>
      <c r="E40" s="38" t="s">
        <v>857</v>
      </c>
      <c r="F40" s="39" t="s">
        <v>858</v>
      </c>
      <c r="G40" s="39">
        <v>45</v>
      </c>
      <c r="H40" s="39"/>
      <c r="I40" s="40" t="s">
        <v>274</v>
      </c>
      <c r="J40" s="41">
        <v>1112.8800000000001</v>
      </c>
      <c r="K40" s="41">
        <v>0.38109999999999999</v>
      </c>
      <c r="L40" s="41"/>
      <c r="M40" s="42">
        <v>200</v>
      </c>
      <c r="N40" s="42">
        <v>22.6</v>
      </c>
      <c r="O40" s="43">
        <v>424.14</v>
      </c>
      <c r="P40" s="44">
        <v>13400</v>
      </c>
      <c r="Q40" s="44">
        <v>25151.09</v>
      </c>
      <c r="R40" s="45">
        <v>0</v>
      </c>
      <c r="S40" s="46"/>
      <c r="T40" s="39">
        <f t="shared" si="19"/>
        <v>45</v>
      </c>
      <c r="U40" s="47">
        <f t="shared" si="20"/>
        <v>7.2017368115598196E-2</v>
      </c>
      <c r="V40" s="48">
        <f t="shared" si="21"/>
        <v>-177.4</v>
      </c>
      <c r="W40" s="49">
        <f t="shared" si="22"/>
        <v>1.6003859581244044E-3</v>
      </c>
      <c r="X40" s="44">
        <f t="shared" si="23"/>
        <v>287.87728211268188</v>
      </c>
      <c r="Y40" s="44">
        <f t="shared" si="24"/>
        <v>11751.09</v>
      </c>
      <c r="Z40" s="44">
        <f t="shared" si="25"/>
        <v>4174.4297530766808</v>
      </c>
      <c r="AA40" s="50">
        <f t="shared" si="26"/>
        <v>25438.967282112681</v>
      </c>
      <c r="AB40" s="51">
        <f t="shared" si="27"/>
        <v>3908.6420908957684</v>
      </c>
      <c r="AC40" s="44">
        <f t="shared" si="28"/>
        <v>23819.257754787151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26.281560892700742</v>
      </c>
      <c r="AG40" s="44">
        <f t="shared" si="31"/>
        <v>11146.497970617042</v>
      </c>
      <c r="AH40" s="52">
        <f>HLOOKUP(I40,GasAvoidedCostsWOCC!$A$5:$Q$50,T40+1,FALSE)</f>
        <v>26.281560892700742</v>
      </c>
      <c r="AI40" s="44">
        <f t="shared" si="32"/>
        <v>0</v>
      </c>
      <c r="AJ40" s="44">
        <f t="shared" si="33"/>
        <v>11146.497970617042</v>
      </c>
      <c r="AK40" s="44">
        <f>HLOOKUP(I40,GasAvoidedCostsWOCC!$A$5:$Q$50,G40+1,FALSE)*J40*L40</f>
        <v>0</v>
      </c>
      <c r="AL40" s="44">
        <f t="shared" si="34"/>
        <v>11146.497970617042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11146.497970617042</v>
      </c>
      <c r="AN40" s="48">
        <f t="shared" si="35"/>
        <v>12261.147767678747</v>
      </c>
      <c r="AO40" s="47">
        <f t="shared" si="36"/>
        <v>2.8517571349344313</v>
      </c>
      <c r="AP40" s="47">
        <f t="shared" si="37"/>
        <v>0.51475776004038265</v>
      </c>
    </row>
    <row r="41" spans="2:42" x14ac:dyDescent="0.35">
      <c r="B41" s="97" t="s">
        <v>33</v>
      </c>
      <c r="C41" s="98">
        <v>18230637</v>
      </c>
      <c r="D41" s="61" t="s">
        <v>78</v>
      </c>
      <c r="E41" s="38" t="s">
        <v>865</v>
      </c>
      <c r="F41" s="39" t="s">
        <v>866</v>
      </c>
      <c r="G41" s="39">
        <v>20</v>
      </c>
      <c r="H41" s="39"/>
      <c r="I41" s="40" t="s">
        <v>274</v>
      </c>
      <c r="J41" s="41">
        <v>3</v>
      </c>
      <c r="K41" s="41">
        <v>75.319999999999993</v>
      </c>
      <c r="L41" s="41"/>
      <c r="M41" s="42">
        <v>800</v>
      </c>
      <c r="N41" s="42">
        <v>1000</v>
      </c>
      <c r="O41" s="43">
        <v>225.96</v>
      </c>
      <c r="P41" s="44">
        <v>1993.71</v>
      </c>
      <c r="Q41" s="44">
        <v>3000</v>
      </c>
      <c r="R41" s="45">
        <v>0</v>
      </c>
      <c r="S41" s="46"/>
      <c r="T41" s="39">
        <f t="shared" si="19"/>
        <v>20</v>
      </c>
      <c r="U41" s="47">
        <f t="shared" si="20"/>
        <v>1.705206823679872E-2</v>
      </c>
      <c r="V41" s="48">
        <f t="shared" si="21"/>
        <v>200</v>
      </c>
      <c r="W41" s="49">
        <f t="shared" si="22"/>
        <v>8.5260341183993602E-4</v>
      </c>
      <c r="X41" s="44">
        <f t="shared" si="23"/>
        <v>153.36622498746075</v>
      </c>
      <c r="Y41" s="44">
        <f t="shared" si="24"/>
        <v>1006.29</v>
      </c>
      <c r="Z41" s="44">
        <f t="shared" si="25"/>
        <v>2223.9216933210896</v>
      </c>
      <c r="AA41" s="50">
        <f t="shared" si="26"/>
        <v>3153.3662249874606</v>
      </c>
      <c r="AB41" s="51">
        <f t="shared" si="27"/>
        <v>2082.3236828849153</v>
      </c>
      <c r="AC41" s="44">
        <f t="shared" si="28"/>
        <v>2952.5900983028655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13.713759429231397</v>
      </c>
      <c r="AG41" s="44">
        <f t="shared" si="31"/>
        <v>3098.7610806291264</v>
      </c>
      <c r="AH41" s="52">
        <f>HLOOKUP(I41,GasAvoidedCostsWOCC!$A$5:$Q$50,T41+1,FALSE)</f>
        <v>13.713759429231397</v>
      </c>
      <c r="AI41" s="44">
        <f t="shared" si="32"/>
        <v>0</v>
      </c>
      <c r="AJ41" s="44">
        <f t="shared" si="33"/>
        <v>3098.7610806291264</v>
      </c>
      <c r="AK41" s="44">
        <f>HLOOKUP(I41,GasAvoidedCostsWOCC!$A$5:$Q$50,G41+1,FALSE)*J41*L41</f>
        <v>0</v>
      </c>
      <c r="AL41" s="44">
        <f t="shared" si="34"/>
        <v>3098.7610806291264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3098.7610806291259</v>
      </c>
      <c r="AN41" s="48">
        <f t="shared" si="35"/>
        <v>3408.6371886920388</v>
      </c>
      <c r="AO41" s="47">
        <f t="shared" si="36"/>
        <v>1.4881265127504131</v>
      </c>
      <c r="AP41" s="47">
        <f t="shared" si="37"/>
        <v>1.1544566212056686</v>
      </c>
    </row>
    <row r="42" spans="2:42" x14ac:dyDescent="0.35">
      <c r="B42" s="97" t="s">
        <v>33</v>
      </c>
      <c r="C42" s="98">
        <v>18230637</v>
      </c>
      <c r="D42" s="61" t="s">
        <v>78</v>
      </c>
      <c r="E42" s="38" t="s">
        <v>867</v>
      </c>
      <c r="F42" s="39" t="s">
        <v>866</v>
      </c>
      <c r="G42" s="39">
        <v>20</v>
      </c>
      <c r="H42" s="39"/>
      <c r="I42" s="40" t="s">
        <v>274</v>
      </c>
      <c r="J42" s="41">
        <v>27</v>
      </c>
      <c r="K42" s="41">
        <v>75.319999999999993</v>
      </c>
      <c r="L42" s="41"/>
      <c r="M42" s="42">
        <v>800</v>
      </c>
      <c r="N42" s="42">
        <v>1000</v>
      </c>
      <c r="O42" s="43">
        <v>2033.64</v>
      </c>
      <c r="P42" s="44">
        <v>18229</v>
      </c>
      <c r="Q42" s="44">
        <v>27000</v>
      </c>
      <c r="R42" s="45">
        <v>36.090899999999998</v>
      </c>
      <c r="S42" s="46"/>
      <c r="T42" s="39">
        <f t="shared" si="19"/>
        <v>20</v>
      </c>
      <c r="U42" s="47">
        <f t="shared" si="20"/>
        <v>0.15346861413118848</v>
      </c>
      <c r="V42" s="48">
        <f t="shared" si="21"/>
        <v>200</v>
      </c>
      <c r="W42" s="49">
        <f t="shared" si="22"/>
        <v>7.673430706559424E-3</v>
      </c>
      <c r="X42" s="44">
        <f t="shared" si="23"/>
        <v>1380.2960248871468</v>
      </c>
      <c r="Y42" s="44">
        <f t="shared" si="24"/>
        <v>8771</v>
      </c>
      <c r="Z42" s="44">
        <f t="shared" si="25"/>
        <v>20015.295239889805</v>
      </c>
      <c r="AA42" s="50">
        <f t="shared" si="26"/>
        <v>28380.296024887146</v>
      </c>
      <c r="AB42" s="51">
        <f t="shared" si="27"/>
        <v>18740.913145964238</v>
      </c>
      <c r="AC42" s="44">
        <f t="shared" si="28"/>
        <v>26573.31088472579</v>
      </c>
      <c r="AD42" s="44">
        <f t="shared" si="29"/>
        <v>10485.81966636596</v>
      </c>
      <c r="AE42" s="44">
        <f t="shared" si="30"/>
        <v>0</v>
      </c>
      <c r="AF42" s="52">
        <f>HLOOKUP(I42,GasAvoidedCostsWOCC!$A$5:$G$50,G42+1,FALSE)</f>
        <v>13.713759429231397</v>
      </c>
      <c r="AG42" s="44">
        <f t="shared" si="31"/>
        <v>27888.849725662134</v>
      </c>
      <c r="AH42" s="52">
        <f>HLOOKUP(I42,GasAvoidedCostsWOCC!$A$5:$Q$50,T42+1,FALSE)</f>
        <v>13.713759429231397</v>
      </c>
      <c r="AI42" s="44">
        <f t="shared" si="32"/>
        <v>0</v>
      </c>
      <c r="AJ42" s="44">
        <f t="shared" si="33"/>
        <v>27888.849725662134</v>
      </c>
      <c r="AK42" s="44">
        <f>HLOOKUP(I42,GasAvoidedCostsWOCC!$A$5:$Q$50,G42+1,FALSE)*J42*L42</f>
        <v>0</v>
      </c>
      <c r="AL42" s="44">
        <f t="shared" si="34"/>
        <v>27888.849725662134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27888.849725662134</v>
      </c>
      <c r="AN42" s="48">
        <f t="shared" si="35"/>
        <v>41163.554364594311</v>
      </c>
      <c r="AO42" s="47">
        <f t="shared" si="36"/>
        <v>1.4881265127504131</v>
      </c>
      <c r="AP42" s="47">
        <f t="shared" si="37"/>
        <v>1.5490562897171734</v>
      </c>
    </row>
    <row r="43" spans="2:42" x14ac:dyDescent="0.35">
      <c r="B43" s="97" t="s">
        <v>33</v>
      </c>
      <c r="C43" s="98">
        <v>18230637</v>
      </c>
      <c r="D43" s="61" t="s">
        <v>78</v>
      </c>
      <c r="E43" s="38" t="s">
        <v>874</v>
      </c>
      <c r="F43" s="39" t="s">
        <v>875</v>
      </c>
      <c r="G43" s="39">
        <v>45</v>
      </c>
      <c r="H43" s="39"/>
      <c r="I43" s="40" t="s">
        <v>274</v>
      </c>
      <c r="J43" s="41">
        <v>224553</v>
      </c>
      <c r="K43" s="41">
        <v>0.01</v>
      </c>
      <c r="L43" s="41"/>
      <c r="M43" s="42">
        <v>0.08</v>
      </c>
      <c r="N43" s="42">
        <v>0.2</v>
      </c>
      <c r="O43" s="43">
        <v>2245.5300000000002</v>
      </c>
      <c r="P43" s="44">
        <v>18740.87</v>
      </c>
      <c r="Q43" s="44">
        <v>44910.6</v>
      </c>
      <c r="R43" s="45">
        <v>0</v>
      </c>
      <c r="S43" s="46"/>
      <c r="T43" s="39">
        <f t="shared" si="19"/>
        <v>45</v>
      </c>
      <c r="U43" s="47">
        <f t="shared" si="20"/>
        <v>0.38128250253364276</v>
      </c>
      <c r="V43" s="48">
        <f t="shared" si="21"/>
        <v>0.12000000000000001</v>
      </c>
      <c r="W43" s="49">
        <f t="shared" si="22"/>
        <v>8.4729445007476166E-3</v>
      </c>
      <c r="X43" s="44">
        <f t="shared" si="23"/>
        <v>1524.1124942294775</v>
      </c>
      <c r="Y43" s="44">
        <f t="shared" si="24"/>
        <v>26169.73</v>
      </c>
      <c r="Z43" s="44">
        <f t="shared" si="25"/>
        <v>22100.738537808931</v>
      </c>
      <c r="AA43" s="50">
        <f t="shared" si="26"/>
        <v>46434.712494229476</v>
      </c>
      <c r="AB43" s="51">
        <f t="shared" si="27"/>
        <v>20693.575409933455</v>
      </c>
      <c r="AC43" s="44">
        <f t="shared" si="28"/>
        <v>43478.195219315989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26.281560892700742</v>
      </c>
      <c r="AG43" s="44">
        <f t="shared" si="31"/>
        <v>59016.033431386299</v>
      </c>
      <c r="AH43" s="52">
        <f>HLOOKUP(I43,GasAvoidedCostsWOCC!$A$5:$Q$50,T43+1,FALSE)</f>
        <v>26.281560892700742</v>
      </c>
      <c r="AI43" s="44">
        <f t="shared" si="32"/>
        <v>0</v>
      </c>
      <c r="AJ43" s="44">
        <f t="shared" si="33"/>
        <v>59016.033431386299</v>
      </c>
      <c r="AK43" s="44">
        <f>HLOOKUP(I43,GasAvoidedCostsWOCC!$A$5:$Q$50,G43+1,FALSE)*J43*L43</f>
        <v>0</v>
      </c>
      <c r="AL43" s="44">
        <f t="shared" si="34"/>
        <v>59016.033431386299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59016.033431386306</v>
      </c>
      <c r="AN43" s="48">
        <f t="shared" si="35"/>
        <v>64917.636774524944</v>
      </c>
      <c r="AO43" s="47">
        <f t="shared" si="36"/>
        <v>2.8519012428880255</v>
      </c>
      <c r="AP43" s="47">
        <f t="shared" si="37"/>
        <v>1.4931079003409067</v>
      </c>
    </row>
    <row r="44" spans="2:42" x14ac:dyDescent="0.35">
      <c r="B44" s="97" t="s">
        <v>33</v>
      </c>
      <c r="C44" s="98">
        <v>18230637</v>
      </c>
      <c r="D44" s="61" t="s">
        <v>78</v>
      </c>
      <c r="E44" s="38" t="s">
        <v>876</v>
      </c>
      <c r="F44" s="39" t="s">
        <v>875</v>
      </c>
      <c r="G44" s="39">
        <v>45</v>
      </c>
      <c r="H44" s="39"/>
      <c r="I44" s="40" t="s">
        <v>274</v>
      </c>
      <c r="J44" s="41">
        <v>631583.5</v>
      </c>
      <c r="K44" s="41">
        <v>0.01</v>
      </c>
      <c r="L44" s="41"/>
      <c r="M44" s="42">
        <v>0.1</v>
      </c>
      <c r="N44" s="42">
        <v>0.2</v>
      </c>
      <c r="O44" s="43">
        <v>6315.83</v>
      </c>
      <c r="P44" s="44">
        <v>63158.35</v>
      </c>
      <c r="Q44" s="44">
        <v>126316.7</v>
      </c>
      <c r="R44" s="45">
        <v>0</v>
      </c>
      <c r="S44" s="46"/>
      <c r="T44" s="39">
        <f t="shared" si="19"/>
        <v>45</v>
      </c>
      <c r="U44" s="47">
        <f t="shared" si="20"/>
        <v>1.0724040507038679</v>
      </c>
      <c r="V44" s="48">
        <f t="shared" si="21"/>
        <v>0.1</v>
      </c>
      <c r="W44" s="49">
        <f t="shared" si="22"/>
        <v>2.3831201126752622E-2</v>
      </c>
      <c r="X44" s="44">
        <f t="shared" si="23"/>
        <v>4286.7543138721639</v>
      </c>
      <c r="Y44" s="44">
        <f t="shared" si="24"/>
        <v>63158.35</v>
      </c>
      <c r="Z44" s="44">
        <f t="shared" si="25"/>
        <v>62161.052169977593</v>
      </c>
      <c r="AA44" s="50">
        <f t="shared" si="26"/>
        <v>130603.45431387216</v>
      </c>
      <c r="AB44" s="51">
        <f t="shared" si="27"/>
        <v>58203.232368892874</v>
      </c>
      <c r="AC44" s="44">
        <f t="shared" si="28"/>
        <v>122287.87857104135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26.281560892700742</v>
      </c>
      <c r="AG44" s="44">
        <f t="shared" si="31"/>
        <v>165990.00214075058</v>
      </c>
      <c r="AH44" s="52">
        <f>HLOOKUP(I44,GasAvoidedCostsWOCC!$A$5:$Q$50,T44+1,FALSE)</f>
        <v>26.281560892700742</v>
      </c>
      <c r="AI44" s="44">
        <f t="shared" si="32"/>
        <v>0</v>
      </c>
      <c r="AJ44" s="44">
        <f t="shared" si="33"/>
        <v>165990.00214075058</v>
      </c>
      <c r="AK44" s="44">
        <f>HLOOKUP(I44,GasAvoidedCostsWOCC!$A$5:$Q$50,G44+1,FALSE)*J44*L44</f>
        <v>0</v>
      </c>
      <c r="AL44" s="44">
        <f t="shared" si="34"/>
        <v>165990.00214075058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165990.00214075061</v>
      </c>
      <c r="AN44" s="48">
        <f t="shared" si="35"/>
        <v>182589.0023548257</v>
      </c>
      <c r="AO44" s="47">
        <f t="shared" si="36"/>
        <v>2.8519035006286892</v>
      </c>
      <c r="AP44" s="47">
        <f t="shared" si="37"/>
        <v>1.493107939138492</v>
      </c>
    </row>
    <row r="45" spans="2:42" x14ac:dyDescent="0.35">
      <c r="B45" s="37"/>
      <c r="C45" s="61"/>
      <c r="D45" s="61"/>
      <c r="E45" s="38" t="s">
        <v>877</v>
      </c>
      <c r="F45" s="39" t="s">
        <v>878</v>
      </c>
      <c r="G45" s="39">
        <v>45</v>
      </c>
      <c r="H45" s="39"/>
      <c r="I45" s="40" t="s">
        <v>274</v>
      </c>
      <c r="J45" s="41">
        <v>5200</v>
      </c>
      <c r="K45" s="41">
        <v>0.01</v>
      </c>
      <c r="L45" s="41"/>
      <c r="M45" s="42">
        <v>0.2</v>
      </c>
      <c r="N45" s="42">
        <v>0.2</v>
      </c>
      <c r="O45" s="43">
        <v>52</v>
      </c>
      <c r="P45" s="44">
        <v>765</v>
      </c>
      <c r="Q45" s="44">
        <v>1040</v>
      </c>
      <c r="R45" s="45">
        <v>0</v>
      </c>
      <c r="S45" s="46"/>
      <c r="T45" s="39">
        <f t="shared" si="19"/>
        <v>45</v>
      </c>
      <c r="U45" s="47">
        <f t="shared" si="20"/>
        <v>8.8294033621236067E-3</v>
      </c>
      <c r="V45" s="48">
        <f t="shared" si="21"/>
        <v>0</v>
      </c>
      <c r="W45" s="49">
        <f t="shared" si="22"/>
        <v>1.9620896360274682E-4</v>
      </c>
      <c r="X45" s="44">
        <f t="shared" si="23"/>
        <v>35.294050714055402</v>
      </c>
      <c r="Y45" s="44">
        <f t="shared" si="24"/>
        <v>275</v>
      </c>
      <c r="Z45" s="44">
        <f t="shared" si="25"/>
        <v>511.78937888430102</v>
      </c>
      <c r="AA45" s="50">
        <f t="shared" si="26"/>
        <v>1075.2940507140554</v>
      </c>
      <c r="AB45" s="51">
        <f t="shared" si="27"/>
        <v>479.20353828118073</v>
      </c>
      <c r="AC45" s="44">
        <f t="shared" si="28"/>
        <v>1006.8296355000518</v>
      </c>
      <c r="AD45" s="44">
        <f t="shared" si="29"/>
        <v>0</v>
      </c>
      <c r="AE45" s="44">
        <f t="shared" si="30"/>
        <v>0</v>
      </c>
      <c r="AF45" s="52">
        <f>HLOOKUP(I45,GasAvoidedCostsWOCC!$A$5:$G$50,G45+1,FALSE)</f>
        <v>26.281560892700742</v>
      </c>
      <c r="AG45" s="44">
        <f t="shared" si="31"/>
        <v>1366.6411664204386</v>
      </c>
      <c r="AH45" s="52">
        <f>HLOOKUP(I45,GasAvoidedCostsWOCC!$A$5:$Q$50,T45+1,FALSE)</f>
        <v>26.281560892700742</v>
      </c>
      <c r="AI45" s="44">
        <f t="shared" si="32"/>
        <v>0</v>
      </c>
      <c r="AJ45" s="44">
        <f t="shared" si="33"/>
        <v>1366.6411664204386</v>
      </c>
      <c r="AK45" s="44">
        <f>HLOOKUP(I45,GasAvoidedCostsWOCC!$A$5:$Q$50,G45+1,FALSE)*J45*L45</f>
        <v>0</v>
      </c>
      <c r="AL45" s="44">
        <f t="shared" si="34"/>
        <v>1366.6411664204386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1366.6411664204388</v>
      </c>
      <c r="AN45" s="48">
        <f t="shared" si="35"/>
        <v>1503.3052830624829</v>
      </c>
      <c r="AO45" s="47">
        <f t="shared" si="36"/>
        <v>2.8519012428880255</v>
      </c>
      <c r="AP45" s="47">
        <f t="shared" si="37"/>
        <v>1.4931079003409067</v>
      </c>
    </row>
    <row r="46" spans="2:42" x14ac:dyDescent="0.35">
      <c r="B46" s="37"/>
      <c r="C46" s="61"/>
      <c r="D46" s="61"/>
      <c r="E46" s="38" t="s">
        <v>879</v>
      </c>
      <c r="F46" s="39" t="s">
        <v>878</v>
      </c>
      <c r="G46" s="39">
        <v>45</v>
      </c>
      <c r="H46" s="39"/>
      <c r="I46" s="40" t="s">
        <v>274</v>
      </c>
      <c r="J46" s="41">
        <v>57424</v>
      </c>
      <c r="K46" s="41">
        <v>0.01</v>
      </c>
      <c r="L46" s="41"/>
      <c r="M46" s="42">
        <v>0.2</v>
      </c>
      <c r="N46" s="42">
        <v>0.2</v>
      </c>
      <c r="O46" s="43">
        <v>574.24</v>
      </c>
      <c r="P46" s="44">
        <v>11484.8</v>
      </c>
      <c r="Q46" s="44">
        <v>11484.8</v>
      </c>
      <c r="R46" s="45">
        <v>0</v>
      </c>
      <c r="S46" s="46"/>
      <c r="T46" s="39">
        <f t="shared" si="19"/>
        <v>45</v>
      </c>
      <c r="U46" s="47">
        <f t="shared" si="20"/>
        <v>9.7503780512804991E-2</v>
      </c>
      <c r="V46" s="48">
        <f t="shared" si="21"/>
        <v>0</v>
      </c>
      <c r="W46" s="49">
        <f t="shared" si="22"/>
        <v>2.1667506780623331E-3</v>
      </c>
      <c r="X46" s="44">
        <f t="shared" si="23"/>
        <v>389.75491696229176</v>
      </c>
      <c r="Y46" s="44">
        <f t="shared" si="24"/>
        <v>0</v>
      </c>
      <c r="Z46" s="44">
        <f t="shared" si="25"/>
        <v>5651.7294794330955</v>
      </c>
      <c r="AA46" s="50">
        <f t="shared" si="26"/>
        <v>11874.554916962292</v>
      </c>
      <c r="AB46" s="51">
        <f t="shared" si="27"/>
        <v>5291.8815350497143</v>
      </c>
      <c r="AC46" s="44">
        <f t="shared" si="28"/>
        <v>11118.497113260571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26.281560892700742</v>
      </c>
      <c r="AG46" s="44">
        <f t="shared" si="31"/>
        <v>15091.923527024475</v>
      </c>
      <c r="AH46" s="52">
        <f>HLOOKUP(I46,GasAvoidedCostsWOCC!$A$5:$Q$50,T46+1,FALSE)</f>
        <v>26.281560892700742</v>
      </c>
      <c r="AI46" s="44">
        <f t="shared" si="32"/>
        <v>0</v>
      </c>
      <c r="AJ46" s="44">
        <f t="shared" si="33"/>
        <v>15091.923527024475</v>
      </c>
      <c r="AK46" s="44">
        <f>HLOOKUP(I46,GasAvoidedCostsWOCC!$A$5:$Q$50,G46+1,FALSE)*J46*L46</f>
        <v>0</v>
      </c>
      <c r="AL46" s="44">
        <f t="shared" si="34"/>
        <v>15091.923527024475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15091.923527024475</v>
      </c>
      <c r="AN46" s="48">
        <f t="shared" si="35"/>
        <v>16601.115879726924</v>
      </c>
      <c r="AO46" s="47">
        <f t="shared" si="36"/>
        <v>2.8519012428880259</v>
      </c>
      <c r="AP46" s="47">
        <f t="shared" si="37"/>
        <v>1.4931079003409067</v>
      </c>
    </row>
    <row r="47" spans="2:42" x14ac:dyDescent="0.35">
      <c r="B47" s="37"/>
      <c r="C47" s="61"/>
      <c r="D47" s="61"/>
      <c r="E47" s="38" t="s">
        <v>886</v>
      </c>
      <c r="F47" s="39" t="s">
        <v>887</v>
      </c>
      <c r="G47" s="39">
        <v>45</v>
      </c>
      <c r="H47" s="39"/>
      <c r="I47" s="40" t="s">
        <v>274</v>
      </c>
      <c r="J47" s="41">
        <v>308913</v>
      </c>
      <c r="K47" s="41">
        <v>0.01</v>
      </c>
      <c r="L47" s="41"/>
      <c r="M47" s="42">
        <v>0.08</v>
      </c>
      <c r="N47" s="42">
        <v>0.2</v>
      </c>
      <c r="O47" s="43">
        <v>3089.13</v>
      </c>
      <c r="P47" s="44">
        <v>24634.65</v>
      </c>
      <c r="Q47" s="44">
        <v>61782.6</v>
      </c>
      <c r="R47" s="45">
        <v>0</v>
      </c>
      <c r="S47" s="46"/>
      <c r="T47" s="39">
        <f t="shared" si="19"/>
        <v>45</v>
      </c>
      <c r="U47" s="47">
        <f t="shared" si="20"/>
        <v>0.52452259246224808</v>
      </c>
      <c r="V47" s="48">
        <f t="shared" si="21"/>
        <v>0.12000000000000001</v>
      </c>
      <c r="W47" s="49">
        <f t="shared" si="22"/>
        <v>1.1656057610272179E-2</v>
      </c>
      <c r="X47" s="44">
        <f t="shared" si="23"/>
        <v>2096.6905938905766</v>
      </c>
      <c r="Y47" s="44">
        <f t="shared" si="24"/>
        <v>37147.949999999997</v>
      </c>
      <c r="Z47" s="44">
        <f t="shared" si="25"/>
        <v>30403.53699986271</v>
      </c>
      <c r="AA47" s="50">
        <f t="shared" si="26"/>
        <v>63879.290593890575</v>
      </c>
      <c r="AB47" s="51">
        <f t="shared" si="27"/>
        <v>28467.731273279689</v>
      </c>
      <c r="AC47" s="44">
        <f t="shared" si="28"/>
        <v>59812.069844466831</v>
      </c>
      <c r="AD47" s="44">
        <f t="shared" si="29"/>
        <v>0</v>
      </c>
      <c r="AE47" s="44">
        <f t="shared" si="30"/>
        <v>0</v>
      </c>
      <c r="AF47" s="52">
        <f>HLOOKUP(I47,GasAvoidedCostsWOCC!$A$5:$G$50,G47+1,FALSE)</f>
        <v>26.281560892700742</v>
      </c>
      <c r="AG47" s="44">
        <f t="shared" si="31"/>
        <v>81187.15820046865</v>
      </c>
      <c r="AH47" s="52">
        <f>HLOOKUP(I47,GasAvoidedCostsWOCC!$A$5:$Q$50,T47+1,FALSE)</f>
        <v>26.281560892700742</v>
      </c>
      <c r="AI47" s="44">
        <f t="shared" si="32"/>
        <v>0</v>
      </c>
      <c r="AJ47" s="44">
        <f t="shared" si="33"/>
        <v>81187.15820046865</v>
      </c>
      <c r="AK47" s="44">
        <f>HLOOKUP(I47,GasAvoidedCostsWOCC!$A$5:$Q$50,G47+1,FALSE)*J47*L47</f>
        <v>0</v>
      </c>
      <c r="AL47" s="44">
        <f t="shared" si="34"/>
        <v>81187.15820046865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81187.15820046865</v>
      </c>
      <c r="AN47" s="48">
        <f t="shared" si="35"/>
        <v>89305.874020515519</v>
      </c>
      <c r="AO47" s="47">
        <f t="shared" si="36"/>
        <v>2.851901242888025</v>
      </c>
      <c r="AP47" s="47">
        <f t="shared" si="37"/>
        <v>1.4931079003409065</v>
      </c>
    </row>
    <row r="48" spans="2:42" x14ac:dyDescent="0.35">
      <c r="B48" s="37"/>
      <c r="C48" s="61"/>
      <c r="D48" s="61"/>
      <c r="E48" s="38" t="s">
        <v>888</v>
      </c>
      <c r="F48" s="39" t="s">
        <v>887</v>
      </c>
      <c r="G48" s="39">
        <v>45</v>
      </c>
      <c r="H48" s="39"/>
      <c r="I48" s="40" t="s">
        <v>274</v>
      </c>
      <c r="J48" s="41">
        <v>831953</v>
      </c>
      <c r="K48" s="41">
        <v>0.01</v>
      </c>
      <c r="L48" s="41"/>
      <c r="M48" s="42">
        <v>0.1</v>
      </c>
      <c r="N48" s="42">
        <v>0.2</v>
      </c>
      <c r="O48" s="43">
        <v>8319.5300000000007</v>
      </c>
      <c r="P48" s="44">
        <v>83195.3</v>
      </c>
      <c r="Q48" s="44">
        <v>166390.6</v>
      </c>
      <c r="R48" s="45">
        <v>0</v>
      </c>
      <c r="S48" s="46"/>
      <c r="T48" s="39">
        <f t="shared" si="19"/>
        <v>45</v>
      </c>
      <c r="U48" s="47">
        <f t="shared" si="20"/>
        <v>1.412624733717081</v>
      </c>
      <c r="V48" s="48">
        <f t="shared" si="21"/>
        <v>0.1</v>
      </c>
      <c r="W48" s="49">
        <f t="shared" si="22"/>
        <v>3.1391660749268468E-2</v>
      </c>
      <c r="X48" s="44">
        <f t="shared" si="23"/>
        <v>5646.729110328949</v>
      </c>
      <c r="Y48" s="44">
        <f t="shared" si="24"/>
        <v>83195.3</v>
      </c>
      <c r="Z48" s="44">
        <f t="shared" si="25"/>
        <v>81881.674832871329</v>
      </c>
      <c r="AA48" s="50">
        <f t="shared" si="26"/>
        <v>172037.32911032895</v>
      </c>
      <c r="AB48" s="51">
        <f t="shared" si="27"/>
        <v>76668.234862239071</v>
      </c>
      <c r="AC48" s="44">
        <f t="shared" si="28"/>
        <v>161083.64148907203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26.281560892700742</v>
      </c>
      <c r="AG48" s="44">
        <f t="shared" si="31"/>
        <v>218650.2342936506</v>
      </c>
      <c r="AH48" s="52">
        <f>HLOOKUP(I48,GasAvoidedCostsWOCC!$A$5:$Q$50,T48+1,FALSE)</f>
        <v>26.281560892700742</v>
      </c>
      <c r="AI48" s="44">
        <f t="shared" si="32"/>
        <v>0</v>
      </c>
      <c r="AJ48" s="44">
        <f t="shared" si="33"/>
        <v>218650.2342936506</v>
      </c>
      <c r="AK48" s="44">
        <f>HLOOKUP(I48,GasAvoidedCostsWOCC!$A$5:$Q$50,G48+1,FALSE)*J48*L48</f>
        <v>0</v>
      </c>
      <c r="AL48" s="44">
        <f t="shared" si="34"/>
        <v>218650.2342936506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218650.23429365063</v>
      </c>
      <c r="AN48" s="48">
        <f t="shared" si="35"/>
        <v>240515.2577230157</v>
      </c>
      <c r="AO48" s="47">
        <f t="shared" si="36"/>
        <v>2.851901242888025</v>
      </c>
      <c r="AP48" s="47">
        <f t="shared" si="37"/>
        <v>1.4931079003409067</v>
      </c>
    </row>
    <row r="49" spans="2:42" x14ac:dyDescent="0.35">
      <c r="B49" s="37"/>
      <c r="C49" s="61"/>
      <c r="D49" s="61"/>
      <c r="E49" s="38" t="s">
        <v>889</v>
      </c>
      <c r="F49" s="39" t="s">
        <v>890</v>
      </c>
      <c r="G49" s="39">
        <v>45</v>
      </c>
      <c r="H49" s="39"/>
      <c r="I49" s="40" t="s">
        <v>274</v>
      </c>
      <c r="J49" s="41">
        <v>3556</v>
      </c>
      <c r="K49" s="41">
        <v>0.01</v>
      </c>
      <c r="L49" s="41"/>
      <c r="M49" s="42">
        <v>0.2</v>
      </c>
      <c r="N49" s="42">
        <v>0.2</v>
      </c>
      <c r="O49" s="43">
        <v>35.56</v>
      </c>
      <c r="P49" s="44">
        <v>453.58</v>
      </c>
      <c r="Q49" s="44">
        <v>711.2</v>
      </c>
      <c r="R49" s="45">
        <v>0</v>
      </c>
      <c r="S49" s="46"/>
      <c r="T49" s="39">
        <f t="shared" si="19"/>
        <v>45</v>
      </c>
      <c r="U49" s="47">
        <f t="shared" si="20"/>
        <v>6.0379535299445279E-3</v>
      </c>
      <c r="V49" s="48">
        <f t="shared" si="21"/>
        <v>0</v>
      </c>
      <c r="W49" s="49">
        <f t="shared" si="22"/>
        <v>1.341767451098784E-4</v>
      </c>
      <c r="X49" s="44">
        <f t="shared" si="23"/>
        <v>24.135700834457886</v>
      </c>
      <c r="Y49" s="44">
        <f t="shared" si="24"/>
        <v>257.62000000000006</v>
      </c>
      <c r="Z49" s="44">
        <f t="shared" si="25"/>
        <v>349.98519832934124</v>
      </c>
      <c r="AA49" s="50">
        <f t="shared" si="26"/>
        <v>735.33570083445795</v>
      </c>
      <c r="AB49" s="51">
        <f t="shared" si="27"/>
        <v>327.70149656305358</v>
      </c>
      <c r="AC49" s="44">
        <f t="shared" si="28"/>
        <v>688.51657381503549</v>
      </c>
      <c r="AD49" s="44">
        <f t="shared" si="29"/>
        <v>0</v>
      </c>
      <c r="AE49" s="44">
        <f t="shared" si="30"/>
        <v>0</v>
      </c>
      <c r="AF49" s="52">
        <f>HLOOKUP(I49,GasAvoidedCostsWOCC!$A$5:$G$50,G49+1,FALSE)</f>
        <v>26.281560892700742</v>
      </c>
      <c r="AG49" s="44">
        <f t="shared" si="31"/>
        <v>934.5723053444384</v>
      </c>
      <c r="AH49" s="52">
        <f>HLOOKUP(I49,GasAvoidedCostsWOCC!$A$5:$Q$50,T49+1,FALSE)</f>
        <v>26.281560892700742</v>
      </c>
      <c r="AI49" s="44">
        <f t="shared" si="32"/>
        <v>0</v>
      </c>
      <c r="AJ49" s="44">
        <f t="shared" si="33"/>
        <v>934.5723053444384</v>
      </c>
      <c r="AK49" s="44">
        <f>HLOOKUP(I49,GasAvoidedCostsWOCC!$A$5:$Q$50,G49+1,FALSE)*J49*L49</f>
        <v>0</v>
      </c>
      <c r="AL49" s="44">
        <f t="shared" si="34"/>
        <v>934.5723053444384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934.57230534443852</v>
      </c>
      <c r="AN49" s="48">
        <f t="shared" si="35"/>
        <v>1028.0295358788824</v>
      </c>
      <c r="AO49" s="47">
        <f t="shared" si="36"/>
        <v>2.8519012428880255</v>
      </c>
      <c r="AP49" s="47">
        <f t="shared" si="37"/>
        <v>1.4931079003409065</v>
      </c>
    </row>
    <row r="50" spans="2:42" x14ac:dyDescent="0.35">
      <c r="B50" s="37"/>
      <c r="C50" s="61"/>
      <c r="D50" s="61"/>
      <c r="E50" s="38" t="s">
        <v>891</v>
      </c>
      <c r="F50" s="39" t="s">
        <v>890</v>
      </c>
      <c r="G50" s="39">
        <v>45</v>
      </c>
      <c r="H50" s="39"/>
      <c r="I50" s="40" t="s">
        <v>274</v>
      </c>
      <c r="J50" s="41">
        <v>26781</v>
      </c>
      <c r="K50" s="41">
        <v>0.01</v>
      </c>
      <c r="L50" s="41"/>
      <c r="M50" s="42">
        <v>0.2</v>
      </c>
      <c r="N50" s="42">
        <v>0.2</v>
      </c>
      <c r="O50" s="43">
        <v>267.81</v>
      </c>
      <c r="P50" s="44">
        <v>5072.45</v>
      </c>
      <c r="Q50" s="44">
        <v>5356.2</v>
      </c>
      <c r="R50" s="45">
        <v>0</v>
      </c>
      <c r="S50" s="46"/>
      <c r="T50" s="39">
        <f t="shared" si="19"/>
        <v>45</v>
      </c>
      <c r="U50" s="47">
        <f t="shared" si="20"/>
        <v>4.54731252771216E-2</v>
      </c>
      <c r="V50" s="48">
        <f t="shared" si="21"/>
        <v>0</v>
      </c>
      <c r="W50" s="49">
        <f t="shared" si="22"/>
        <v>1.0105138950471466E-3</v>
      </c>
      <c r="X50" s="44">
        <f t="shared" si="23"/>
        <v>181.77114849483033</v>
      </c>
      <c r="Y50" s="44">
        <f t="shared" si="24"/>
        <v>283.75</v>
      </c>
      <c r="Z50" s="44">
        <f t="shared" si="25"/>
        <v>2635.8137222885512</v>
      </c>
      <c r="AA50" s="50">
        <f t="shared" si="26"/>
        <v>5537.9711484948302</v>
      </c>
      <c r="AB50" s="51">
        <f t="shared" si="27"/>
        <v>2467.9903766746734</v>
      </c>
      <c r="AC50" s="44">
        <f t="shared" si="28"/>
        <v>5185.3662439090167</v>
      </c>
      <c r="AD50" s="44">
        <f t="shared" si="29"/>
        <v>0</v>
      </c>
      <c r="AE50" s="44">
        <f t="shared" si="30"/>
        <v>0</v>
      </c>
      <c r="AF50" s="52">
        <f>HLOOKUP(I50,GasAvoidedCostsWOCC!$A$5:$G$50,G50+1,FALSE)</f>
        <v>26.281560892700742</v>
      </c>
      <c r="AG50" s="44">
        <f t="shared" si="31"/>
        <v>7038.4648226741856</v>
      </c>
      <c r="AH50" s="52">
        <f>HLOOKUP(I50,GasAvoidedCostsWOCC!$A$5:$Q$50,T50+1,FALSE)</f>
        <v>26.281560892700742</v>
      </c>
      <c r="AI50" s="44">
        <f t="shared" si="32"/>
        <v>0</v>
      </c>
      <c r="AJ50" s="44">
        <f t="shared" si="33"/>
        <v>7038.4648226741856</v>
      </c>
      <c r="AK50" s="44">
        <f>HLOOKUP(I50,GasAvoidedCostsWOCC!$A$5:$Q$50,G50+1,FALSE)*J50*L50</f>
        <v>0</v>
      </c>
      <c r="AL50" s="44">
        <f t="shared" si="34"/>
        <v>7038.4648226741856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7038.4648226741865</v>
      </c>
      <c r="AN50" s="48">
        <f t="shared" si="35"/>
        <v>7742.3113049416061</v>
      </c>
      <c r="AO50" s="47">
        <f t="shared" si="36"/>
        <v>2.851901242888025</v>
      </c>
      <c r="AP50" s="47">
        <f t="shared" si="37"/>
        <v>1.4931079003409067</v>
      </c>
    </row>
    <row r="51" spans="2:42" x14ac:dyDescent="0.35">
      <c r="B51" s="37"/>
      <c r="C51" s="61"/>
      <c r="D51" s="61"/>
      <c r="E51" s="38" t="s">
        <v>897</v>
      </c>
      <c r="F51" s="39" t="s">
        <v>898</v>
      </c>
      <c r="G51" s="39">
        <v>18</v>
      </c>
      <c r="H51" s="39"/>
      <c r="I51" s="40" t="s">
        <v>274</v>
      </c>
      <c r="J51" s="41">
        <v>1</v>
      </c>
      <c r="K51" s="41">
        <v>18.96</v>
      </c>
      <c r="L51" s="41"/>
      <c r="M51" s="42">
        <v>450</v>
      </c>
      <c r="N51" s="42">
        <v>549</v>
      </c>
      <c r="O51" s="43">
        <v>18.96</v>
      </c>
      <c r="P51" s="44">
        <v>390.34</v>
      </c>
      <c r="Q51" s="44">
        <v>549</v>
      </c>
      <c r="R51" s="45">
        <v>0</v>
      </c>
      <c r="S51" s="46"/>
      <c r="T51" s="39">
        <f t="shared" si="19"/>
        <v>18</v>
      </c>
      <c r="U51" s="47">
        <f t="shared" si="20"/>
        <v>1.2877345211220277E-3</v>
      </c>
      <c r="V51" s="48">
        <f t="shared" si="21"/>
        <v>99</v>
      </c>
      <c r="W51" s="49">
        <f t="shared" si="22"/>
        <v>7.1540806729001536E-5</v>
      </c>
      <c r="X51" s="44">
        <f t="shared" si="23"/>
        <v>12.868753875740202</v>
      </c>
      <c r="Y51" s="44">
        <f t="shared" si="24"/>
        <v>158.66000000000003</v>
      </c>
      <c r="Z51" s="44">
        <f t="shared" si="25"/>
        <v>186.60628122396821</v>
      </c>
      <c r="AA51" s="50">
        <f t="shared" si="26"/>
        <v>561.86875387574025</v>
      </c>
      <c r="AB51" s="51">
        <f t="shared" si="27"/>
        <v>174.72498241944589</v>
      </c>
      <c r="AC51" s="44">
        <f t="shared" si="28"/>
        <v>526.09433883496274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12.633757357366104</v>
      </c>
      <c r="AG51" s="44">
        <f t="shared" si="31"/>
        <v>239.53603949566133</v>
      </c>
      <c r="AH51" s="52">
        <f>HLOOKUP(I51,GasAvoidedCostsWOCC!$A$5:$Q$50,T51+1,FALSE)</f>
        <v>12.633757357366104</v>
      </c>
      <c r="AI51" s="44">
        <f t="shared" si="32"/>
        <v>0</v>
      </c>
      <c r="AJ51" s="44">
        <f t="shared" si="33"/>
        <v>239.53603949566133</v>
      </c>
      <c r="AK51" s="44">
        <f>HLOOKUP(I51,GasAvoidedCostsWOCC!$A$5:$Q$50,G51+1,FALSE)*J51*L51</f>
        <v>0</v>
      </c>
      <c r="AL51" s="44">
        <f t="shared" si="34"/>
        <v>239.53603949566133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239.53603949566133</v>
      </c>
      <c r="AN51" s="48">
        <f t="shared" si="35"/>
        <v>263.4896434452275</v>
      </c>
      <c r="AO51" s="47">
        <f t="shared" si="36"/>
        <v>1.3709318277144227</v>
      </c>
      <c r="AP51" s="47">
        <f t="shared" si="37"/>
        <v>0.50084105453163774</v>
      </c>
    </row>
    <row r="52" spans="2:42" x14ac:dyDescent="0.35">
      <c r="B52" s="37"/>
      <c r="C52" s="61"/>
      <c r="D52" s="61"/>
      <c r="E52" s="38" t="s">
        <v>899</v>
      </c>
      <c r="F52" s="39" t="s">
        <v>898</v>
      </c>
      <c r="G52" s="39">
        <v>18</v>
      </c>
      <c r="H52" s="39"/>
      <c r="I52" s="40" t="s">
        <v>274</v>
      </c>
      <c r="J52" s="41">
        <v>3</v>
      </c>
      <c r="K52" s="41">
        <v>18.96</v>
      </c>
      <c r="L52" s="41"/>
      <c r="M52" s="42">
        <v>450</v>
      </c>
      <c r="N52" s="42">
        <v>549</v>
      </c>
      <c r="O52" s="43">
        <v>56.88</v>
      </c>
      <c r="P52" s="44">
        <v>1350</v>
      </c>
      <c r="Q52" s="44">
        <v>1647</v>
      </c>
      <c r="R52" s="45">
        <v>35.9923</v>
      </c>
      <c r="S52" s="46"/>
      <c r="T52" s="39">
        <f t="shared" si="19"/>
        <v>18</v>
      </c>
      <c r="U52" s="47">
        <f t="shared" si="20"/>
        <v>3.8632035633660829E-3</v>
      </c>
      <c r="V52" s="48">
        <f t="shared" si="21"/>
        <v>99</v>
      </c>
      <c r="W52" s="49">
        <f t="shared" si="22"/>
        <v>2.1462242018700461E-4</v>
      </c>
      <c r="X52" s="44">
        <f t="shared" si="23"/>
        <v>38.606261627220604</v>
      </c>
      <c r="Y52" s="44">
        <f t="shared" si="24"/>
        <v>297</v>
      </c>
      <c r="Z52" s="44">
        <f t="shared" si="25"/>
        <v>559.81884367190469</v>
      </c>
      <c r="AA52" s="50">
        <f t="shared" si="26"/>
        <v>1685.6062616272206</v>
      </c>
      <c r="AB52" s="51">
        <f t="shared" si="27"/>
        <v>524.17494725833774</v>
      </c>
      <c r="AC52" s="44">
        <f t="shared" si="28"/>
        <v>1578.2830165048881</v>
      </c>
      <c r="AD52" s="44">
        <f t="shared" si="29"/>
        <v>1102.0039854535137</v>
      </c>
      <c r="AE52" s="44">
        <f t="shared" si="30"/>
        <v>0</v>
      </c>
      <c r="AF52" s="52">
        <f>HLOOKUP(I52,GasAvoidedCostsWOCC!$A$5:$G$50,G52+1,FALSE)</f>
        <v>12.633757357366104</v>
      </c>
      <c r="AG52" s="44">
        <f t="shared" si="31"/>
        <v>718.60811848698393</v>
      </c>
      <c r="AH52" s="52">
        <f>HLOOKUP(I52,GasAvoidedCostsWOCC!$A$5:$Q$50,T52+1,FALSE)</f>
        <v>12.633757357366104</v>
      </c>
      <c r="AI52" s="44">
        <f t="shared" si="32"/>
        <v>0</v>
      </c>
      <c r="AJ52" s="44">
        <f t="shared" si="33"/>
        <v>718.60811848698393</v>
      </c>
      <c r="AK52" s="44">
        <f>HLOOKUP(I52,GasAvoidedCostsWOCC!$A$5:$Q$50,G52+1,FALSE)*J52*L52</f>
        <v>0</v>
      </c>
      <c r="AL52" s="44">
        <f t="shared" si="34"/>
        <v>718.60811848698393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718.60811848698404</v>
      </c>
      <c r="AN52" s="48">
        <f t="shared" si="35"/>
        <v>1892.4729157891961</v>
      </c>
      <c r="AO52" s="47">
        <f t="shared" si="36"/>
        <v>1.3709318277144227</v>
      </c>
      <c r="AP52" s="47">
        <f t="shared" si="37"/>
        <v>1.1990706964458646</v>
      </c>
    </row>
    <row r="53" spans="2:42" x14ac:dyDescent="0.35">
      <c r="B53" s="37"/>
      <c r="C53" s="61"/>
      <c r="D53" s="61"/>
      <c r="E53" s="38" t="s">
        <v>902</v>
      </c>
      <c r="F53" s="39" t="s">
        <v>903</v>
      </c>
      <c r="G53" s="39">
        <v>45</v>
      </c>
      <c r="H53" s="39"/>
      <c r="I53" s="40" t="s">
        <v>274</v>
      </c>
      <c r="J53" s="41">
        <v>4995.3</v>
      </c>
      <c r="K53" s="41">
        <v>0.26350000000000001</v>
      </c>
      <c r="L53" s="41"/>
      <c r="M53" s="42">
        <v>100</v>
      </c>
      <c r="N53" s="42">
        <v>26.25</v>
      </c>
      <c r="O53" s="43">
        <v>1316.25</v>
      </c>
      <c r="P53" s="44">
        <v>20000</v>
      </c>
      <c r="Q53" s="44">
        <v>131126.6</v>
      </c>
      <c r="R53" s="45">
        <v>0</v>
      </c>
      <c r="S53" s="46"/>
      <c r="T53" s="39">
        <f t="shared" si="19"/>
        <v>45</v>
      </c>
      <c r="U53" s="47">
        <f t="shared" si="20"/>
        <v>0.22349427260375379</v>
      </c>
      <c r="V53" s="48">
        <f t="shared" si="21"/>
        <v>-73.75</v>
      </c>
      <c r="W53" s="49">
        <f t="shared" si="22"/>
        <v>4.9665393911945289E-3</v>
      </c>
      <c r="X53" s="44">
        <f t="shared" si="23"/>
        <v>893.38065869952743</v>
      </c>
      <c r="Y53" s="44">
        <f t="shared" si="24"/>
        <v>111126.6</v>
      </c>
      <c r="Z53" s="44">
        <f t="shared" si="25"/>
        <v>12954.668653008868</v>
      </c>
      <c r="AA53" s="50">
        <f t="shared" si="26"/>
        <v>132019.98065869953</v>
      </c>
      <c r="AB53" s="51">
        <f t="shared" si="27"/>
        <v>12129.839562742385</v>
      </c>
      <c r="AC53" s="44">
        <f t="shared" si="28"/>
        <v>123614.21409990592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26.281560892700742</v>
      </c>
      <c r="AG53" s="44">
        <f t="shared" si="31"/>
        <v>34593.408077045664</v>
      </c>
      <c r="AH53" s="52">
        <f>HLOOKUP(I53,GasAvoidedCostsWOCC!$A$5:$Q$50,T53+1,FALSE)</f>
        <v>26.281560892700742</v>
      </c>
      <c r="AI53" s="44">
        <f t="shared" si="32"/>
        <v>0</v>
      </c>
      <c r="AJ53" s="44">
        <f t="shared" si="33"/>
        <v>34593.408077045664</v>
      </c>
      <c r="AK53" s="44">
        <f>HLOOKUP(I53,GasAvoidedCostsWOCC!$A$5:$Q$50,G53+1,FALSE)*J53*L53</f>
        <v>0</v>
      </c>
      <c r="AL53" s="44">
        <f t="shared" si="34"/>
        <v>34593.408077045664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34593.408077045664</v>
      </c>
      <c r="AN53" s="48">
        <f t="shared" si="35"/>
        <v>38052.748884750232</v>
      </c>
      <c r="AO53" s="47">
        <f t="shared" si="36"/>
        <v>2.8519262681183051</v>
      </c>
      <c r="AP53" s="47">
        <f t="shared" si="37"/>
        <v>0.30783473536462175</v>
      </c>
    </row>
    <row r="54" spans="2:42" x14ac:dyDescent="0.35">
      <c r="B54" s="37"/>
      <c r="C54" s="61"/>
      <c r="D54" s="61"/>
      <c r="E54" s="38" t="s">
        <v>910</v>
      </c>
      <c r="F54" s="39" t="s">
        <v>911</v>
      </c>
      <c r="G54" s="39">
        <v>45</v>
      </c>
      <c r="H54" s="39"/>
      <c r="I54" s="40" t="s">
        <v>274</v>
      </c>
      <c r="J54" s="41">
        <v>6301.42</v>
      </c>
      <c r="K54" s="41">
        <v>0.42430000000000001</v>
      </c>
      <c r="L54" s="41"/>
      <c r="M54" s="42">
        <v>100</v>
      </c>
      <c r="N54" s="42">
        <v>26.25</v>
      </c>
      <c r="O54" s="43">
        <v>2673.71</v>
      </c>
      <c r="P54" s="44">
        <v>26700</v>
      </c>
      <c r="Q54" s="44">
        <v>165412.42000000001</v>
      </c>
      <c r="R54" s="45">
        <v>0</v>
      </c>
      <c r="S54" s="46"/>
      <c r="T54" s="39">
        <f t="shared" si="19"/>
        <v>45</v>
      </c>
      <c r="U54" s="47">
        <f t="shared" si="20"/>
        <v>0.45398584737199055</v>
      </c>
      <c r="V54" s="48">
        <f t="shared" si="21"/>
        <v>-73.75</v>
      </c>
      <c r="W54" s="49">
        <f t="shared" si="22"/>
        <v>1.0088574386044234E-2</v>
      </c>
      <c r="X54" s="44">
        <f t="shared" si="23"/>
        <v>1814.7318525899436</v>
      </c>
      <c r="Y54" s="44">
        <f t="shared" si="24"/>
        <v>138712.42000000001</v>
      </c>
      <c r="Z54" s="44">
        <f t="shared" si="25"/>
        <v>26314.930388783545</v>
      </c>
      <c r="AA54" s="50">
        <f t="shared" si="26"/>
        <v>167227.15185258994</v>
      </c>
      <c r="AB54" s="51">
        <f t="shared" si="27"/>
        <v>24639.447929572605</v>
      </c>
      <c r="AC54" s="44">
        <f t="shared" si="28"/>
        <v>156579.73019905423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26.281560892700742</v>
      </c>
      <c r="AG54" s="44">
        <f t="shared" si="31"/>
        <v>70268.812404796641</v>
      </c>
      <c r="AH54" s="52">
        <f>HLOOKUP(I54,GasAvoidedCostsWOCC!$A$5:$Q$50,T54+1,FALSE)</f>
        <v>26.281560892700742</v>
      </c>
      <c r="AI54" s="44">
        <f t="shared" si="32"/>
        <v>0</v>
      </c>
      <c r="AJ54" s="44">
        <f t="shared" si="33"/>
        <v>70268.812404796641</v>
      </c>
      <c r="AK54" s="44">
        <f>HLOOKUP(I54,GasAvoidedCostsWOCC!$A$5:$Q$50,G54+1,FALSE)*J54*L54</f>
        <v>0</v>
      </c>
      <c r="AL54" s="44">
        <f t="shared" si="34"/>
        <v>70268.812404796641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70268.812404796641</v>
      </c>
      <c r="AN54" s="48">
        <f t="shared" si="35"/>
        <v>77295.693645276318</v>
      </c>
      <c r="AO54" s="47">
        <f t="shared" si="36"/>
        <v>2.851882582988357</v>
      </c>
      <c r="AP54" s="47">
        <f t="shared" si="37"/>
        <v>0.49365070144783785</v>
      </c>
    </row>
    <row r="55" spans="2:42" x14ac:dyDescent="0.35">
      <c r="B55" s="37"/>
      <c r="C55" s="61"/>
      <c r="D55" s="61"/>
      <c r="E55" s="38" t="s">
        <v>920</v>
      </c>
      <c r="F55" s="39" t="s">
        <v>921</v>
      </c>
      <c r="G55" s="39">
        <v>20</v>
      </c>
      <c r="H55" s="39"/>
      <c r="I55" s="40" t="s">
        <v>274</v>
      </c>
      <c r="J55" s="41">
        <v>69</v>
      </c>
      <c r="K55" s="41">
        <v>75.319999999999993</v>
      </c>
      <c r="L55" s="41"/>
      <c r="M55" s="42">
        <v>600</v>
      </c>
      <c r="N55" s="42">
        <v>1000</v>
      </c>
      <c r="O55" s="43">
        <v>5197.08</v>
      </c>
      <c r="P55" s="44">
        <v>40125.269999999997</v>
      </c>
      <c r="Q55" s="44">
        <v>69000</v>
      </c>
      <c r="R55" s="45">
        <v>36.090899999999998</v>
      </c>
      <c r="S55" s="46"/>
      <c r="T55" s="39">
        <f t="shared" si="19"/>
        <v>20</v>
      </c>
      <c r="U55" s="47">
        <f t="shared" si="20"/>
        <v>0.39219756944637052</v>
      </c>
      <c r="V55" s="48">
        <f t="shared" si="21"/>
        <v>400</v>
      </c>
      <c r="W55" s="49">
        <f t="shared" si="22"/>
        <v>1.9609878472318525E-2</v>
      </c>
      <c r="X55" s="44">
        <f t="shared" si="23"/>
        <v>3527.4231747115969</v>
      </c>
      <c r="Y55" s="44">
        <f t="shared" si="24"/>
        <v>28874.730000000003</v>
      </c>
      <c r="Z55" s="44">
        <f t="shared" si="25"/>
        <v>51150.198946385055</v>
      </c>
      <c r="AA55" s="50">
        <f t="shared" si="26"/>
        <v>72527.423174711599</v>
      </c>
      <c r="AB55" s="51">
        <f t="shared" si="27"/>
        <v>47893.444706353046</v>
      </c>
      <c r="AC55" s="44">
        <f t="shared" si="28"/>
        <v>67909.572260965913</v>
      </c>
      <c r="AD55" s="44">
        <f t="shared" si="29"/>
        <v>26797.094702935228</v>
      </c>
      <c r="AE55" s="44">
        <f t="shared" si="30"/>
        <v>0</v>
      </c>
      <c r="AF55" s="52">
        <f>HLOOKUP(I55,GasAvoidedCostsWOCC!$A$5:$G$50,G55+1,FALSE)</f>
        <v>13.713759429231397</v>
      </c>
      <c r="AG55" s="44">
        <f t="shared" si="31"/>
        <v>71271.504854469895</v>
      </c>
      <c r="AH55" s="52">
        <f>HLOOKUP(I55,GasAvoidedCostsWOCC!$A$5:$Q$50,T55+1,FALSE)</f>
        <v>13.713759429231397</v>
      </c>
      <c r="AI55" s="44">
        <f t="shared" si="32"/>
        <v>0</v>
      </c>
      <c r="AJ55" s="44">
        <f t="shared" si="33"/>
        <v>71271.504854469895</v>
      </c>
      <c r="AK55" s="44">
        <f>HLOOKUP(I55,GasAvoidedCostsWOCC!$A$5:$Q$50,G55+1,FALSE)*J55*L55</f>
        <v>0</v>
      </c>
      <c r="AL55" s="44">
        <f t="shared" si="34"/>
        <v>71271.504854469895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71271.504854469895</v>
      </c>
      <c r="AN55" s="48">
        <f t="shared" si="35"/>
        <v>105195.75004285212</v>
      </c>
      <c r="AO55" s="47">
        <f t="shared" si="36"/>
        <v>1.4881265127504131</v>
      </c>
      <c r="AP55" s="47">
        <f t="shared" si="37"/>
        <v>1.5490562897171731</v>
      </c>
    </row>
    <row r="56" spans="2:42" x14ac:dyDescent="0.35">
      <c r="B56" s="37"/>
      <c r="C56" s="61"/>
      <c r="D56" s="61"/>
      <c r="E56" s="38" t="s">
        <v>922</v>
      </c>
      <c r="F56" s="39" t="s">
        <v>923</v>
      </c>
      <c r="G56" s="39">
        <v>20</v>
      </c>
      <c r="H56" s="39"/>
      <c r="I56" s="40" t="s">
        <v>274</v>
      </c>
      <c r="J56" s="41">
        <v>9</v>
      </c>
      <c r="K56" s="41">
        <v>50.81</v>
      </c>
      <c r="L56" s="41"/>
      <c r="M56" s="42">
        <v>450</v>
      </c>
      <c r="N56" s="42">
        <v>631.58000000000004</v>
      </c>
      <c r="O56" s="43">
        <v>457.29</v>
      </c>
      <c r="P56" s="44">
        <v>4050</v>
      </c>
      <c r="Q56" s="44">
        <v>5684.22</v>
      </c>
      <c r="R56" s="45">
        <v>40.396900000000002</v>
      </c>
      <c r="S56" s="46"/>
      <c r="T56" s="39">
        <f t="shared" si="19"/>
        <v>20</v>
      </c>
      <c r="U56" s="47">
        <f t="shared" si="20"/>
        <v>3.4509383448423109E-2</v>
      </c>
      <c r="V56" s="48">
        <f t="shared" si="21"/>
        <v>181.58000000000004</v>
      </c>
      <c r="W56" s="49">
        <f t="shared" si="22"/>
        <v>1.7254691724211556E-3</v>
      </c>
      <c r="X56" s="44">
        <f t="shared" si="23"/>
        <v>310.37723944289218</v>
      </c>
      <c r="Y56" s="44">
        <f t="shared" si="24"/>
        <v>1634.2200000000003</v>
      </c>
      <c r="Z56" s="44">
        <f t="shared" si="25"/>
        <v>4500.6954821154231</v>
      </c>
      <c r="AA56" s="50">
        <f t="shared" si="26"/>
        <v>5994.5972394428927</v>
      </c>
      <c r="AB56" s="51">
        <f t="shared" si="27"/>
        <v>4214.1343465500213</v>
      </c>
      <c r="AC56" s="44">
        <f t="shared" si="28"/>
        <v>5612.9187635233075</v>
      </c>
      <c r="AD56" s="44">
        <f t="shared" si="29"/>
        <v>3912.2937590012903</v>
      </c>
      <c r="AE56" s="44">
        <f t="shared" si="30"/>
        <v>0</v>
      </c>
      <c r="AF56" s="52">
        <f>HLOOKUP(I56,GasAvoidedCostsWOCC!$A$5:$G$50,G56+1,FALSE)</f>
        <v>13.713759429231397</v>
      </c>
      <c r="AG56" s="44">
        <f t="shared" si="31"/>
        <v>6271.1650493932257</v>
      </c>
      <c r="AH56" s="52">
        <f>HLOOKUP(I56,GasAvoidedCostsWOCC!$A$5:$Q$50,T56+1,FALSE)</f>
        <v>13.713759429231397</v>
      </c>
      <c r="AI56" s="44">
        <f t="shared" si="32"/>
        <v>0</v>
      </c>
      <c r="AJ56" s="44">
        <f t="shared" si="33"/>
        <v>6271.1650493932257</v>
      </c>
      <c r="AK56" s="44">
        <f>HLOOKUP(I56,GasAvoidedCostsWOCC!$A$5:$Q$50,G56+1,FALSE)*J56*L56</f>
        <v>0</v>
      </c>
      <c r="AL56" s="44">
        <f t="shared" si="34"/>
        <v>6271.1650493932257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6271.1650493932257</v>
      </c>
      <c r="AN56" s="48">
        <f t="shared" si="35"/>
        <v>10810.575313333838</v>
      </c>
      <c r="AO56" s="47">
        <f t="shared" si="36"/>
        <v>1.4881265127504135</v>
      </c>
      <c r="AP56" s="47">
        <f t="shared" si="37"/>
        <v>1.9260167069562022</v>
      </c>
    </row>
    <row r="57" spans="2:42" x14ac:dyDescent="0.35">
      <c r="B57" s="37"/>
      <c r="C57" s="61"/>
      <c r="D57" s="61"/>
      <c r="E57" s="38" t="s">
        <v>926</v>
      </c>
      <c r="F57" s="39" t="s">
        <v>927</v>
      </c>
      <c r="G57" s="39">
        <v>20</v>
      </c>
      <c r="H57" s="39"/>
      <c r="I57" s="40" t="s">
        <v>274</v>
      </c>
      <c r="J57" s="41">
        <v>11</v>
      </c>
      <c r="K57" s="41">
        <v>75.319999999999993</v>
      </c>
      <c r="L57" s="41"/>
      <c r="M57" s="42">
        <v>1200</v>
      </c>
      <c r="N57" s="42">
        <v>1000</v>
      </c>
      <c r="O57" s="43">
        <v>828.52</v>
      </c>
      <c r="P57" s="44">
        <v>8246.9500000000007</v>
      </c>
      <c r="Q57" s="44">
        <v>11000</v>
      </c>
      <c r="R57" s="45">
        <v>36.090899999999998</v>
      </c>
      <c r="S57" s="46"/>
      <c r="T57" s="39">
        <f t="shared" si="19"/>
        <v>20</v>
      </c>
      <c r="U57" s="47">
        <f t="shared" si="20"/>
        <v>6.2524250201595299E-2</v>
      </c>
      <c r="V57" s="48">
        <f t="shared" si="21"/>
        <v>-200</v>
      </c>
      <c r="W57" s="49">
        <f t="shared" si="22"/>
        <v>3.1262125100797651E-3</v>
      </c>
      <c r="X57" s="44">
        <f t="shared" si="23"/>
        <v>562.34282495402272</v>
      </c>
      <c r="Y57" s="44">
        <f t="shared" si="24"/>
        <v>2753.0499999999993</v>
      </c>
      <c r="Z57" s="44">
        <f t="shared" si="25"/>
        <v>8154.3795421773275</v>
      </c>
      <c r="AA57" s="50">
        <f t="shared" si="26"/>
        <v>11562.342824954023</v>
      </c>
      <c r="AB57" s="51">
        <f t="shared" si="27"/>
        <v>7635.1868372446879</v>
      </c>
      <c r="AC57" s="44">
        <f t="shared" si="28"/>
        <v>10826.163693777175</v>
      </c>
      <c r="AD57" s="44">
        <f t="shared" si="29"/>
        <v>4272.0006048157611</v>
      </c>
      <c r="AE57" s="44">
        <f t="shared" si="30"/>
        <v>0</v>
      </c>
      <c r="AF57" s="52">
        <f>HLOOKUP(I57,GasAvoidedCostsWOCC!$A$5:$G$50,G57+1,FALSE)</f>
        <v>13.713759429231397</v>
      </c>
      <c r="AG57" s="44">
        <f t="shared" si="31"/>
        <v>11362.123962306796</v>
      </c>
      <c r="AH57" s="52">
        <f>HLOOKUP(I57,GasAvoidedCostsWOCC!$A$5:$Q$50,T57+1,FALSE)</f>
        <v>13.713759429231397</v>
      </c>
      <c r="AI57" s="44">
        <f t="shared" si="32"/>
        <v>0</v>
      </c>
      <c r="AJ57" s="44">
        <f t="shared" si="33"/>
        <v>11362.123962306796</v>
      </c>
      <c r="AK57" s="44">
        <f>HLOOKUP(I57,GasAvoidedCostsWOCC!$A$5:$Q$50,G57+1,FALSE)*J57*L57</f>
        <v>0</v>
      </c>
      <c r="AL57" s="44">
        <f t="shared" si="34"/>
        <v>11362.123962306796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11362.123962306796</v>
      </c>
      <c r="AN57" s="48">
        <f t="shared" si="35"/>
        <v>16770.336963353238</v>
      </c>
      <c r="AO57" s="47">
        <f t="shared" si="36"/>
        <v>1.4881265127504135</v>
      </c>
      <c r="AP57" s="47">
        <f t="shared" si="37"/>
        <v>1.5490562897171734</v>
      </c>
    </row>
    <row r="58" spans="2:42" x14ac:dyDescent="0.35">
      <c r="B58" s="37"/>
      <c r="C58" s="61"/>
      <c r="D58" s="61"/>
      <c r="E58" s="38" t="s">
        <v>932</v>
      </c>
      <c r="F58" s="39" t="s">
        <v>933</v>
      </c>
      <c r="G58" s="39">
        <v>45</v>
      </c>
      <c r="H58" s="39"/>
      <c r="I58" s="40" t="s">
        <v>274</v>
      </c>
      <c r="J58" s="41">
        <v>74081</v>
      </c>
      <c r="K58" s="41">
        <v>0.01</v>
      </c>
      <c r="L58" s="41"/>
      <c r="M58" s="42">
        <v>0.15</v>
      </c>
      <c r="N58" s="42">
        <v>0.2</v>
      </c>
      <c r="O58" s="43">
        <v>740.81</v>
      </c>
      <c r="P58" s="44">
        <v>11112.15</v>
      </c>
      <c r="Q58" s="44">
        <v>14816.2</v>
      </c>
      <c r="R58" s="45">
        <v>0</v>
      </c>
      <c r="S58" s="46"/>
      <c r="T58" s="39">
        <f t="shared" si="19"/>
        <v>45</v>
      </c>
      <c r="U58" s="47">
        <f t="shared" si="20"/>
        <v>0.12578673662874593</v>
      </c>
      <c r="V58" s="48">
        <f t="shared" si="21"/>
        <v>5.0000000000000017E-2</v>
      </c>
      <c r="W58" s="49">
        <f t="shared" si="22"/>
        <v>2.7952608139721318E-3</v>
      </c>
      <c r="X58" s="44">
        <f t="shared" si="23"/>
        <v>502.81126364383425</v>
      </c>
      <c r="Y58" s="44">
        <f t="shared" si="24"/>
        <v>3704.0500000000011</v>
      </c>
      <c r="Z58" s="44">
        <f t="shared" si="25"/>
        <v>7291.1286494476726</v>
      </c>
      <c r="AA58" s="50">
        <f t="shared" si="26"/>
        <v>15319.011263643835</v>
      </c>
      <c r="AB58" s="51">
        <f t="shared" si="27"/>
        <v>6826.8994845015659</v>
      </c>
      <c r="AC58" s="44">
        <f t="shared" si="28"/>
        <v>14343.64350528449</v>
      </c>
      <c r="AD58" s="44">
        <f t="shared" si="29"/>
        <v>0</v>
      </c>
      <c r="AE58" s="44">
        <f t="shared" si="30"/>
        <v>0</v>
      </c>
      <c r="AF58" s="52">
        <f>HLOOKUP(I58,GasAvoidedCostsWOCC!$A$5:$G$50,G58+1,FALSE)</f>
        <v>26.281560892700742</v>
      </c>
      <c r="AG58" s="44">
        <f t="shared" si="31"/>
        <v>19469.643124921637</v>
      </c>
      <c r="AH58" s="52">
        <f>HLOOKUP(I58,GasAvoidedCostsWOCC!$A$5:$Q$50,T58+1,FALSE)</f>
        <v>26.281560892700742</v>
      </c>
      <c r="AI58" s="44">
        <f t="shared" si="32"/>
        <v>0</v>
      </c>
      <c r="AJ58" s="44">
        <f t="shared" si="33"/>
        <v>19469.643124921637</v>
      </c>
      <c r="AK58" s="44">
        <f>HLOOKUP(I58,GasAvoidedCostsWOCC!$A$5:$Q$50,G58+1,FALSE)*J58*L58</f>
        <v>0</v>
      </c>
      <c r="AL58" s="44">
        <f t="shared" si="34"/>
        <v>19469.643124921637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19469.64312492164</v>
      </c>
      <c r="AN58" s="48">
        <f t="shared" si="35"/>
        <v>21416.607437413804</v>
      </c>
      <c r="AO58" s="47">
        <f t="shared" si="36"/>
        <v>2.8519012428880259</v>
      </c>
      <c r="AP58" s="47">
        <f t="shared" si="37"/>
        <v>1.4931079003409065</v>
      </c>
    </row>
    <row r="59" spans="2:42" x14ac:dyDescent="0.35">
      <c r="B59" s="37"/>
      <c r="C59" s="61"/>
      <c r="D59" s="61"/>
      <c r="E59" s="38" t="s">
        <v>934</v>
      </c>
      <c r="F59" s="39" t="s">
        <v>935</v>
      </c>
      <c r="G59" s="39">
        <v>45</v>
      </c>
      <c r="H59" s="39"/>
      <c r="I59" s="40" t="s">
        <v>274</v>
      </c>
      <c r="J59" s="41">
        <v>15820</v>
      </c>
      <c r="K59" s="41">
        <v>0.01</v>
      </c>
      <c r="L59" s="41"/>
      <c r="M59" s="42">
        <v>0.3</v>
      </c>
      <c r="N59" s="42">
        <v>0.2</v>
      </c>
      <c r="O59" s="43">
        <v>158.19999999999999</v>
      </c>
      <c r="P59" s="44">
        <v>4689.5</v>
      </c>
      <c r="Q59" s="44">
        <v>3164</v>
      </c>
      <c r="R59" s="45">
        <v>0</v>
      </c>
      <c r="S59" s="46"/>
      <c r="T59" s="39">
        <f t="shared" si="19"/>
        <v>45</v>
      </c>
      <c r="U59" s="47">
        <f t="shared" si="20"/>
        <v>2.6861761767076046E-2</v>
      </c>
      <c r="V59" s="48">
        <f t="shared" si="21"/>
        <v>-9.9999999999999978E-2</v>
      </c>
      <c r="W59" s="49">
        <f t="shared" si="22"/>
        <v>5.9692803926835662E-4</v>
      </c>
      <c r="X59" s="44">
        <f t="shared" si="23"/>
        <v>107.37536198006855</v>
      </c>
      <c r="Y59" s="44">
        <f t="shared" si="24"/>
        <v>-1525.5</v>
      </c>
      <c r="Z59" s="44">
        <f t="shared" si="25"/>
        <v>1557.0207642210848</v>
      </c>
      <c r="AA59" s="50">
        <f t="shared" si="26"/>
        <v>3271.3753619800686</v>
      </c>
      <c r="AB59" s="51">
        <f t="shared" si="27"/>
        <v>1457.8846106938995</v>
      </c>
      <c r="AC59" s="44">
        <f t="shared" si="28"/>
        <v>3063.0855449251576</v>
      </c>
      <c r="AD59" s="44">
        <f t="shared" si="29"/>
        <v>0</v>
      </c>
      <c r="AE59" s="44">
        <f t="shared" si="30"/>
        <v>0</v>
      </c>
      <c r="AF59" s="52">
        <f>HLOOKUP(I59,GasAvoidedCostsWOCC!$A$5:$G$50,G59+1,FALSE)</f>
        <v>26.281560892700742</v>
      </c>
      <c r="AG59" s="44">
        <f t="shared" si="31"/>
        <v>4157.7429332252577</v>
      </c>
      <c r="AH59" s="52">
        <f>HLOOKUP(I59,GasAvoidedCostsWOCC!$A$5:$Q$50,T59+1,FALSE)</f>
        <v>26.281560892700742</v>
      </c>
      <c r="AI59" s="44">
        <f t="shared" si="32"/>
        <v>0</v>
      </c>
      <c r="AJ59" s="44">
        <f t="shared" si="33"/>
        <v>4157.7429332252577</v>
      </c>
      <c r="AK59" s="44">
        <f>HLOOKUP(I59,GasAvoidedCostsWOCC!$A$5:$Q$50,G59+1,FALSE)*J59*L59</f>
        <v>0</v>
      </c>
      <c r="AL59" s="44">
        <f t="shared" si="34"/>
        <v>4157.7429332252577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4157.7429332252577</v>
      </c>
      <c r="AN59" s="48">
        <f t="shared" si="35"/>
        <v>4573.517226547784</v>
      </c>
      <c r="AO59" s="47">
        <f t="shared" si="36"/>
        <v>2.8519012428880259</v>
      </c>
      <c r="AP59" s="47">
        <f t="shared" si="37"/>
        <v>1.4931079003409067</v>
      </c>
    </row>
    <row r="60" spans="2:42" x14ac:dyDescent="0.35">
      <c r="B60" s="37"/>
      <c r="C60" s="61"/>
      <c r="D60" s="61"/>
      <c r="E60" s="38" t="s">
        <v>940</v>
      </c>
      <c r="F60" s="39" t="s">
        <v>941</v>
      </c>
      <c r="G60" s="39">
        <v>45</v>
      </c>
      <c r="H60" s="39"/>
      <c r="I60" s="40" t="s">
        <v>274</v>
      </c>
      <c r="J60" s="41">
        <v>77340</v>
      </c>
      <c r="K60" s="41">
        <v>0.01</v>
      </c>
      <c r="L60" s="41"/>
      <c r="M60" s="42">
        <v>0.15</v>
      </c>
      <c r="N60" s="42">
        <v>0.2</v>
      </c>
      <c r="O60" s="43">
        <v>773.4</v>
      </c>
      <c r="P60" s="44">
        <v>11483.08</v>
      </c>
      <c r="Q60" s="44">
        <v>15468</v>
      </c>
      <c r="R60" s="45">
        <v>0</v>
      </c>
      <c r="S60" s="46"/>
      <c r="T60" s="39">
        <f t="shared" si="19"/>
        <v>45</v>
      </c>
      <c r="U60" s="47">
        <f t="shared" si="20"/>
        <v>0.13132039538973841</v>
      </c>
      <c r="V60" s="48">
        <f t="shared" si="21"/>
        <v>5.0000000000000017E-2</v>
      </c>
      <c r="W60" s="49">
        <f t="shared" si="22"/>
        <v>2.9182310086608536E-3</v>
      </c>
      <c r="X60" s="44">
        <f t="shared" si="23"/>
        <v>524.93113119712405</v>
      </c>
      <c r="Y60" s="44">
        <f t="shared" si="24"/>
        <v>3984.92</v>
      </c>
      <c r="Z60" s="44">
        <f t="shared" si="25"/>
        <v>7611.8828005599689</v>
      </c>
      <c r="AA60" s="50">
        <f t="shared" si="26"/>
        <v>15992.931131197123</v>
      </c>
      <c r="AB60" s="51">
        <f t="shared" si="27"/>
        <v>7127.2310866666376</v>
      </c>
      <c r="AC60" s="44">
        <f t="shared" si="28"/>
        <v>14974.654617225769</v>
      </c>
      <c r="AD60" s="44">
        <f t="shared" si="29"/>
        <v>0</v>
      </c>
      <c r="AE60" s="44">
        <f t="shared" si="30"/>
        <v>0</v>
      </c>
      <c r="AF60" s="52">
        <f>HLOOKUP(I60,GasAvoidedCostsWOCC!$A$5:$G$50,G60+1,FALSE)</f>
        <v>26.281560892700742</v>
      </c>
      <c r="AG60" s="44">
        <f t="shared" si="31"/>
        <v>20326.159194414755</v>
      </c>
      <c r="AH60" s="52">
        <f>HLOOKUP(I60,GasAvoidedCostsWOCC!$A$5:$Q$50,T60+1,FALSE)</f>
        <v>26.281560892700742</v>
      </c>
      <c r="AI60" s="44">
        <f t="shared" si="32"/>
        <v>0</v>
      </c>
      <c r="AJ60" s="44">
        <f t="shared" si="33"/>
        <v>20326.159194414755</v>
      </c>
      <c r="AK60" s="44">
        <f>HLOOKUP(I60,GasAvoidedCostsWOCC!$A$5:$Q$50,G60+1,FALSE)*J60*L60</f>
        <v>0</v>
      </c>
      <c r="AL60" s="44">
        <f t="shared" si="34"/>
        <v>20326.159194414755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20326.159194414755</v>
      </c>
      <c r="AN60" s="48">
        <f t="shared" si="35"/>
        <v>22358.775113856231</v>
      </c>
      <c r="AO60" s="47">
        <f t="shared" si="36"/>
        <v>2.8519012428880255</v>
      </c>
      <c r="AP60" s="47">
        <f t="shared" si="37"/>
        <v>1.4931079003409067</v>
      </c>
    </row>
    <row r="61" spans="2:42" x14ac:dyDescent="0.35">
      <c r="B61" s="37"/>
      <c r="C61" s="61"/>
      <c r="D61" s="61"/>
      <c r="E61" s="38" t="s">
        <v>942</v>
      </c>
      <c r="F61" s="39" t="s">
        <v>943</v>
      </c>
      <c r="G61" s="39">
        <v>45</v>
      </c>
      <c r="H61" s="39"/>
      <c r="I61" s="40" t="s">
        <v>274</v>
      </c>
      <c r="J61" s="41">
        <v>15320</v>
      </c>
      <c r="K61" s="41">
        <v>0.01</v>
      </c>
      <c r="L61" s="41"/>
      <c r="M61" s="42">
        <v>0.3</v>
      </c>
      <c r="N61" s="42">
        <v>0.2</v>
      </c>
      <c r="O61" s="43">
        <v>153.19999999999999</v>
      </c>
      <c r="P61" s="44">
        <v>4288.62</v>
      </c>
      <c r="Q61" s="44">
        <v>3064</v>
      </c>
      <c r="R61" s="45">
        <v>0</v>
      </c>
      <c r="S61" s="46"/>
      <c r="T61" s="39">
        <f t="shared" si="19"/>
        <v>45</v>
      </c>
      <c r="U61" s="47">
        <f t="shared" si="20"/>
        <v>2.6012780674564161E-2</v>
      </c>
      <c r="V61" s="48">
        <f t="shared" si="21"/>
        <v>-9.9999999999999978E-2</v>
      </c>
      <c r="W61" s="49">
        <f t="shared" si="22"/>
        <v>5.7806179276809243E-4</v>
      </c>
      <c r="X61" s="44">
        <f t="shared" si="23"/>
        <v>103.9817032575632</v>
      </c>
      <c r="Y61" s="44">
        <f t="shared" si="24"/>
        <v>-1224.6199999999999</v>
      </c>
      <c r="Z61" s="44">
        <f t="shared" si="25"/>
        <v>1507.8102470206711</v>
      </c>
      <c r="AA61" s="50">
        <f t="shared" si="26"/>
        <v>3167.9817032575634</v>
      </c>
      <c r="AB61" s="51">
        <f t="shared" si="27"/>
        <v>1411.8073473976322</v>
      </c>
      <c r="AC61" s="44">
        <f t="shared" si="28"/>
        <v>2966.2750030501529</v>
      </c>
      <c r="AD61" s="44">
        <f t="shared" si="29"/>
        <v>0</v>
      </c>
      <c r="AE61" s="44">
        <f t="shared" si="30"/>
        <v>0</v>
      </c>
      <c r="AF61" s="52">
        <f>HLOOKUP(I61,GasAvoidedCostsWOCC!$A$5:$G$50,G61+1,FALSE)</f>
        <v>26.281560892700742</v>
      </c>
      <c r="AG61" s="44">
        <f t="shared" si="31"/>
        <v>4026.3351287617543</v>
      </c>
      <c r="AH61" s="52">
        <f>HLOOKUP(I61,GasAvoidedCostsWOCC!$A$5:$Q$50,T61+1,FALSE)</f>
        <v>26.281560892700742</v>
      </c>
      <c r="AI61" s="44">
        <f t="shared" si="32"/>
        <v>0</v>
      </c>
      <c r="AJ61" s="44">
        <f t="shared" si="33"/>
        <v>4026.3351287617543</v>
      </c>
      <c r="AK61" s="44">
        <f>HLOOKUP(I61,GasAvoidedCostsWOCC!$A$5:$Q$50,G61+1,FALSE)*J61*L61</f>
        <v>0</v>
      </c>
      <c r="AL61" s="44">
        <f t="shared" si="34"/>
        <v>4026.3351287617543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4026.3351287617543</v>
      </c>
      <c r="AN61" s="48">
        <f t="shared" si="35"/>
        <v>4428.96864163793</v>
      </c>
      <c r="AO61" s="47">
        <f t="shared" si="36"/>
        <v>2.8519012428880259</v>
      </c>
      <c r="AP61" s="47">
        <f t="shared" si="37"/>
        <v>1.4931079003409065</v>
      </c>
    </row>
    <row r="62" spans="2:42" x14ac:dyDescent="0.35">
      <c r="B62" s="37"/>
      <c r="C62" s="61"/>
      <c r="D62" s="61"/>
      <c r="E62" s="38" t="s">
        <v>944</v>
      </c>
      <c r="F62" s="39" t="s">
        <v>945</v>
      </c>
      <c r="G62" s="39">
        <v>20</v>
      </c>
      <c r="H62" s="39"/>
      <c r="I62" s="40" t="s">
        <v>274</v>
      </c>
      <c r="J62" s="41">
        <v>1</v>
      </c>
      <c r="K62" s="41">
        <v>50.81</v>
      </c>
      <c r="L62" s="41"/>
      <c r="M62" s="42">
        <v>900</v>
      </c>
      <c r="N62" s="42">
        <v>631.58000000000004</v>
      </c>
      <c r="O62" s="43">
        <v>50.81</v>
      </c>
      <c r="P62" s="44">
        <v>900</v>
      </c>
      <c r="Q62" s="44">
        <v>631.58000000000004</v>
      </c>
      <c r="R62" s="45">
        <v>0</v>
      </c>
      <c r="S62" s="46"/>
      <c r="T62" s="39">
        <f t="shared" si="19"/>
        <v>20</v>
      </c>
      <c r="U62" s="47">
        <f t="shared" si="20"/>
        <v>3.8343759387136789E-3</v>
      </c>
      <c r="V62" s="48">
        <f t="shared" si="21"/>
        <v>-268.41999999999996</v>
      </c>
      <c r="W62" s="49">
        <f t="shared" si="22"/>
        <v>1.9171879693568396E-4</v>
      </c>
      <c r="X62" s="44">
        <f t="shared" si="23"/>
        <v>34.486359938099135</v>
      </c>
      <c r="Y62" s="44">
        <f t="shared" si="24"/>
        <v>-268.41999999999996</v>
      </c>
      <c r="Z62" s="44">
        <f t="shared" si="25"/>
        <v>500.07727579060258</v>
      </c>
      <c r="AA62" s="50">
        <f t="shared" si="26"/>
        <v>666.06635993809914</v>
      </c>
      <c r="AB62" s="51">
        <f t="shared" si="27"/>
        <v>468.23714961666906</v>
      </c>
      <c r="AC62" s="44">
        <f t="shared" si="28"/>
        <v>623.65764039147859</v>
      </c>
      <c r="AD62" s="44">
        <f t="shared" si="29"/>
        <v>0</v>
      </c>
      <c r="AE62" s="44">
        <f t="shared" si="30"/>
        <v>0</v>
      </c>
      <c r="AF62" s="52">
        <f>HLOOKUP(I62,GasAvoidedCostsWOCC!$A$5:$G$50,G62+1,FALSE)</f>
        <v>13.713759429231397</v>
      </c>
      <c r="AG62" s="44">
        <f t="shared" si="31"/>
        <v>696.79611659924728</v>
      </c>
      <c r="AH62" s="52">
        <f>HLOOKUP(I62,GasAvoidedCostsWOCC!$A$5:$Q$50,T62+1,FALSE)</f>
        <v>13.713759429231397</v>
      </c>
      <c r="AI62" s="44">
        <f t="shared" si="32"/>
        <v>0</v>
      </c>
      <c r="AJ62" s="44">
        <f t="shared" si="33"/>
        <v>696.79611659924728</v>
      </c>
      <c r="AK62" s="44">
        <f>HLOOKUP(I62,GasAvoidedCostsWOCC!$A$5:$Q$50,G62+1,FALSE)*J62*L62</f>
        <v>0</v>
      </c>
      <c r="AL62" s="44">
        <f t="shared" si="34"/>
        <v>696.79611659924728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696.79611659924728</v>
      </c>
      <c r="AN62" s="48">
        <f t="shared" si="35"/>
        <v>766.47572825917212</v>
      </c>
      <c r="AO62" s="47">
        <f t="shared" si="36"/>
        <v>1.4881265127504133</v>
      </c>
      <c r="AP62" s="47">
        <f t="shared" si="37"/>
        <v>1.2290007828302154</v>
      </c>
    </row>
    <row r="63" spans="2:42" x14ac:dyDescent="0.35">
      <c r="B63" s="37"/>
      <c r="C63" s="61"/>
      <c r="D63" s="61"/>
      <c r="E63" s="38" t="s">
        <v>948</v>
      </c>
      <c r="F63" s="39" t="s">
        <v>949</v>
      </c>
      <c r="G63" s="39">
        <v>45</v>
      </c>
      <c r="H63" s="39"/>
      <c r="I63" s="40" t="s">
        <v>274</v>
      </c>
      <c r="J63" s="41">
        <v>20952</v>
      </c>
      <c r="K63" s="41">
        <v>9.2399999999999996E-2</v>
      </c>
      <c r="L63" s="41"/>
      <c r="M63" s="42">
        <v>0.75</v>
      </c>
      <c r="N63" s="42">
        <v>1.49</v>
      </c>
      <c r="O63" s="43">
        <v>1935.96</v>
      </c>
      <c r="P63" s="44">
        <v>15714</v>
      </c>
      <c r="Q63" s="44">
        <v>31218.48</v>
      </c>
      <c r="R63" s="45">
        <v>4.3299999999999998E-2</v>
      </c>
      <c r="S63" s="46"/>
      <c r="T63" s="39">
        <f t="shared" si="19"/>
        <v>45</v>
      </c>
      <c r="U63" s="47">
        <f t="shared" si="20"/>
        <v>0.32871868717186187</v>
      </c>
      <c r="V63" s="48">
        <f t="shared" si="21"/>
        <v>0.74</v>
      </c>
      <c r="W63" s="49">
        <f t="shared" si="22"/>
        <v>7.3048597149302638E-3</v>
      </c>
      <c r="X63" s="44">
        <f t="shared" si="23"/>
        <v>1313.9975080842826</v>
      </c>
      <c r="Y63" s="44">
        <f t="shared" si="24"/>
        <v>15504.48</v>
      </c>
      <c r="Z63" s="44">
        <f t="shared" si="25"/>
        <v>19053.918575862524</v>
      </c>
      <c r="AA63" s="50">
        <f t="shared" si="26"/>
        <v>32532.477508084281</v>
      </c>
      <c r="AB63" s="51">
        <f t="shared" si="27"/>
        <v>17840.747730208353</v>
      </c>
      <c r="AC63" s="44">
        <f t="shared" si="28"/>
        <v>30461.121262251199</v>
      </c>
      <c r="AD63" s="44">
        <f t="shared" si="29"/>
        <v>12650.462214793542</v>
      </c>
      <c r="AE63" s="44">
        <f t="shared" si="30"/>
        <v>0</v>
      </c>
      <c r="AF63" s="52">
        <f>HLOOKUP(I63,GasAvoidedCostsWOCC!$A$5:$G$50,G63+1,FALSE)</f>
        <v>26.281560892700742</v>
      </c>
      <c r="AG63" s="44">
        <f t="shared" si="31"/>
        <v>50880.176777325207</v>
      </c>
      <c r="AH63" s="52">
        <f>HLOOKUP(I63,GasAvoidedCostsWOCC!$A$5:$Q$50,T63+1,FALSE)</f>
        <v>26.281560892700742</v>
      </c>
      <c r="AI63" s="44">
        <f t="shared" si="32"/>
        <v>0</v>
      </c>
      <c r="AJ63" s="44">
        <f t="shared" si="33"/>
        <v>50880.176777325207</v>
      </c>
      <c r="AK63" s="44">
        <f>HLOOKUP(I63,GasAvoidedCostsWOCC!$A$5:$Q$50,G63+1,FALSE)*J63*L63</f>
        <v>0</v>
      </c>
      <c r="AL63" s="44">
        <f t="shared" si="34"/>
        <v>50880.176777325207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50880.176777325214</v>
      </c>
      <c r="AN63" s="48">
        <f t="shared" si="35"/>
        <v>68618.656669851276</v>
      </c>
      <c r="AO63" s="47">
        <f t="shared" si="36"/>
        <v>2.8519083138636483</v>
      </c>
      <c r="AP63" s="47">
        <f t="shared" si="37"/>
        <v>2.2526635207905699</v>
      </c>
    </row>
    <row r="64" spans="2:42" x14ac:dyDescent="0.35">
      <c r="B64" s="37"/>
      <c r="C64" s="61"/>
      <c r="D64" s="61"/>
      <c r="E64" s="38" t="s">
        <v>956</v>
      </c>
      <c r="F64" s="39" t="s">
        <v>957</v>
      </c>
      <c r="G64" s="39">
        <v>45</v>
      </c>
      <c r="H64" s="39"/>
      <c r="I64" s="40" t="s">
        <v>274</v>
      </c>
      <c r="J64" s="41">
        <v>51100</v>
      </c>
      <c r="K64" s="41">
        <v>3.2099999999999997E-2</v>
      </c>
      <c r="L64" s="41"/>
      <c r="M64" s="42">
        <v>0.75</v>
      </c>
      <c r="N64" s="42">
        <v>1.24</v>
      </c>
      <c r="O64" s="43">
        <v>1640.34</v>
      </c>
      <c r="P64" s="44">
        <v>38325</v>
      </c>
      <c r="Q64" s="44">
        <v>63364</v>
      </c>
      <c r="R64" s="45">
        <v>4.8099999999999997E-2</v>
      </c>
      <c r="S64" s="46"/>
      <c r="T64" s="39">
        <f t="shared" si="19"/>
        <v>45</v>
      </c>
      <c r="U64" s="47">
        <f t="shared" si="20"/>
        <v>0.27852352905818917</v>
      </c>
      <c r="V64" s="48">
        <f t="shared" si="21"/>
        <v>0.49</v>
      </c>
      <c r="W64" s="49">
        <f t="shared" si="22"/>
        <v>6.1894117568486477E-3</v>
      </c>
      <c r="X64" s="44">
        <f t="shared" si="23"/>
        <v>1113.3508297748776</v>
      </c>
      <c r="Y64" s="44">
        <f t="shared" si="24"/>
        <v>25039</v>
      </c>
      <c r="Z64" s="44">
        <f t="shared" si="25"/>
        <v>16144.395956905273</v>
      </c>
      <c r="AA64" s="50">
        <f t="shared" si="26"/>
        <v>64477.350829774878</v>
      </c>
      <c r="AB64" s="51">
        <f t="shared" si="27"/>
        <v>15116.475615079842</v>
      </c>
      <c r="AC64" s="44">
        <f t="shared" si="28"/>
        <v>60372.051338740515</v>
      </c>
      <c r="AD64" s="44">
        <f t="shared" si="29"/>
        <v>34273.541968536898</v>
      </c>
      <c r="AE64" s="44">
        <f t="shared" si="30"/>
        <v>0</v>
      </c>
      <c r="AF64" s="52">
        <f>HLOOKUP(I64,GasAvoidedCostsWOCC!$A$5:$G$50,G64+1,FALSE)</f>
        <v>26.281560892700742</v>
      </c>
      <c r="AG64" s="44">
        <f t="shared" si="31"/>
        <v>43109.907147905949</v>
      </c>
      <c r="AH64" s="52">
        <f>HLOOKUP(I64,GasAvoidedCostsWOCC!$A$5:$Q$50,T64+1,FALSE)</f>
        <v>26.281560892700742</v>
      </c>
      <c r="AI64" s="44">
        <f t="shared" si="32"/>
        <v>0</v>
      </c>
      <c r="AJ64" s="44">
        <f t="shared" si="33"/>
        <v>43109.907147905949</v>
      </c>
      <c r="AK64" s="44">
        <f>HLOOKUP(I64,GasAvoidedCostsWOCC!$A$5:$Q$50,G64+1,FALSE)*J64*L64</f>
        <v>0</v>
      </c>
      <c r="AL64" s="44">
        <f t="shared" si="34"/>
        <v>43109.907147905949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43109.907147905949</v>
      </c>
      <c r="AN64" s="48">
        <f t="shared" si="35"/>
        <v>81694.439831233438</v>
      </c>
      <c r="AO64" s="47">
        <f t="shared" si="36"/>
        <v>2.8518490847761178</v>
      </c>
      <c r="AP64" s="47">
        <f t="shared" si="37"/>
        <v>1.3531831040965545</v>
      </c>
    </row>
    <row r="65" spans="2:42" x14ac:dyDescent="0.35">
      <c r="B65" s="37"/>
      <c r="C65" s="61"/>
      <c r="D65" s="61"/>
      <c r="E65" s="38" t="s">
        <v>966</v>
      </c>
      <c r="F65" s="39" t="s">
        <v>967</v>
      </c>
      <c r="G65" s="39">
        <v>45</v>
      </c>
      <c r="H65" s="39"/>
      <c r="I65" s="40" t="s">
        <v>274</v>
      </c>
      <c r="J65" s="41">
        <v>62316</v>
      </c>
      <c r="K65" s="41">
        <v>3.4500000000000003E-2</v>
      </c>
      <c r="L65" s="41"/>
      <c r="M65" s="42">
        <v>0.38</v>
      </c>
      <c r="N65" s="42">
        <v>1.41</v>
      </c>
      <c r="O65" s="43">
        <v>2149.9699999999998</v>
      </c>
      <c r="P65" s="44">
        <v>23680.080000000002</v>
      </c>
      <c r="Q65" s="44">
        <v>87865.56</v>
      </c>
      <c r="R65" s="45">
        <v>4.0300000000000002E-2</v>
      </c>
      <c r="S65" s="46"/>
      <c r="T65" s="39">
        <f t="shared" si="19"/>
        <v>45</v>
      </c>
      <c r="U65" s="47">
        <f t="shared" si="20"/>
        <v>0.36505677589355551</v>
      </c>
      <c r="V65" s="48">
        <f t="shared" si="21"/>
        <v>1.0299999999999998</v>
      </c>
      <c r="W65" s="49">
        <f t="shared" si="22"/>
        <v>8.1123727976345674E-3</v>
      </c>
      <c r="X65" s="44">
        <f t="shared" si="23"/>
        <v>1459.2528887249555</v>
      </c>
      <c r="Y65" s="44">
        <f t="shared" si="24"/>
        <v>64185.479999999996</v>
      </c>
      <c r="Z65" s="44">
        <f t="shared" si="25"/>
        <v>21160.227133074623</v>
      </c>
      <c r="AA65" s="50">
        <f t="shared" si="26"/>
        <v>89324.812888724948</v>
      </c>
      <c r="AB65" s="51">
        <f t="shared" si="27"/>
        <v>19812.946753815188</v>
      </c>
      <c r="AC65" s="44">
        <f t="shared" si="28"/>
        <v>83637.465251615111</v>
      </c>
      <c r="AD65" s="44">
        <f t="shared" si="29"/>
        <v>35018.507050643522</v>
      </c>
      <c r="AE65" s="44">
        <f t="shared" si="30"/>
        <v>0</v>
      </c>
      <c r="AF65" s="52">
        <f>HLOOKUP(I65,GasAvoidedCostsWOCC!$A$5:$G$50,G65+1,FALSE)</f>
        <v>26.281560892700742</v>
      </c>
      <c r="AG65" s="44">
        <f t="shared" si="31"/>
        <v>56502.780326339118</v>
      </c>
      <c r="AH65" s="52">
        <f>HLOOKUP(I65,GasAvoidedCostsWOCC!$A$5:$Q$50,T65+1,FALSE)</f>
        <v>26.281560892700742</v>
      </c>
      <c r="AI65" s="44">
        <f t="shared" si="32"/>
        <v>0</v>
      </c>
      <c r="AJ65" s="44">
        <f t="shared" si="33"/>
        <v>56502.780326339118</v>
      </c>
      <c r="AK65" s="44">
        <f>HLOOKUP(I65,GasAvoidedCostsWOCC!$A$5:$Q$50,G65+1,FALSE)*J65*L65</f>
        <v>0</v>
      </c>
      <c r="AL65" s="44">
        <f t="shared" si="34"/>
        <v>56502.780326339118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56502.780326339118</v>
      </c>
      <c r="AN65" s="48">
        <f t="shared" si="35"/>
        <v>97171.565409616567</v>
      </c>
      <c r="AO65" s="47">
        <f t="shared" si="36"/>
        <v>2.851811041962192</v>
      </c>
      <c r="AP65" s="47">
        <f t="shared" si="37"/>
        <v>1.1618186313667618</v>
      </c>
    </row>
    <row r="66" spans="2:42" x14ac:dyDescent="0.35">
      <c r="B66" s="37"/>
      <c r="C66" s="61"/>
      <c r="D66" s="61"/>
      <c r="E66" s="38" t="s">
        <v>974</v>
      </c>
      <c r="F66" s="39" t="s">
        <v>975</v>
      </c>
      <c r="G66" s="39">
        <v>45</v>
      </c>
      <c r="H66" s="39"/>
      <c r="I66" s="40" t="s">
        <v>274</v>
      </c>
      <c r="J66" s="41">
        <v>10760</v>
      </c>
      <c r="K66" s="41">
        <v>6.6900000000000001E-2</v>
      </c>
      <c r="L66" s="41"/>
      <c r="M66" s="42">
        <v>1.1299999999999999</v>
      </c>
      <c r="N66" s="42">
        <v>1.56</v>
      </c>
      <c r="O66" s="43">
        <v>719.86</v>
      </c>
      <c r="P66" s="44">
        <v>12158.8</v>
      </c>
      <c r="Q66" s="44">
        <v>16785.599999999999</v>
      </c>
      <c r="R66" s="45">
        <v>4.1700000000000001E-2</v>
      </c>
      <c r="S66" s="46"/>
      <c r="T66" s="39">
        <f t="shared" si="19"/>
        <v>45</v>
      </c>
      <c r="U66" s="47">
        <f t="shared" si="20"/>
        <v>0.12222950585112113</v>
      </c>
      <c r="V66" s="48">
        <f t="shared" si="21"/>
        <v>0.43000000000000016</v>
      </c>
      <c r="W66" s="49">
        <f t="shared" si="22"/>
        <v>2.7162112411360253E-3</v>
      </c>
      <c r="X66" s="44">
        <f t="shared" si="23"/>
        <v>488.5918335965369</v>
      </c>
      <c r="Y66" s="44">
        <f t="shared" si="24"/>
        <v>4626.7999999999993</v>
      </c>
      <c r="Z66" s="44">
        <f t="shared" si="25"/>
        <v>7084.9365823779408</v>
      </c>
      <c r="AA66" s="50">
        <f t="shared" si="26"/>
        <v>17274.191833596535</v>
      </c>
      <c r="AB66" s="51">
        <f t="shared" si="27"/>
        <v>6633.8357512902066</v>
      </c>
      <c r="AC66" s="44">
        <f t="shared" si="28"/>
        <v>16174.336922843197</v>
      </c>
      <c r="AD66" s="44">
        <f t="shared" si="29"/>
        <v>6256.6424698002611</v>
      </c>
      <c r="AE66" s="44">
        <f t="shared" si="30"/>
        <v>0</v>
      </c>
      <c r="AF66" s="52">
        <f>HLOOKUP(I66,GasAvoidedCostsWOCC!$A$5:$G$50,G66+1,FALSE)</f>
        <v>26.281560892700742</v>
      </c>
      <c r="AG66" s="44">
        <f t="shared" si="31"/>
        <v>18918.623919245274</v>
      </c>
      <c r="AH66" s="52">
        <f>HLOOKUP(I66,GasAvoidedCostsWOCC!$A$5:$Q$50,T66+1,FALSE)</f>
        <v>26.281560892700742</v>
      </c>
      <c r="AI66" s="44">
        <f t="shared" si="32"/>
        <v>0</v>
      </c>
      <c r="AJ66" s="44">
        <f t="shared" si="33"/>
        <v>18918.623919245274</v>
      </c>
      <c r="AK66" s="44">
        <f>HLOOKUP(I66,GasAvoidedCostsWOCC!$A$5:$Q$50,G66+1,FALSE)*J66*L66</f>
        <v>0</v>
      </c>
      <c r="AL66" s="44">
        <f t="shared" si="34"/>
        <v>18918.623919245274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18918.623919245274</v>
      </c>
      <c r="AN66" s="48">
        <f t="shared" si="35"/>
        <v>27067.128780970066</v>
      </c>
      <c r="AO66" s="47">
        <f t="shared" si="36"/>
        <v>2.8518378549794234</v>
      </c>
      <c r="AP66" s="47">
        <f t="shared" si="37"/>
        <v>1.6734614166929378</v>
      </c>
    </row>
    <row r="67" spans="2:42" x14ac:dyDescent="0.35">
      <c r="B67" s="37"/>
      <c r="C67" s="61"/>
      <c r="D67" s="61"/>
      <c r="E67" s="38" t="s">
        <v>982</v>
      </c>
      <c r="F67" s="39" t="s">
        <v>983</v>
      </c>
      <c r="G67" s="39">
        <v>45</v>
      </c>
      <c r="H67" s="39"/>
      <c r="I67" s="40" t="s">
        <v>274</v>
      </c>
      <c r="J67" s="41">
        <v>4570</v>
      </c>
      <c r="K67" s="41">
        <v>9.2399999999999996E-2</v>
      </c>
      <c r="L67" s="41"/>
      <c r="M67" s="42">
        <v>1.5</v>
      </c>
      <c r="N67" s="42">
        <v>1.49</v>
      </c>
      <c r="O67" s="43">
        <v>422.27</v>
      </c>
      <c r="P67" s="44">
        <v>6855</v>
      </c>
      <c r="Q67" s="44">
        <v>6809.3</v>
      </c>
      <c r="R67" s="45">
        <v>0</v>
      </c>
      <c r="S67" s="46"/>
      <c r="T67" s="39">
        <f t="shared" si="19"/>
        <v>45</v>
      </c>
      <c r="U67" s="47">
        <f t="shared" si="20"/>
        <v>7.1699849186998746E-2</v>
      </c>
      <c r="V67" s="48">
        <f t="shared" si="21"/>
        <v>-1.0000000000000009E-2</v>
      </c>
      <c r="W67" s="49">
        <f t="shared" si="22"/>
        <v>1.5933299819333056E-3</v>
      </c>
      <c r="X67" s="44">
        <f t="shared" si="23"/>
        <v>286.60805375046488</v>
      </c>
      <c r="Y67" s="44">
        <f t="shared" si="24"/>
        <v>-45.699999999999818</v>
      </c>
      <c r="Z67" s="44">
        <f t="shared" si="25"/>
        <v>4156.0250196437264</v>
      </c>
      <c r="AA67" s="50">
        <f t="shared" si="26"/>
        <v>7095.9080537504651</v>
      </c>
      <c r="AB67" s="51">
        <f t="shared" si="27"/>
        <v>3891.4091944229644</v>
      </c>
      <c r="AC67" s="44">
        <f t="shared" si="28"/>
        <v>6644.10866456036</v>
      </c>
      <c r="AD67" s="44">
        <f t="shared" si="29"/>
        <v>0</v>
      </c>
      <c r="AE67" s="44">
        <f t="shared" si="30"/>
        <v>0</v>
      </c>
      <c r="AF67" s="52">
        <f>HLOOKUP(I67,GasAvoidedCostsWOCC!$A$5:$G$50,G67+1,FALSE)</f>
        <v>26.281560892700742</v>
      </c>
      <c r="AG67" s="44">
        <f t="shared" si="31"/>
        <v>11097.862155038956</v>
      </c>
      <c r="AH67" s="52">
        <f>HLOOKUP(I67,GasAvoidedCostsWOCC!$A$5:$Q$50,T67+1,FALSE)</f>
        <v>26.281560892700742</v>
      </c>
      <c r="AI67" s="44">
        <f t="shared" si="32"/>
        <v>0</v>
      </c>
      <c r="AJ67" s="44">
        <f t="shared" si="33"/>
        <v>11097.862155038956</v>
      </c>
      <c r="AK67" s="44">
        <f>HLOOKUP(I67,GasAvoidedCostsWOCC!$A$5:$Q$50,G67+1,FALSE)*J67*L67</f>
        <v>0</v>
      </c>
      <c r="AL67" s="44">
        <f t="shared" si="34"/>
        <v>11097.862155038956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11097.862155038956</v>
      </c>
      <c r="AN67" s="48">
        <f t="shared" si="35"/>
        <v>12207.648370542853</v>
      </c>
      <c r="AO67" s="47">
        <f t="shared" si="36"/>
        <v>2.8518877354106156</v>
      </c>
      <c r="AP67" s="47">
        <f t="shared" si="37"/>
        <v>1.8373643458991549</v>
      </c>
    </row>
    <row r="68" spans="2:42" x14ac:dyDescent="0.35">
      <c r="B68" s="37"/>
      <c r="C68" s="61"/>
      <c r="D68" s="61"/>
      <c r="E68" s="38" t="s">
        <v>986</v>
      </c>
      <c r="F68" s="39" t="s">
        <v>987</v>
      </c>
      <c r="G68" s="39">
        <v>45</v>
      </c>
      <c r="H68" s="39"/>
      <c r="I68" s="40" t="s">
        <v>274</v>
      </c>
      <c r="J68" s="41">
        <v>12862</v>
      </c>
      <c r="K68" s="41">
        <v>3.2099999999999997E-2</v>
      </c>
      <c r="L68" s="41"/>
      <c r="M68" s="42">
        <v>1.5</v>
      </c>
      <c r="N68" s="42">
        <v>1.24</v>
      </c>
      <c r="O68" s="43">
        <v>412.88</v>
      </c>
      <c r="P68" s="44">
        <v>19293</v>
      </c>
      <c r="Q68" s="44">
        <v>15948.88</v>
      </c>
      <c r="R68" s="45">
        <v>4.8800000000000003E-2</v>
      </c>
      <c r="S68" s="46"/>
      <c r="T68" s="39">
        <f t="shared" si="19"/>
        <v>45</v>
      </c>
      <c r="U68" s="47">
        <f t="shared" si="20"/>
        <v>7.0105462695261439E-2</v>
      </c>
      <c r="V68" s="48">
        <f t="shared" si="21"/>
        <v>-0.26</v>
      </c>
      <c r="W68" s="49">
        <f t="shared" si="22"/>
        <v>1.5578991710058097E-3</v>
      </c>
      <c r="X68" s="44">
        <f t="shared" si="23"/>
        <v>280.23476266959989</v>
      </c>
      <c r="Y68" s="44">
        <f t="shared" si="24"/>
        <v>-3344.1200000000008</v>
      </c>
      <c r="Z68" s="44">
        <f t="shared" si="25"/>
        <v>4063.6076683413503</v>
      </c>
      <c r="AA68" s="50">
        <f t="shared" si="26"/>
        <v>16229.114762669598</v>
      </c>
      <c r="AB68" s="51">
        <f t="shared" si="27"/>
        <v>3804.876093952575</v>
      </c>
      <c r="AC68" s="44">
        <f t="shared" si="28"/>
        <v>15195.800339578274</v>
      </c>
      <c r="AD68" s="44">
        <f t="shared" si="29"/>
        <v>8752.2827458315805</v>
      </c>
      <c r="AE68" s="44">
        <f t="shared" si="30"/>
        <v>0</v>
      </c>
      <c r="AF68" s="52">
        <f>HLOOKUP(I68,GasAvoidedCostsWOCC!$A$5:$G$50,G68+1,FALSE)</f>
        <v>26.281560892700742</v>
      </c>
      <c r="AG68" s="44">
        <f t="shared" si="31"/>
        <v>10850.873302081533</v>
      </c>
      <c r="AH68" s="52">
        <f>HLOOKUP(I68,GasAvoidedCostsWOCC!$A$5:$Q$50,T68+1,FALSE)</f>
        <v>26.281560892700742</v>
      </c>
      <c r="AI68" s="44">
        <f t="shared" si="32"/>
        <v>0</v>
      </c>
      <c r="AJ68" s="44">
        <f t="shared" si="33"/>
        <v>10850.873302081533</v>
      </c>
      <c r="AK68" s="44">
        <f>HLOOKUP(I68,GasAvoidedCostsWOCC!$A$5:$Q$50,G68+1,FALSE)*J68*L68</f>
        <v>0</v>
      </c>
      <c r="AL68" s="44">
        <f t="shared" si="34"/>
        <v>10850.873302081533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10850.873302081533</v>
      </c>
      <c r="AN68" s="48">
        <f t="shared" si="35"/>
        <v>20688.243378121268</v>
      </c>
      <c r="AO68" s="47">
        <f t="shared" si="36"/>
        <v>2.8518335509867936</v>
      </c>
      <c r="AP68" s="47">
        <f t="shared" si="37"/>
        <v>1.3614448015770273</v>
      </c>
    </row>
    <row r="69" spans="2:42" x14ac:dyDescent="0.35">
      <c r="B69" s="37"/>
      <c r="C69" s="61"/>
      <c r="D69" s="61"/>
      <c r="E69" s="38" t="s">
        <v>990</v>
      </c>
      <c r="F69" s="39" t="s">
        <v>991</v>
      </c>
      <c r="G69" s="39">
        <v>45</v>
      </c>
      <c r="H69" s="39"/>
      <c r="I69" s="40" t="s">
        <v>274</v>
      </c>
      <c r="J69" s="41">
        <v>13990</v>
      </c>
      <c r="K69" s="41">
        <v>3.4500000000000003E-2</v>
      </c>
      <c r="L69" s="41"/>
      <c r="M69" s="42">
        <v>1.5</v>
      </c>
      <c r="N69" s="42">
        <v>2.3199999999999998</v>
      </c>
      <c r="O69" s="43">
        <v>482.68</v>
      </c>
      <c r="P69" s="44">
        <v>20635.07</v>
      </c>
      <c r="Q69" s="44">
        <v>32456.799999999999</v>
      </c>
      <c r="R69" s="45">
        <v>3.9300000000000002E-2</v>
      </c>
      <c r="S69" s="46"/>
      <c r="T69" s="39">
        <f t="shared" si="19"/>
        <v>45</v>
      </c>
      <c r="U69" s="47">
        <f t="shared" si="20"/>
        <v>8.1957238746727348E-2</v>
      </c>
      <c r="V69" s="48">
        <f t="shared" si="21"/>
        <v>0.81999999999999984</v>
      </c>
      <c r="W69" s="49">
        <f t="shared" si="22"/>
        <v>1.8212719721494967E-3</v>
      </c>
      <c r="X69" s="44">
        <f t="shared" si="23"/>
        <v>327.61023843577425</v>
      </c>
      <c r="Y69" s="44">
        <f t="shared" si="24"/>
        <v>11821.73</v>
      </c>
      <c r="Z69" s="44">
        <f t="shared" si="25"/>
        <v>4750.5864884591228</v>
      </c>
      <c r="AA69" s="50">
        <f t="shared" si="26"/>
        <v>32784.410238435776</v>
      </c>
      <c r="AB69" s="51">
        <f t="shared" si="27"/>
        <v>4448.1146895684669</v>
      </c>
      <c r="AC69" s="44">
        <f t="shared" si="28"/>
        <v>30697.0133318687</v>
      </c>
      <c r="AD69" s="44">
        <f t="shared" si="29"/>
        <v>7666.6083335416552</v>
      </c>
      <c r="AE69" s="44">
        <f t="shared" si="30"/>
        <v>0</v>
      </c>
      <c r="AF69" s="52">
        <f>HLOOKUP(I69,GasAvoidedCostsWOCC!$A$5:$G$50,G69+1,FALSE)</f>
        <v>26.281560892700742</v>
      </c>
      <c r="AG69" s="44">
        <f t="shared" si="31"/>
        <v>12684.926772666478</v>
      </c>
      <c r="AH69" s="52">
        <f>HLOOKUP(I69,GasAvoidedCostsWOCC!$A$5:$Q$50,T69+1,FALSE)</f>
        <v>26.281560892700742</v>
      </c>
      <c r="AI69" s="44">
        <f t="shared" si="32"/>
        <v>0</v>
      </c>
      <c r="AJ69" s="44">
        <f t="shared" si="33"/>
        <v>12684.926772666478</v>
      </c>
      <c r="AK69" s="44">
        <f>HLOOKUP(I69,GasAvoidedCostsWOCC!$A$5:$Q$50,G69+1,FALSE)*J69*L69</f>
        <v>0</v>
      </c>
      <c r="AL69" s="44">
        <f t="shared" si="34"/>
        <v>12684.926772666478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12684.926772666478</v>
      </c>
      <c r="AN69" s="48">
        <f t="shared" si="35"/>
        <v>21620.027783474783</v>
      </c>
      <c r="AO69" s="47">
        <f t="shared" si="36"/>
        <v>2.8517535310891691</v>
      </c>
      <c r="AP69" s="47">
        <f t="shared" si="37"/>
        <v>0.70430395132380941</v>
      </c>
    </row>
    <row r="70" spans="2:42" x14ac:dyDescent="0.35">
      <c r="B70" s="37"/>
      <c r="C70" s="61"/>
      <c r="D70" s="61"/>
      <c r="E70" s="38" t="s">
        <v>994</v>
      </c>
      <c r="F70" s="39" t="s">
        <v>995</v>
      </c>
      <c r="G70" s="39">
        <v>45</v>
      </c>
      <c r="H70" s="39"/>
      <c r="I70" s="40" t="s">
        <v>274</v>
      </c>
      <c r="J70" s="41">
        <v>5200</v>
      </c>
      <c r="K70" s="41">
        <v>6.6900000000000001E-2</v>
      </c>
      <c r="L70" s="41"/>
      <c r="M70" s="42">
        <v>2.25</v>
      </c>
      <c r="N70" s="42">
        <v>1.41</v>
      </c>
      <c r="O70" s="43">
        <v>347.88</v>
      </c>
      <c r="P70" s="44">
        <v>11037.07</v>
      </c>
      <c r="Q70" s="44">
        <v>7332</v>
      </c>
      <c r="R70" s="45">
        <v>0</v>
      </c>
      <c r="S70" s="46"/>
      <c r="T70" s="39">
        <f t="shared" si="19"/>
        <v>45</v>
      </c>
      <c r="U70" s="47">
        <f t="shared" si="20"/>
        <v>5.9068708492606925E-2</v>
      </c>
      <c r="V70" s="48">
        <f t="shared" si="21"/>
        <v>-0.84000000000000008</v>
      </c>
      <c r="W70" s="49">
        <f t="shared" si="22"/>
        <v>1.3126379665023761E-3</v>
      </c>
      <c r="X70" s="44">
        <f t="shared" si="23"/>
        <v>236.11719927703064</v>
      </c>
      <c r="Y70" s="44">
        <f t="shared" si="24"/>
        <v>-3705.0699999999997</v>
      </c>
      <c r="Z70" s="44">
        <f t="shared" si="25"/>
        <v>3423.8709447359734</v>
      </c>
      <c r="AA70" s="50">
        <f t="shared" si="26"/>
        <v>7568.1171992770305</v>
      </c>
      <c r="AB70" s="51">
        <f t="shared" si="27"/>
        <v>3205.8716711010984</v>
      </c>
      <c r="AC70" s="44">
        <f t="shared" si="28"/>
        <v>7086.2520592481551</v>
      </c>
      <c r="AD70" s="44">
        <f t="shared" si="29"/>
        <v>0</v>
      </c>
      <c r="AE70" s="44">
        <f t="shared" si="30"/>
        <v>0</v>
      </c>
      <c r="AF70" s="52">
        <f>HLOOKUP(I70,GasAvoidedCostsWOCC!$A$5:$G$50,G70+1,FALSE)</f>
        <v>26.281560892700742</v>
      </c>
      <c r="AG70" s="44">
        <f t="shared" si="31"/>
        <v>9142.8294033527345</v>
      </c>
      <c r="AH70" s="52">
        <f>HLOOKUP(I70,GasAvoidedCostsWOCC!$A$5:$Q$50,T70+1,FALSE)</f>
        <v>26.281560892700742</v>
      </c>
      <c r="AI70" s="44">
        <f t="shared" si="32"/>
        <v>0</v>
      </c>
      <c r="AJ70" s="44">
        <f t="shared" si="33"/>
        <v>9142.8294033527345</v>
      </c>
      <c r="AK70" s="44">
        <f>HLOOKUP(I70,GasAvoidedCostsWOCC!$A$5:$Q$50,G70+1,FALSE)*J70*L70</f>
        <v>0</v>
      </c>
      <c r="AL70" s="44">
        <f t="shared" si="34"/>
        <v>9142.8294033527345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9142.8294033527345</v>
      </c>
      <c r="AN70" s="48">
        <f t="shared" si="35"/>
        <v>10057.112343688008</v>
      </c>
      <c r="AO70" s="47">
        <f t="shared" si="36"/>
        <v>2.8519012428880259</v>
      </c>
      <c r="AP70" s="47">
        <f t="shared" si="37"/>
        <v>1.4192428182910359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</sheetData>
  <conditionalFormatting sqref="J5:L82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82 R5:S82">
    <cfRule type="expression" dxfId="102" priority="2">
      <formula>ISTEXT(M5)</formula>
    </cfRule>
  </conditionalFormatting>
  <conditionalFormatting sqref="M5:N82 R5:S82">
    <cfRule type="notContainsBlanks" dxfId="101" priority="3">
      <formula>LEN(TRIM(M5))&gt;0</formula>
    </cfRule>
  </conditionalFormatting>
  <conditionalFormatting sqref="R5:S82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18230738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18230738</v>
      </c>
      <c r="D5" s="61" t="s">
        <v>142</v>
      </c>
      <c r="E5" s="38" t="s">
        <v>998</v>
      </c>
      <c r="F5" s="39" t="s">
        <v>999</v>
      </c>
      <c r="G5" s="39">
        <v>2</v>
      </c>
      <c r="H5" s="39"/>
      <c r="I5" s="40" t="s">
        <v>270</v>
      </c>
      <c r="J5" s="41">
        <v>1792806</v>
      </c>
      <c r="K5" s="41">
        <v>0.82</v>
      </c>
      <c r="L5" s="41"/>
      <c r="M5" s="42">
        <v>0.42</v>
      </c>
      <c r="N5" s="42">
        <v>0.42</v>
      </c>
      <c r="O5" s="43">
        <v>1470100.92</v>
      </c>
      <c r="P5" s="44">
        <v>752978.52</v>
      </c>
      <c r="Q5" s="44">
        <v>752978.52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715427.46</v>
      </c>
      <c r="Y5" s="44">
        <f t="shared" ref="Y5:Y24" si="5">Q5-P5</f>
        <v>0</v>
      </c>
      <c r="Z5" s="44">
        <f t="shared" ref="Z5:Z24" si="6">X5+(A$6*W5)</f>
        <v>1377943.46</v>
      </c>
      <c r="AA5" s="50">
        <f t="shared" ref="AA5:AA24" si="7">Q5+X5</f>
        <v>1468405.98</v>
      </c>
      <c r="AB5" s="51">
        <f t="shared" ref="AB5:AB24" si="8">Z5/(1+GasDiscountRate)^1</f>
        <v>1290209.2322097376</v>
      </c>
      <c r="AC5" s="44">
        <f t="shared" ref="AC5:AC24" si="9">AA5/(1+GasDiscountRate)^1</f>
        <v>1374911.9662921347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1.5998552867805045</v>
      </c>
      <c r="AG5" s="44">
        <f t="shared" ref="AG5:AG24" si="11">AF5*J5*K5</f>
        <v>2351948.7289628834</v>
      </c>
      <c r="AH5" s="52">
        <f>HLOOKUP(I5,GasAvoidedCostsWOCC!$A$5:$Q$50,T5+1,FALSE)</f>
        <v>1.5998552867805045</v>
      </c>
      <c r="AI5" s="44">
        <f t="shared" ref="AI5:AI24" si="12">AH5*J5*L5</f>
        <v>0</v>
      </c>
      <c r="AJ5" s="44">
        <f>AG5+AI5</f>
        <v>2351948.7289628834</v>
      </c>
      <c r="AK5" s="44">
        <f>HLOOKUP(I5,GasAvoidedCostsWOCC!$A$5:$Q$50,G5+1,FALSE)*J5*L5</f>
        <v>0</v>
      </c>
      <c r="AL5" s="44">
        <f>AG5+AI5-AK5</f>
        <v>2351948.7289628834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2351948.7289628834</v>
      </c>
      <c r="AN5" s="48">
        <f>AM5*1.1+AD5+AE5</f>
        <v>2587143.6018591719</v>
      </c>
      <c r="AO5" s="47">
        <f>IFERROR(AM5/AB5,0)</f>
        <v>1.8229203994569994</v>
      </c>
      <c r="AP5" s="47">
        <f>AN5/AC5</f>
        <v>1.8816794567845574</v>
      </c>
    </row>
    <row r="6" spans="1:42" ht="13.5" customHeight="1" x14ac:dyDescent="0.35">
      <c r="A6" s="53">
        <f>SUMIF('Program Costs'!D:D,C2,'Program Costs'!L:L)</f>
        <v>662516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715427.46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1470100.92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752978.52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1377943.46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1468405.98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1.8229203994569994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1.8816794567845574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18230254</v>
      </c>
      <c r="D2" s="20" t="s">
        <v>546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18230254</v>
      </c>
      <c r="D5" s="61" t="s">
        <v>546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60319.93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60319.93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60319.93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7" sqref="F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18230684</v>
      </c>
      <c r="D2" s="20" t="s">
        <v>100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99</v>
      </c>
      <c r="C5" s="98">
        <v>18230684</v>
      </c>
      <c r="D5" s="61" t="s">
        <v>100</v>
      </c>
      <c r="E5" s="38" t="s">
        <v>1004</v>
      </c>
      <c r="F5" s="39" t="s">
        <v>1005</v>
      </c>
      <c r="G5" s="39">
        <v>36</v>
      </c>
      <c r="H5" s="39"/>
      <c r="I5" s="40" t="s">
        <v>274</v>
      </c>
      <c r="J5" s="41">
        <v>1</v>
      </c>
      <c r="K5" s="41">
        <v>247</v>
      </c>
      <c r="L5" s="41"/>
      <c r="M5" s="42">
        <v>750</v>
      </c>
      <c r="N5" s="42">
        <v>797</v>
      </c>
      <c r="O5" s="43">
        <v>74</v>
      </c>
      <c r="P5" s="44">
        <v>750</v>
      </c>
      <c r="Q5" s="44">
        <v>797</v>
      </c>
      <c r="R5" s="45">
        <v>24.59</v>
      </c>
      <c r="S5" s="46">
        <v>0</v>
      </c>
      <c r="T5" s="39">
        <f t="shared" ref="T5:T24" si="0">G5+H5</f>
        <v>36</v>
      </c>
      <c r="U5" s="47">
        <f t="shared" ref="U5:U24" si="1">(O5/$A$10)*T5</f>
        <v>0.59932508436445453</v>
      </c>
      <c r="V5" s="48">
        <f t="shared" ref="V5:V24" si="2">N5-M5</f>
        <v>47</v>
      </c>
      <c r="W5" s="49">
        <f t="shared" ref="W5:W24" si="3">(O5/A$10)</f>
        <v>1.6647919010123736E-2</v>
      </c>
      <c r="X5" s="44">
        <f t="shared" ref="X5:X24" si="4">W5*A$8</f>
        <v>369.13763779527568</v>
      </c>
      <c r="Y5" s="44">
        <f t="shared" ref="Y5:Y24" si="5">Q5-P5</f>
        <v>47</v>
      </c>
      <c r="Z5" s="44">
        <f t="shared" ref="Z5:Z24" si="6">X5+(A$6*W5)</f>
        <v>810.30749156355466</v>
      </c>
      <c r="AA5" s="50">
        <f t="shared" ref="AA5:AA24" si="7">Q5+X5</f>
        <v>1166.1376377952756</v>
      </c>
      <c r="AB5" s="51">
        <f t="shared" ref="AB5:AB24" si="8">Z5/(1+GasDiscountRate)^1</f>
        <v>758.71487974115598</v>
      </c>
      <c r="AC5" s="44">
        <f t="shared" ref="AC5:AC24" si="9">AA5/(1+GasDiscountRate)^1</f>
        <v>1091.8891739656137</v>
      </c>
      <c r="AD5" s="44">
        <f t="shared" ref="AD5:AD24" si="10">-PV(GasDiscountRate,T5,R5)*J5</f>
        <v>327.757836878771</v>
      </c>
      <c r="AE5" s="44">
        <v>0</v>
      </c>
      <c r="AF5" s="52">
        <f>HLOOKUP(I5,GasAvoidedCostsWOCC!$A$5:$G$50,G5+1,FALSE)</f>
        <v>21.04439119834106</v>
      </c>
      <c r="AG5" s="44">
        <f t="shared" ref="AG5:AG24" si="11">AF5*J5*K5</f>
        <v>5197.964625990242</v>
      </c>
      <c r="AH5" s="52">
        <f>HLOOKUP(I5,GasAvoidedCostsWOCC!$A$5:$Q$50,T5+1,FALSE)</f>
        <v>21.04439119834106</v>
      </c>
      <c r="AI5" s="44">
        <f t="shared" ref="AI5:AI24" si="12">AH5*J5*L5</f>
        <v>0</v>
      </c>
      <c r="AJ5" s="44">
        <f>AG5+AI5</f>
        <v>5197.964625990242</v>
      </c>
      <c r="AK5" s="44">
        <f>HLOOKUP(I5,GasAvoidedCostsWOCC!$A$5:$Q$50,G5+1,FALSE)*J5*L5</f>
        <v>0</v>
      </c>
      <c r="AL5" s="44">
        <f>AG5+AI5-AK5</f>
        <v>5197.964625990242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5197.964625990242</v>
      </c>
      <c r="AN5" s="48">
        <f>AM5*1.1+AD5+AE5</f>
        <v>6045.5189254680372</v>
      </c>
      <c r="AO5" s="47">
        <f>IFERROR(AM5/AB5,0)</f>
        <v>6.8510118422398483</v>
      </c>
      <c r="AP5" s="47">
        <f>AN5/AC5</f>
        <v>5.5367514117860699</v>
      </c>
    </row>
    <row r="6" spans="1:42" ht="13.5" customHeight="1" x14ac:dyDescent="0.35">
      <c r="A6" s="53">
        <f>SUMIF('Program Costs'!D:D,C2,'Program Costs'!L:L)</f>
        <v>26500</v>
      </c>
      <c r="B6" s="97"/>
      <c r="C6" s="99"/>
      <c r="D6" s="100"/>
      <c r="E6" s="38" t="s">
        <v>1006</v>
      </c>
      <c r="F6" s="39" t="s">
        <v>1005</v>
      </c>
      <c r="G6" s="39">
        <v>27</v>
      </c>
      <c r="H6" s="39"/>
      <c r="I6" s="40" t="s">
        <v>274</v>
      </c>
      <c r="J6" s="41">
        <v>21</v>
      </c>
      <c r="K6" s="41"/>
      <c r="L6" s="41"/>
      <c r="M6" s="42">
        <v>750</v>
      </c>
      <c r="N6" s="42">
        <v>2215</v>
      </c>
      <c r="O6" s="43">
        <v>2717</v>
      </c>
      <c r="P6" s="44">
        <v>14500</v>
      </c>
      <c r="Q6" s="44">
        <v>46515</v>
      </c>
      <c r="R6" s="45">
        <v>8.6300000000000008</v>
      </c>
      <c r="S6" s="46">
        <v>0</v>
      </c>
      <c r="T6" s="39">
        <f t="shared" si="0"/>
        <v>27</v>
      </c>
      <c r="U6" s="47">
        <f t="shared" si="1"/>
        <v>16.503712035995498</v>
      </c>
      <c r="V6" s="48">
        <f t="shared" si="2"/>
        <v>1465</v>
      </c>
      <c r="W6" s="49">
        <f t="shared" si="3"/>
        <v>0.61124859392575925</v>
      </c>
      <c r="X6" s="44">
        <f t="shared" si="4"/>
        <v>13553.337322834648</v>
      </c>
      <c r="Y6" s="44">
        <f t="shared" si="5"/>
        <v>32015</v>
      </c>
      <c r="Z6" s="44">
        <f t="shared" si="6"/>
        <v>29751.425061867267</v>
      </c>
      <c r="AA6" s="50">
        <f t="shared" si="7"/>
        <v>60068.337322834646</v>
      </c>
      <c r="AB6" s="51">
        <f t="shared" si="8"/>
        <v>27857.139571036765</v>
      </c>
      <c r="AC6" s="44">
        <f t="shared" si="9"/>
        <v>56243.761538234685</v>
      </c>
      <c r="AD6" s="44">
        <f t="shared" si="10"/>
        <v>2214.0215810206605</v>
      </c>
      <c r="AE6" s="44">
        <v>0</v>
      </c>
      <c r="AF6" s="52">
        <f>HLOOKUP(I6,GasAvoidedCostsWOCC!$A$5:$G$50,G6+1,FALSE)</f>
        <v>16.995537040727296</v>
      </c>
      <c r="AG6" s="44">
        <f t="shared" si="11"/>
        <v>0</v>
      </c>
      <c r="AH6" s="52">
        <f>HLOOKUP(I6,GasAvoidedCostsWOCC!$A$5:$Q$50,T6+1,FALSE)</f>
        <v>16.995537040727296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2214.0215810206605</v>
      </c>
      <c r="AO6" s="47">
        <f t="shared" ref="AO6:AO24" si="16">IFERROR(AM6/AB6,0)</f>
        <v>0</v>
      </c>
      <c r="AP6" s="47">
        <f t="shared" ref="AP6:AP24" si="17">AN6/AC6</f>
        <v>3.9364749448977762E-2</v>
      </c>
    </row>
    <row r="7" spans="1:42" ht="13.5" customHeight="1" x14ac:dyDescent="0.35">
      <c r="A7" s="36" t="s">
        <v>240</v>
      </c>
      <c r="B7" s="97"/>
      <c r="C7" s="99"/>
      <c r="D7" s="100"/>
      <c r="E7" s="38" t="s">
        <v>1007</v>
      </c>
      <c r="F7" s="39" t="s">
        <v>1008</v>
      </c>
      <c r="G7" s="39">
        <v>27</v>
      </c>
      <c r="H7" s="39"/>
      <c r="I7" s="40" t="s">
        <v>274</v>
      </c>
      <c r="J7" s="41">
        <v>1</v>
      </c>
      <c r="K7" s="41"/>
      <c r="L7" s="41"/>
      <c r="M7" s="42">
        <v>1000</v>
      </c>
      <c r="N7" s="42">
        <v>3773</v>
      </c>
      <c r="O7" s="43">
        <v>71</v>
      </c>
      <c r="P7" s="44">
        <v>1000</v>
      </c>
      <c r="Q7" s="44">
        <v>3773</v>
      </c>
      <c r="R7" s="45">
        <v>14.96</v>
      </c>
      <c r="S7" s="46">
        <v>0</v>
      </c>
      <c r="T7" s="39">
        <f t="shared" si="0"/>
        <v>27</v>
      </c>
      <c r="U7" s="47">
        <f t="shared" si="1"/>
        <v>0.43127109111361078</v>
      </c>
      <c r="V7" s="48">
        <f t="shared" si="2"/>
        <v>2773</v>
      </c>
      <c r="W7" s="49">
        <f t="shared" si="3"/>
        <v>1.5973003374578177E-2</v>
      </c>
      <c r="X7" s="44">
        <f t="shared" si="4"/>
        <v>354.1725984251969</v>
      </c>
      <c r="Y7" s="44">
        <f t="shared" si="5"/>
        <v>2773</v>
      </c>
      <c r="Z7" s="44">
        <f t="shared" si="6"/>
        <v>777.4571878515186</v>
      </c>
      <c r="AA7" s="50">
        <f t="shared" si="7"/>
        <v>4127.1725984251971</v>
      </c>
      <c r="AB7" s="51">
        <f t="shared" si="8"/>
        <v>727.95616840029822</v>
      </c>
      <c r="AC7" s="44">
        <f t="shared" si="9"/>
        <v>3864.3938187501844</v>
      </c>
      <c r="AD7" s="44">
        <f t="shared" si="10"/>
        <v>182.7609272861506</v>
      </c>
      <c r="AE7" s="44">
        <v>0</v>
      </c>
      <c r="AF7" s="52">
        <f>HLOOKUP(I7,GasAvoidedCostsWOCC!$A$5:$G$50,G7+1,FALSE)</f>
        <v>16.995537040727296</v>
      </c>
      <c r="AG7" s="44">
        <f t="shared" si="11"/>
        <v>0</v>
      </c>
      <c r="AH7" s="52">
        <f>HLOOKUP(I7,GasAvoidedCostsWOCC!$A$5:$Q$50,T7+1,FALSE)</f>
        <v>16.995537040727296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182.7609272861506</v>
      </c>
      <c r="AO7" s="47">
        <f t="shared" si="16"/>
        <v>0</v>
      </c>
      <c r="AP7" s="47">
        <f t="shared" si="17"/>
        <v>4.7293556469164118E-2</v>
      </c>
    </row>
    <row r="8" spans="1:42" ht="13.5" customHeight="1" x14ac:dyDescent="0.35">
      <c r="A8" s="53">
        <f>SUMIF('Program Costs'!D:D,C2,'Program Costs'!O:O)</f>
        <v>22173.200000000004</v>
      </c>
      <c r="B8" s="97"/>
      <c r="C8" s="100"/>
      <c r="D8" s="100"/>
      <c r="E8" s="38" t="s">
        <v>1011</v>
      </c>
      <c r="F8" s="39" t="s">
        <v>1012</v>
      </c>
      <c r="G8" s="39">
        <v>27</v>
      </c>
      <c r="H8" s="39"/>
      <c r="I8" s="40" t="s">
        <v>274</v>
      </c>
      <c r="J8" s="41">
        <v>18</v>
      </c>
      <c r="K8" s="41"/>
      <c r="L8" s="41"/>
      <c r="M8" s="42">
        <v>500</v>
      </c>
      <c r="N8" s="42">
        <v>2364.5</v>
      </c>
      <c r="O8" s="43">
        <v>1583</v>
      </c>
      <c r="P8" s="44">
        <v>10250</v>
      </c>
      <c r="Q8" s="44">
        <v>42561</v>
      </c>
      <c r="R8" s="45">
        <v>6.54</v>
      </c>
      <c r="S8" s="46">
        <v>0</v>
      </c>
      <c r="T8" s="39">
        <f t="shared" si="0"/>
        <v>27</v>
      </c>
      <c r="U8" s="47">
        <f t="shared" si="1"/>
        <v>9.6155230596175478</v>
      </c>
      <c r="V8" s="48">
        <f t="shared" si="2"/>
        <v>1864.5</v>
      </c>
      <c r="W8" s="49">
        <f t="shared" si="3"/>
        <v>0.35613048368953881</v>
      </c>
      <c r="X8" s="44">
        <f t="shared" si="4"/>
        <v>7896.5524409448835</v>
      </c>
      <c r="Y8" s="44">
        <f t="shared" si="5"/>
        <v>32311</v>
      </c>
      <c r="Z8" s="44">
        <f t="shared" si="6"/>
        <v>17334.010258717663</v>
      </c>
      <c r="AA8" s="50">
        <f t="shared" si="7"/>
        <v>50457.552440944884</v>
      </c>
      <c r="AB8" s="51">
        <f t="shared" si="8"/>
        <v>16230.346684192567</v>
      </c>
      <c r="AC8" s="44">
        <f t="shared" si="9"/>
        <v>47244.899289274232</v>
      </c>
      <c r="AD8" s="44">
        <f t="shared" si="10"/>
        <v>1438.1428048212333</v>
      </c>
      <c r="AE8" s="44">
        <v>0</v>
      </c>
      <c r="AF8" s="52">
        <f>HLOOKUP(I8,GasAvoidedCostsWOCC!$A$5:$G$50,G8+1,FALSE)</f>
        <v>16.995537040727296</v>
      </c>
      <c r="AG8" s="44">
        <f t="shared" si="11"/>
        <v>0</v>
      </c>
      <c r="AH8" s="52">
        <f>HLOOKUP(I8,GasAvoidedCostsWOCC!$A$5:$Q$50,T8+1,FALSE)</f>
        <v>16.995537040727296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1438.1428048212333</v>
      </c>
      <c r="AO8" s="47">
        <f t="shared" si="16"/>
        <v>0</v>
      </c>
      <c r="AP8" s="47">
        <f t="shared" si="17"/>
        <v>3.0440170821736254E-2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4445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26500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67146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27.149831271091113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48673.200000000004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115819.20000000001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0.1140550902870076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9.1110234286030434E-2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18230752</v>
      </c>
      <c r="D2" s="20" t="s">
        <v>321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99</v>
      </c>
      <c r="C5" s="98">
        <v>18230752</v>
      </c>
      <c r="D5" s="61" t="s">
        <v>321</v>
      </c>
      <c r="E5" s="38" t="s">
        <v>1025</v>
      </c>
      <c r="F5" s="39" t="s">
        <v>1026</v>
      </c>
      <c r="G5" s="39">
        <v>15</v>
      </c>
      <c r="H5" s="39"/>
      <c r="I5" s="40" t="s">
        <v>274</v>
      </c>
      <c r="J5" s="41">
        <v>1</v>
      </c>
      <c r="K5" s="41">
        <v>105.9</v>
      </c>
      <c r="L5" s="41"/>
      <c r="M5" s="42">
        <v>1000</v>
      </c>
      <c r="N5" s="42">
        <v>2514.08</v>
      </c>
      <c r="O5" s="43">
        <v>105.9</v>
      </c>
      <c r="P5" s="44">
        <v>1000</v>
      </c>
      <c r="Q5" s="44">
        <v>2514.08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1514.08</v>
      </c>
      <c r="W5" s="49">
        <f t="shared" ref="W5:W24" si="3">(O5/A$10)</f>
        <v>1</v>
      </c>
      <c r="X5" s="44">
        <f t="shared" ref="X5:X24" si="4">W5*A$8</f>
        <v>21084.170000000002</v>
      </c>
      <c r="Y5" s="44">
        <f t="shared" ref="Y5:Y24" si="5">Q5-P5</f>
        <v>1514.08</v>
      </c>
      <c r="Z5" s="44">
        <f t="shared" ref="Z5:Z24" si="6">X5+(A$6*W5)</f>
        <v>22084.170000000002</v>
      </c>
      <c r="AA5" s="50">
        <f t="shared" ref="AA5:AA24" si="7">Q5+X5</f>
        <v>23598.25</v>
      </c>
      <c r="AB5" s="51">
        <f t="shared" ref="AB5:AB24" si="8">Z5/(1+GasDiscountRate)^1</f>
        <v>20678.061797752809</v>
      </c>
      <c r="AC5" s="44">
        <f t="shared" ref="AC5:AC24" si="9">AA5/(1+GasDiscountRate)^1</f>
        <v>22095.739700374532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10.911258270506563</v>
      </c>
      <c r="AG5" s="44">
        <f t="shared" ref="AG5:AG24" si="11">AF5*J5*K5</f>
        <v>1155.502250846645</v>
      </c>
      <c r="AH5" s="52">
        <f>HLOOKUP(I5,GasAvoidedCostsWOCC!$A$5:$Q$50,T5+1,FALSE)</f>
        <v>10.911258270506563</v>
      </c>
      <c r="AI5" s="44">
        <f t="shared" ref="AI5:AI24" si="12">AH5*J5*L5</f>
        <v>0</v>
      </c>
      <c r="AJ5" s="44">
        <f>AG5+AI5</f>
        <v>1155.502250846645</v>
      </c>
      <c r="AK5" s="44">
        <f>HLOOKUP(I5,GasAvoidedCostsWOCC!$A$5:$Q$50,G5+1,FALSE)*J5*L5</f>
        <v>0</v>
      </c>
      <c r="AL5" s="44">
        <f>AG5+AI5-AK5</f>
        <v>1155.502250846645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1155.502250846645</v>
      </c>
      <c r="AN5" s="48">
        <f>AM5*1.1+AD5+AE5</f>
        <v>1271.0524759313096</v>
      </c>
      <c r="AO5" s="47">
        <f>IFERROR(AM5/AB5,0)</f>
        <v>5.588058794621744E-2</v>
      </c>
      <c r="AP5" s="47">
        <f>AN5/AC5</f>
        <v>5.7524775959854592E-2</v>
      </c>
    </row>
    <row r="6" spans="1:42" ht="13.5" customHeight="1" x14ac:dyDescent="0.35">
      <c r="A6" s="53">
        <f>SUMIF('Program Costs'!D:D,C2,'Program Costs'!L:L)</f>
        <v>1000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21084.170000000002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105.9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1000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1514.08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22084.170000000002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23598.25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5.588058794621744E-2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5.7524775959854592E-2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H9" sqref="H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18230736</v>
      </c>
      <c r="D2" s="20" t="s">
        <v>139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138</v>
      </c>
      <c r="C5" s="98">
        <v>18230736</v>
      </c>
      <c r="D5" s="61" t="s">
        <v>139</v>
      </c>
      <c r="E5" s="38" t="s">
        <v>1029</v>
      </c>
      <c r="F5" s="39" t="s">
        <v>1030</v>
      </c>
      <c r="G5" s="39">
        <v>45</v>
      </c>
      <c r="H5" s="39"/>
      <c r="I5" s="40" t="s">
        <v>274</v>
      </c>
      <c r="J5" s="41">
        <v>282428</v>
      </c>
      <c r="K5" s="41">
        <v>0.03</v>
      </c>
      <c r="L5" s="41"/>
      <c r="M5" s="42">
        <v>0.75</v>
      </c>
      <c r="N5" s="42">
        <v>1.05</v>
      </c>
      <c r="O5" s="43">
        <v>8472.84</v>
      </c>
      <c r="P5" s="44">
        <v>211821</v>
      </c>
      <c r="Q5" s="44">
        <v>296549.40000000002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30.67392435899189</v>
      </c>
      <c r="V5" s="48">
        <f t="shared" ref="V5:V24" si="2">N5-M5</f>
        <v>0.30000000000000004</v>
      </c>
      <c r="W5" s="49">
        <f t="shared" ref="W5:W24" si="3">(O5/A$10)</f>
        <v>0.68164276353315312</v>
      </c>
      <c r="X5" s="44">
        <f t="shared" ref="X5:X24" si="4">W5*A$8</f>
        <v>53804.653568173191</v>
      </c>
      <c r="Y5" s="44">
        <f t="shared" ref="Y5:Y24" si="5">Q5-P5</f>
        <v>84728.400000000023</v>
      </c>
      <c r="Z5" s="44">
        <f t="shared" ref="Z5:Z24" si="6">X5+(A$6*W5)</f>
        <v>221160.05117461499</v>
      </c>
      <c r="AA5" s="50">
        <f t="shared" ref="AA5:AA24" si="7">Q5+X5</f>
        <v>350354.0535681732</v>
      </c>
      <c r="AB5" s="51">
        <f t="shared" ref="AB5:AB24" si="8">Z5/(1+GasDiscountRate)^1</f>
        <v>207078.69960169942</v>
      </c>
      <c r="AC5" s="44">
        <f t="shared" ref="AC5:AC24" si="9">AA5/(1+GasDiscountRate)^1</f>
        <v>328046.8666368663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26.281560892700742</v>
      </c>
      <c r="AG5" s="44">
        <f t="shared" ref="AG5:AG24" si="11">AF5*J5*K5</f>
        <v>222679.46039411056</v>
      </c>
      <c r="AH5" s="52">
        <f>HLOOKUP(I5,GasAvoidedCostsWOCC!$A$5:$Q$50,T5+1,FALSE)</f>
        <v>26.281560892700742</v>
      </c>
      <c r="AI5" s="44">
        <f t="shared" ref="AI5:AI24" si="12">AH5*J5*L5</f>
        <v>0</v>
      </c>
      <c r="AJ5" s="44">
        <f>AG5+AI5</f>
        <v>222679.46039411056</v>
      </c>
      <c r="AK5" s="44">
        <f>HLOOKUP(I5,GasAvoidedCostsWOCC!$A$5:$Q$50,G5+1,FALSE)*J5*L5</f>
        <v>0</v>
      </c>
      <c r="AL5" s="44">
        <f>AG5+AI5-AK5</f>
        <v>222679.46039411056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222679.46039411056</v>
      </c>
      <c r="AN5" s="48">
        <f>AM5*1.1+AD5+AE5</f>
        <v>244947.40643352162</v>
      </c>
      <c r="AO5" s="47">
        <f>IFERROR(AM5/AB5,0)</f>
        <v>1.0753373515596634</v>
      </c>
      <c r="AP5" s="47">
        <f>AN5/AC5</f>
        <v>0.7466841824911189</v>
      </c>
    </row>
    <row r="6" spans="1:42" ht="13.5" customHeight="1" x14ac:dyDescent="0.35">
      <c r="A6" s="53">
        <f>SUMIF('Program Costs'!D:D,C2,'Program Costs'!L:L)</f>
        <v>245517.75</v>
      </c>
      <c r="B6" s="97" t="s">
        <v>138</v>
      </c>
      <c r="C6" s="98">
        <v>18230736</v>
      </c>
      <c r="D6" s="61" t="s">
        <v>139</v>
      </c>
      <c r="E6" s="38" t="s">
        <v>1037</v>
      </c>
      <c r="F6" s="39" t="s">
        <v>1038</v>
      </c>
      <c r="G6" s="39">
        <v>45</v>
      </c>
      <c r="H6" s="39"/>
      <c r="I6" s="40" t="s">
        <v>274</v>
      </c>
      <c r="J6" s="41">
        <v>2301</v>
      </c>
      <c r="K6" s="41">
        <v>0.1</v>
      </c>
      <c r="L6" s="41"/>
      <c r="M6" s="42">
        <v>0.75</v>
      </c>
      <c r="N6" s="42">
        <v>1.18</v>
      </c>
      <c r="O6" s="43">
        <v>230.1</v>
      </c>
      <c r="P6" s="44">
        <v>1725.75</v>
      </c>
      <c r="Q6" s="44">
        <v>2715.18</v>
      </c>
      <c r="R6" s="45">
        <v>0</v>
      </c>
      <c r="S6" s="46">
        <v>0</v>
      </c>
      <c r="T6" s="39">
        <f t="shared" si="0"/>
        <v>45</v>
      </c>
      <c r="U6" s="47">
        <f t="shared" si="1"/>
        <v>0.83302292914819998</v>
      </c>
      <c r="V6" s="48">
        <f t="shared" si="2"/>
        <v>0.42999999999999994</v>
      </c>
      <c r="W6" s="49">
        <f t="shared" si="3"/>
        <v>1.8511620647737776E-2</v>
      </c>
      <c r="X6" s="44">
        <f t="shared" si="4"/>
        <v>1461.1925618844039</v>
      </c>
      <c r="Y6" s="44">
        <f t="shared" si="5"/>
        <v>989.42999999999984</v>
      </c>
      <c r="Z6" s="44">
        <f t="shared" si="6"/>
        <v>6006.124012170525</v>
      </c>
      <c r="AA6" s="50">
        <f t="shared" si="7"/>
        <v>4176.3725618844037</v>
      </c>
      <c r="AB6" s="51">
        <f t="shared" si="8"/>
        <v>5623.711621882514</v>
      </c>
      <c r="AC6" s="44">
        <f t="shared" si="9"/>
        <v>3910.4612002662952</v>
      </c>
      <c r="AD6" s="44">
        <f t="shared" si="10"/>
        <v>0</v>
      </c>
      <c r="AE6" s="44">
        <v>0</v>
      </c>
      <c r="AF6" s="52">
        <f>HLOOKUP(I6,GasAvoidedCostsWOCC!$A$5:$G$50,G6+1,FALSE)</f>
        <v>26.281560892700742</v>
      </c>
      <c r="AG6" s="44">
        <f t="shared" si="11"/>
        <v>6047.387161410441</v>
      </c>
      <c r="AH6" s="52">
        <f>HLOOKUP(I6,GasAvoidedCostsWOCC!$A$5:$Q$50,T6+1,FALSE)</f>
        <v>26.281560892700742</v>
      </c>
      <c r="AI6" s="44">
        <f t="shared" si="12"/>
        <v>0</v>
      </c>
      <c r="AJ6" s="44">
        <f t="shared" ref="AJ6:AJ24" si="13">AG6+AI6</f>
        <v>6047.387161410441</v>
      </c>
      <c r="AK6" s="44">
        <f>HLOOKUP(I6,GasAvoidedCostsWOCC!$A$5:$Q$50,G6+1,FALSE)*J6*L6</f>
        <v>0</v>
      </c>
      <c r="AL6" s="44">
        <f t="shared" ref="AL6:AL24" si="14">AG6+AI6-AK6</f>
        <v>6047.387161410441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6047.3871614104419</v>
      </c>
      <c r="AN6" s="48">
        <f t="shared" ref="AN6:AN24" si="15">AM6*1.1+AD6+AE6</f>
        <v>6652.1258775514862</v>
      </c>
      <c r="AO6" s="47">
        <f t="shared" ref="AO6:AO24" si="16">IFERROR(AM6/AB6,0)</f>
        <v>1.0753373515596634</v>
      </c>
      <c r="AP6" s="47">
        <f t="shared" ref="AP6:AP24" si="17">AN6/AC6</f>
        <v>1.7011103133048573</v>
      </c>
    </row>
    <row r="7" spans="1:42" ht="13.5" customHeight="1" x14ac:dyDescent="0.35">
      <c r="A7" s="36" t="s">
        <v>240</v>
      </c>
      <c r="B7" s="97" t="s">
        <v>138</v>
      </c>
      <c r="C7" s="98">
        <v>18230736</v>
      </c>
      <c r="D7" s="61" t="s">
        <v>139</v>
      </c>
      <c r="E7" s="38" t="s">
        <v>1044</v>
      </c>
      <c r="F7" s="39" t="s">
        <v>1045</v>
      </c>
      <c r="G7" s="39">
        <v>20</v>
      </c>
      <c r="H7" s="39"/>
      <c r="I7" s="40" t="s">
        <v>266</v>
      </c>
      <c r="J7" s="41">
        <v>1</v>
      </c>
      <c r="K7" s="41">
        <v>383</v>
      </c>
      <c r="L7" s="41"/>
      <c r="M7" s="42">
        <v>6</v>
      </c>
      <c r="N7" s="42">
        <v>8.57</v>
      </c>
      <c r="O7" s="43">
        <v>383</v>
      </c>
      <c r="P7" s="44">
        <v>2298</v>
      </c>
      <c r="Q7" s="44">
        <v>12418</v>
      </c>
      <c r="R7" s="45">
        <v>0</v>
      </c>
      <c r="S7" s="46">
        <v>0</v>
      </c>
      <c r="T7" s="39">
        <f t="shared" si="0"/>
        <v>20</v>
      </c>
      <c r="U7" s="47">
        <f t="shared" si="1"/>
        <v>0.61624951830365648</v>
      </c>
      <c r="V7" s="48">
        <f t="shared" si="2"/>
        <v>2.5700000000000003</v>
      </c>
      <c r="W7" s="49">
        <f t="shared" si="3"/>
        <v>3.0812475915182824E-2</v>
      </c>
      <c r="X7" s="44">
        <f t="shared" si="4"/>
        <v>2432.1458113938575</v>
      </c>
      <c r="Y7" s="44">
        <f t="shared" si="5"/>
        <v>10120</v>
      </c>
      <c r="Z7" s="44">
        <f t="shared" si="6"/>
        <v>9997.1555700187346</v>
      </c>
      <c r="AA7" s="50">
        <f t="shared" si="7"/>
        <v>14850.145811393857</v>
      </c>
      <c r="AB7" s="51">
        <f t="shared" si="8"/>
        <v>9360.6325561973172</v>
      </c>
      <c r="AC7" s="44">
        <f t="shared" si="9"/>
        <v>13904.630909544809</v>
      </c>
      <c r="AD7" s="44">
        <f t="shared" si="10"/>
        <v>0</v>
      </c>
      <c r="AE7" s="44">
        <v>0</v>
      </c>
      <c r="AF7" s="52">
        <f>HLOOKUP(I7,GasAvoidedCostsWOCC!$A$5:$G$50,G7+1,FALSE)</f>
        <v>14.431417349782459</v>
      </c>
      <c r="AG7" s="44">
        <f t="shared" si="11"/>
        <v>5527.232844966682</v>
      </c>
      <c r="AH7" s="52">
        <f>HLOOKUP(I7,GasAvoidedCostsWOCC!$A$5:$Q$50,T7+1,FALSE)</f>
        <v>14.431417349782459</v>
      </c>
      <c r="AI7" s="44">
        <f t="shared" si="12"/>
        <v>0</v>
      </c>
      <c r="AJ7" s="44">
        <f t="shared" si="13"/>
        <v>5527.232844966682</v>
      </c>
      <c r="AK7" s="44">
        <f>HLOOKUP(I7,GasAvoidedCostsWOCC!$A$5:$Q$50,G7+1,FALSE)*J7*L7</f>
        <v>0</v>
      </c>
      <c r="AL7" s="44">
        <f t="shared" si="14"/>
        <v>5527.232844966682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5527.232844966682</v>
      </c>
      <c r="AN7" s="48">
        <f t="shared" si="15"/>
        <v>6079.9561294633504</v>
      </c>
      <c r="AO7" s="47">
        <f t="shared" si="16"/>
        <v>0.590476424727014</v>
      </c>
      <c r="AP7" s="47">
        <f t="shared" si="17"/>
        <v>0.43726123828930802</v>
      </c>
    </row>
    <row r="8" spans="1:42" ht="13.5" customHeight="1" x14ac:dyDescent="0.35">
      <c r="A8" s="53">
        <f>SUMIF('Program Costs'!D:D,C2,'Program Costs'!O:O)</f>
        <v>78933.799999999988</v>
      </c>
      <c r="B8" s="97" t="s">
        <v>138</v>
      </c>
      <c r="C8" s="98">
        <v>18230736</v>
      </c>
      <c r="D8" s="61" t="s">
        <v>139</v>
      </c>
      <c r="E8" s="38" t="s">
        <v>1046</v>
      </c>
      <c r="F8" s="39" t="s">
        <v>1047</v>
      </c>
      <c r="G8" s="39">
        <v>24</v>
      </c>
      <c r="H8" s="39"/>
      <c r="I8" s="40" t="s">
        <v>266</v>
      </c>
      <c r="J8" s="41">
        <v>1</v>
      </c>
      <c r="K8" s="41">
        <v>814</v>
      </c>
      <c r="L8" s="41"/>
      <c r="M8" s="42">
        <v>5</v>
      </c>
      <c r="N8" s="42">
        <v>7.14</v>
      </c>
      <c r="O8" s="43">
        <v>814</v>
      </c>
      <c r="P8" s="44">
        <v>3591</v>
      </c>
      <c r="Q8" s="44">
        <v>44320.5</v>
      </c>
      <c r="R8" s="45">
        <v>0</v>
      </c>
      <c r="S8" s="46">
        <v>0</v>
      </c>
      <c r="T8" s="39">
        <f t="shared" si="0"/>
        <v>24</v>
      </c>
      <c r="U8" s="47">
        <f t="shared" si="1"/>
        <v>1.5716776226606051</v>
      </c>
      <c r="V8" s="48">
        <f t="shared" si="2"/>
        <v>2.1399999999999997</v>
      </c>
      <c r="W8" s="49">
        <f t="shared" si="3"/>
        <v>6.548656761085854E-2</v>
      </c>
      <c r="X8" s="44">
        <f t="shared" si="4"/>
        <v>5169.1036304819854</v>
      </c>
      <c r="Y8" s="44">
        <f t="shared" si="5"/>
        <v>40729.5</v>
      </c>
      <c r="Z8" s="44">
        <f t="shared" si="6"/>
        <v>21247.218365522851</v>
      </c>
      <c r="AA8" s="50">
        <f t="shared" si="7"/>
        <v>49489.603630481986</v>
      </c>
      <c r="AB8" s="51">
        <f t="shared" si="8"/>
        <v>19894.399218654355</v>
      </c>
      <c r="AC8" s="44">
        <f t="shared" si="9"/>
        <v>46338.580178353914</v>
      </c>
      <c r="AD8" s="44">
        <f t="shared" si="10"/>
        <v>0</v>
      </c>
      <c r="AE8" s="44">
        <v>0</v>
      </c>
      <c r="AF8" s="52">
        <f>HLOOKUP(I8,GasAvoidedCostsWOCC!$A$5:$G$50,G8+1,FALSE)</f>
        <v>16.486394554303946</v>
      </c>
      <c r="AG8" s="44">
        <f t="shared" si="11"/>
        <v>13419.925167203412</v>
      </c>
      <c r="AH8" s="52">
        <f>HLOOKUP(I8,GasAvoidedCostsWOCC!$A$5:$Q$50,T8+1,FALSE)</f>
        <v>16.486394554303946</v>
      </c>
      <c r="AI8" s="44">
        <f t="shared" si="12"/>
        <v>0</v>
      </c>
      <c r="AJ8" s="44">
        <f t="shared" si="13"/>
        <v>13419.925167203412</v>
      </c>
      <c r="AK8" s="44">
        <f>HLOOKUP(I8,GasAvoidedCostsWOCC!$A$5:$Q$50,G8+1,FALSE)*J8*L8</f>
        <v>0</v>
      </c>
      <c r="AL8" s="44">
        <f t="shared" si="14"/>
        <v>13419.925167203412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13419.925167203412</v>
      </c>
      <c r="AN8" s="48">
        <f t="shared" si="15"/>
        <v>14761.917683923753</v>
      </c>
      <c r="AO8" s="47">
        <f t="shared" si="16"/>
        <v>0.67455795069297531</v>
      </c>
      <c r="AP8" s="47">
        <f t="shared" si="17"/>
        <v>0.31856646507308117</v>
      </c>
    </row>
    <row r="9" spans="1:42" ht="13.5" customHeight="1" x14ac:dyDescent="0.35">
      <c r="A9" s="36" t="s">
        <v>305</v>
      </c>
      <c r="B9" s="97" t="s">
        <v>138</v>
      </c>
      <c r="C9" s="98">
        <v>18230736</v>
      </c>
      <c r="D9" s="61" t="s">
        <v>139</v>
      </c>
      <c r="E9" s="38" t="s">
        <v>1065</v>
      </c>
      <c r="F9" s="39" t="s">
        <v>1066</v>
      </c>
      <c r="G9" s="39">
        <v>45</v>
      </c>
      <c r="H9" s="39"/>
      <c r="I9" s="40" t="s">
        <v>274</v>
      </c>
      <c r="J9" s="41">
        <v>1368</v>
      </c>
      <c r="K9" s="41">
        <v>1.1499999999999999</v>
      </c>
      <c r="L9" s="41"/>
      <c r="M9" s="42">
        <v>7</v>
      </c>
      <c r="N9" s="42">
        <v>23.3</v>
      </c>
      <c r="O9" s="43">
        <v>1573.2</v>
      </c>
      <c r="P9" s="44">
        <v>15932</v>
      </c>
      <c r="Q9" s="44">
        <v>31874.400000000001</v>
      </c>
      <c r="R9" s="45">
        <v>0</v>
      </c>
      <c r="S9" s="46">
        <v>0</v>
      </c>
      <c r="T9" s="39">
        <f t="shared" si="0"/>
        <v>45</v>
      </c>
      <c r="U9" s="47">
        <f t="shared" si="1"/>
        <v>5.6954005742544469</v>
      </c>
      <c r="V9" s="48">
        <f t="shared" si="2"/>
        <v>16.3</v>
      </c>
      <c r="W9" s="49">
        <f t="shared" si="3"/>
        <v>0.12656445720565437</v>
      </c>
      <c r="X9" s="44">
        <f t="shared" si="4"/>
        <v>9990.213552179679</v>
      </c>
      <c r="Y9" s="44">
        <f t="shared" si="5"/>
        <v>15942.400000000001</v>
      </c>
      <c r="Z9" s="44">
        <f t="shared" si="6"/>
        <v>41064.034315283228</v>
      </c>
      <c r="AA9" s="50">
        <f t="shared" si="7"/>
        <v>41864.613552179682</v>
      </c>
      <c r="AB9" s="51">
        <f t="shared" si="8"/>
        <v>38449.470332662197</v>
      </c>
      <c r="AC9" s="44">
        <f t="shared" si="9"/>
        <v>39199.076359718798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26.281560892700742</v>
      </c>
      <c r="AG9" s="44">
        <f t="shared" si="11"/>
        <v>41346.151596396805</v>
      </c>
      <c r="AH9" s="52">
        <f>HLOOKUP(I9,GasAvoidedCostsWOCC!$A$5:$Q$50,T9+1,FALSE)</f>
        <v>26.281560892700742</v>
      </c>
      <c r="AI9" s="44">
        <f t="shared" si="12"/>
        <v>0</v>
      </c>
      <c r="AJ9" s="44">
        <f t="shared" si="13"/>
        <v>41346.151596396805</v>
      </c>
      <c r="AK9" s="44">
        <f>HLOOKUP(I9,GasAvoidedCostsWOCC!$A$5:$Q$50,G9+1,FALSE)*J9*L9</f>
        <v>0</v>
      </c>
      <c r="AL9" s="44">
        <f t="shared" si="14"/>
        <v>41346.151596396805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41346.151596396805</v>
      </c>
      <c r="AN9" s="48">
        <f t="shared" si="15"/>
        <v>45480.766756036486</v>
      </c>
      <c r="AO9" s="47">
        <f t="shared" si="16"/>
        <v>1.0753373515596631</v>
      </c>
      <c r="AP9" s="47">
        <f t="shared" si="17"/>
        <v>1.1602509798616782</v>
      </c>
    </row>
    <row r="10" spans="1:42" ht="13.5" customHeight="1" x14ac:dyDescent="0.35">
      <c r="A10" s="54">
        <f>SUM(O5:O999)</f>
        <v>12430.03</v>
      </c>
      <c r="B10" s="97" t="s">
        <v>138</v>
      </c>
      <c r="C10" s="98">
        <v>18230736</v>
      </c>
      <c r="D10" s="61" t="s">
        <v>139</v>
      </c>
      <c r="E10" s="38" t="s">
        <v>1069</v>
      </c>
      <c r="F10" s="39" t="s">
        <v>1070</v>
      </c>
      <c r="G10" s="39">
        <v>20</v>
      </c>
      <c r="H10" s="39"/>
      <c r="I10" s="40" t="s">
        <v>274</v>
      </c>
      <c r="J10" s="41">
        <v>4</v>
      </c>
      <c r="K10" s="41">
        <v>104</v>
      </c>
      <c r="L10" s="41"/>
      <c r="M10" s="42">
        <v>800</v>
      </c>
      <c r="N10" s="42">
        <v>1502</v>
      </c>
      <c r="O10" s="43">
        <v>416</v>
      </c>
      <c r="P10" s="44">
        <v>3200</v>
      </c>
      <c r="Q10" s="44">
        <v>6008</v>
      </c>
      <c r="R10" s="45">
        <v>7.7064000000000004</v>
      </c>
      <c r="S10" s="46">
        <v>0</v>
      </c>
      <c r="T10" s="39">
        <f t="shared" si="0"/>
        <v>20</v>
      </c>
      <c r="U10" s="47">
        <f t="shared" si="1"/>
        <v>0.66934673528543376</v>
      </c>
      <c r="V10" s="48">
        <f t="shared" si="2"/>
        <v>702</v>
      </c>
      <c r="W10" s="49">
        <f t="shared" si="3"/>
        <v>3.3467336764271688E-2</v>
      </c>
      <c r="X10" s="44">
        <f t="shared" si="4"/>
        <v>2641.7040666836683</v>
      </c>
      <c r="Y10" s="44">
        <f t="shared" si="5"/>
        <v>2808</v>
      </c>
      <c r="Z10" s="44">
        <f t="shared" si="6"/>
        <v>10858.529287539932</v>
      </c>
      <c r="AA10" s="50">
        <f t="shared" si="7"/>
        <v>8649.7040666836692</v>
      </c>
      <c r="AB10" s="51">
        <f t="shared" si="8"/>
        <v>10167.162254250872</v>
      </c>
      <c r="AC10" s="44">
        <f t="shared" si="9"/>
        <v>8098.973845209428</v>
      </c>
      <c r="AD10" s="44">
        <f t="shared" si="10"/>
        <v>331.70532749204403</v>
      </c>
      <c r="AE10" s="44">
        <f t="shared" si="18"/>
        <v>0</v>
      </c>
      <c r="AF10" s="52">
        <f>HLOOKUP(I10,GasAvoidedCostsWOCC!$A$5:$G$50,G10+1,FALSE)</f>
        <v>13.713759429231397</v>
      </c>
      <c r="AG10" s="44">
        <f t="shared" si="11"/>
        <v>5704.9239225602614</v>
      </c>
      <c r="AH10" s="52">
        <f>HLOOKUP(I10,GasAvoidedCostsWOCC!$A$5:$Q$50,T10+1,FALSE)</f>
        <v>13.713759429231397</v>
      </c>
      <c r="AI10" s="44">
        <f t="shared" si="12"/>
        <v>0</v>
      </c>
      <c r="AJ10" s="44">
        <f t="shared" si="13"/>
        <v>5704.9239225602614</v>
      </c>
      <c r="AK10" s="44">
        <f>HLOOKUP(I10,GasAvoidedCostsWOCC!$A$5:$Q$50,G10+1,FALSE)*J10*L10</f>
        <v>0</v>
      </c>
      <c r="AL10" s="44">
        <f t="shared" si="14"/>
        <v>5704.9239225602614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5704.9239225602614</v>
      </c>
      <c r="AN10" s="48">
        <f t="shared" si="15"/>
        <v>6607.1216423083315</v>
      </c>
      <c r="AO10" s="47">
        <f t="shared" si="16"/>
        <v>0.56111270577737093</v>
      </c>
      <c r="AP10" s="47">
        <f t="shared" si="17"/>
        <v>0.81579737983923328</v>
      </c>
    </row>
    <row r="11" spans="1:42" ht="13.5" customHeight="1" x14ac:dyDescent="0.35">
      <c r="A11" s="36" t="s">
        <v>243</v>
      </c>
      <c r="B11" s="97" t="s">
        <v>138</v>
      </c>
      <c r="C11" s="98">
        <v>18230736</v>
      </c>
      <c r="D11" s="61" t="s">
        <v>139</v>
      </c>
      <c r="E11" s="38" t="s">
        <v>1071</v>
      </c>
      <c r="F11" s="39" t="s">
        <v>1072</v>
      </c>
      <c r="G11" s="39">
        <v>20</v>
      </c>
      <c r="H11" s="39"/>
      <c r="I11" s="40" t="s">
        <v>274</v>
      </c>
      <c r="J11" s="41">
        <v>1</v>
      </c>
      <c r="K11" s="41">
        <v>110</v>
      </c>
      <c r="L11" s="41"/>
      <c r="M11" s="42">
        <v>350</v>
      </c>
      <c r="N11" s="42">
        <v>603</v>
      </c>
      <c r="O11" s="43">
        <v>110</v>
      </c>
      <c r="P11" s="44">
        <v>350</v>
      </c>
      <c r="Q11" s="44">
        <v>603</v>
      </c>
      <c r="R11" s="45">
        <v>0</v>
      </c>
      <c r="S11" s="46">
        <v>0</v>
      </c>
      <c r="T11" s="39">
        <f t="shared" si="0"/>
        <v>20</v>
      </c>
      <c r="U11" s="47">
        <f t="shared" si="1"/>
        <v>0.17699072327259063</v>
      </c>
      <c r="V11" s="48">
        <f t="shared" si="2"/>
        <v>253</v>
      </c>
      <c r="W11" s="49">
        <f t="shared" si="3"/>
        <v>8.8495361636295317E-3</v>
      </c>
      <c r="X11" s="44">
        <f t="shared" si="4"/>
        <v>698.52751763270066</v>
      </c>
      <c r="Y11" s="44">
        <f t="shared" si="5"/>
        <v>253</v>
      </c>
      <c r="Z11" s="44">
        <f t="shared" si="6"/>
        <v>2871.2457250706548</v>
      </c>
      <c r="AA11" s="50">
        <f t="shared" si="7"/>
        <v>1301.5275176327007</v>
      </c>
      <c r="AB11" s="51">
        <f t="shared" si="8"/>
        <v>2688.4323268451822</v>
      </c>
      <c r="AC11" s="44">
        <f t="shared" si="9"/>
        <v>1218.6587243751878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13.713759429231397</v>
      </c>
      <c r="AG11" s="44">
        <f t="shared" si="11"/>
        <v>1508.5135372154537</v>
      </c>
      <c r="AH11" s="52">
        <f>HLOOKUP(I11,GasAvoidedCostsWOCC!$A$5:$Q$50,T11+1,FALSE)</f>
        <v>13.713759429231397</v>
      </c>
      <c r="AI11" s="44">
        <f t="shared" si="12"/>
        <v>0</v>
      </c>
      <c r="AJ11" s="44">
        <f t="shared" si="13"/>
        <v>1508.5135372154537</v>
      </c>
      <c r="AK11" s="44">
        <f>HLOOKUP(I11,GasAvoidedCostsWOCC!$A$5:$Q$50,G11+1,FALSE)*J11*L11</f>
        <v>0</v>
      </c>
      <c r="AL11" s="44">
        <f t="shared" si="14"/>
        <v>1508.5135372154537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1508.5135372154537</v>
      </c>
      <c r="AN11" s="48">
        <f t="shared" si="15"/>
        <v>1659.3648909369992</v>
      </c>
      <c r="AO11" s="47">
        <f t="shared" si="16"/>
        <v>0.56111270577737105</v>
      </c>
      <c r="AP11" s="47">
        <f t="shared" si="17"/>
        <v>1.3616321433941758</v>
      </c>
    </row>
    <row r="12" spans="1:42" ht="13.5" customHeight="1" x14ac:dyDescent="0.35">
      <c r="A12" s="55">
        <f>SUM(P5:P1000)</f>
        <v>245880.75</v>
      </c>
      <c r="B12" s="97" t="s">
        <v>138</v>
      </c>
      <c r="C12" s="98">
        <v>18230736</v>
      </c>
      <c r="D12" s="61" t="s">
        <v>139</v>
      </c>
      <c r="E12" s="38" t="s">
        <v>1073</v>
      </c>
      <c r="F12" s="39" t="s">
        <v>1072</v>
      </c>
      <c r="G12" s="39">
        <v>20</v>
      </c>
      <c r="H12" s="39"/>
      <c r="I12" s="40" t="s">
        <v>274</v>
      </c>
      <c r="J12" s="41">
        <v>1</v>
      </c>
      <c r="K12" s="41">
        <v>105.31</v>
      </c>
      <c r="L12" s="41"/>
      <c r="M12" s="42">
        <v>700</v>
      </c>
      <c r="N12" s="42">
        <v>1438</v>
      </c>
      <c r="O12" s="43">
        <v>105.31</v>
      </c>
      <c r="P12" s="44">
        <v>700</v>
      </c>
      <c r="Q12" s="44">
        <v>1438</v>
      </c>
      <c r="R12" s="45">
        <v>30.04</v>
      </c>
      <c r="S12" s="46">
        <v>0</v>
      </c>
      <c r="T12" s="39">
        <f t="shared" si="0"/>
        <v>20</v>
      </c>
      <c r="U12" s="47">
        <f t="shared" si="1"/>
        <v>0.16944448243487747</v>
      </c>
      <c r="V12" s="48">
        <f t="shared" si="2"/>
        <v>738</v>
      </c>
      <c r="W12" s="49">
        <f t="shared" si="3"/>
        <v>8.4722241217438741E-3</v>
      </c>
      <c r="X12" s="44">
        <f t="shared" si="4"/>
        <v>668.74484438090656</v>
      </c>
      <c r="Y12" s="44">
        <f t="shared" si="5"/>
        <v>738</v>
      </c>
      <c r="Z12" s="44">
        <f t="shared" si="6"/>
        <v>2748.8262482471887</v>
      </c>
      <c r="AA12" s="50">
        <f t="shared" si="7"/>
        <v>2106.7448443809067</v>
      </c>
      <c r="AB12" s="51">
        <f t="shared" si="8"/>
        <v>2573.8073485460568</v>
      </c>
      <c r="AC12" s="44">
        <f t="shared" si="9"/>
        <v>1972.6075321918602</v>
      </c>
      <c r="AD12" s="44">
        <f t="shared" si="10"/>
        <v>323.25171409026916</v>
      </c>
      <c r="AE12" s="44">
        <f t="shared" si="18"/>
        <v>0</v>
      </c>
      <c r="AF12" s="52">
        <f>HLOOKUP(I12,GasAvoidedCostsWOCC!$A$5:$G$50,G12+1,FALSE)</f>
        <v>13.713759429231397</v>
      </c>
      <c r="AG12" s="44">
        <f t="shared" si="11"/>
        <v>1444.1960054923584</v>
      </c>
      <c r="AH12" s="52">
        <f>HLOOKUP(I12,GasAvoidedCostsWOCC!$A$5:$Q$50,T12+1,FALSE)</f>
        <v>13.713759429231397</v>
      </c>
      <c r="AI12" s="44">
        <f t="shared" si="12"/>
        <v>0</v>
      </c>
      <c r="AJ12" s="44">
        <f t="shared" si="13"/>
        <v>1444.1960054923584</v>
      </c>
      <c r="AK12" s="44">
        <f>HLOOKUP(I12,GasAvoidedCostsWOCC!$A$5:$Q$50,G12+1,FALSE)*J12*L12</f>
        <v>0</v>
      </c>
      <c r="AL12" s="44">
        <f t="shared" si="14"/>
        <v>1444.1960054923584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1444.1960054923584</v>
      </c>
      <c r="AN12" s="48">
        <f t="shared" si="15"/>
        <v>1911.8673201318636</v>
      </c>
      <c r="AO12" s="47">
        <f t="shared" si="16"/>
        <v>0.56111270577737082</v>
      </c>
      <c r="AP12" s="47">
        <f t="shared" si="17"/>
        <v>0.96920816175100721</v>
      </c>
    </row>
    <row r="13" spans="1:42" ht="13.5" customHeight="1" x14ac:dyDescent="0.35">
      <c r="A13" s="56" t="s">
        <v>246</v>
      </c>
      <c r="B13" s="97" t="s">
        <v>138</v>
      </c>
      <c r="C13" s="98">
        <v>18230736</v>
      </c>
      <c r="D13" s="61" t="s">
        <v>139</v>
      </c>
      <c r="E13" s="38" t="s">
        <v>1076</v>
      </c>
      <c r="F13" s="39" t="s">
        <v>1077</v>
      </c>
      <c r="G13" s="39">
        <v>10</v>
      </c>
      <c r="H13" s="39"/>
      <c r="I13" s="40" t="s">
        <v>270</v>
      </c>
      <c r="J13" s="41">
        <v>11</v>
      </c>
      <c r="K13" s="41">
        <v>2.2000000000000002</v>
      </c>
      <c r="L13" s="41"/>
      <c r="M13" s="42">
        <v>33</v>
      </c>
      <c r="N13" s="42">
        <v>33</v>
      </c>
      <c r="O13" s="43">
        <v>24.2</v>
      </c>
      <c r="P13" s="44">
        <v>363</v>
      </c>
      <c r="Q13" s="44">
        <v>363</v>
      </c>
      <c r="R13" s="45">
        <v>4.13</v>
      </c>
      <c r="S13" s="46">
        <v>0</v>
      </c>
      <c r="T13" s="39">
        <f t="shared" si="0"/>
        <v>10</v>
      </c>
      <c r="U13" s="47">
        <f t="shared" si="1"/>
        <v>1.9468979559984972E-2</v>
      </c>
      <c r="V13" s="48">
        <f t="shared" si="2"/>
        <v>0</v>
      </c>
      <c r="W13" s="49">
        <f t="shared" si="3"/>
        <v>1.9468979559984971E-3</v>
      </c>
      <c r="X13" s="44">
        <f t="shared" si="4"/>
        <v>153.67605387919414</v>
      </c>
      <c r="Y13" s="44">
        <f t="shared" si="5"/>
        <v>0</v>
      </c>
      <c r="Z13" s="44">
        <f t="shared" si="6"/>
        <v>631.67405951554417</v>
      </c>
      <c r="AA13" s="50">
        <f t="shared" si="7"/>
        <v>516.67605387919411</v>
      </c>
      <c r="AB13" s="51">
        <f t="shared" si="8"/>
        <v>591.45511190594016</v>
      </c>
      <c r="AC13" s="44">
        <f t="shared" si="9"/>
        <v>483.77907666591204</v>
      </c>
      <c r="AD13" s="44">
        <f t="shared" si="10"/>
        <v>322.05222411395488</v>
      </c>
      <c r="AE13" s="44">
        <f t="shared" si="18"/>
        <v>0</v>
      </c>
      <c r="AF13" s="52">
        <f>HLOOKUP(I13,GasAvoidedCostsWOCC!$A$5:$G$50,G13+1,FALSE)</f>
        <v>7.1529424306693103</v>
      </c>
      <c r="AG13" s="44">
        <f t="shared" si="11"/>
        <v>173.10120682219733</v>
      </c>
      <c r="AH13" s="52">
        <f>HLOOKUP(I13,GasAvoidedCostsWOCC!$A$5:$Q$50,T13+1,FALSE)</f>
        <v>7.1529424306693103</v>
      </c>
      <c r="AI13" s="44">
        <f t="shared" si="12"/>
        <v>0</v>
      </c>
      <c r="AJ13" s="44">
        <f t="shared" si="13"/>
        <v>173.10120682219733</v>
      </c>
      <c r="AK13" s="44">
        <f>HLOOKUP(I13,GasAvoidedCostsWOCC!$A$5:$Q$50,G13+1,FALSE)*J13*L13</f>
        <v>0</v>
      </c>
      <c r="AL13" s="44">
        <f t="shared" si="14"/>
        <v>173.10120682219733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173.10120682219733</v>
      </c>
      <c r="AN13" s="48">
        <f t="shared" si="15"/>
        <v>512.46355161837198</v>
      </c>
      <c r="AO13" s="47">
        <f t="shared" si="16"/>
        <v>0.2926700663121935</v>
      </c>
      <c r="AP13" s="47">
        <f t="shared" si="17"/>
        <v>1.059292508370032</v>
      </c>
    </row>
    <row r="14" spans="1:42" ht="13.5" customHeight="1" x14ac:dyDescent="0.35">
      <c r="A14" s="55">
        <f>SUM(Y5:Y1000)</f>
        <v>158208.53</v>
      </c>
      <c r="B14" s="97" t="s">
        <v>138</v>
      </c>
      <c r="C14" s="98">
        <v>18230736</v>
      </c>
      <c r="D14" s="61" t="s">
        <v>139</v>
      </c>
      <c r="E14" s="38" t="s">
        <v>1092</v>
      </c>
      <c r="F14" s="39" t="s">
        <v>1093</v>
      </c>
      <c r="G14" s="39">
        <v>45</v>
      </c>
      <c r="H14" s="39"/>
      <c r="I14" s="40" t="s">
        <v>274</v>
      </c>
      <c r="J14" s="41">
        <v>3600</v>
      </c>
      <c r="K14" s="41">
        <v>0.05</v>
      </c>
      <c r="L14" s="41"/>
      <c r="M14" s="42">
        <v>1.5</v>
      </c>
      <c r="N14" s="42">
        <v>1.82</v>
      </c>
      <c r="O14" s="43">
        <v>180</v>
      </c>
      <c r="P14" s="44">
        <v>5400</v>
      </c>
      <c r="Q14" s="44">
        <v>6552</v>
      </c>
      <c r="R14" s="45">
        <v>0</v>
      </c>
      <c r="S14" s="46">
        <v>0</v>
      </c>
      <c r="T14" s="39">
        <f t="shared" si="0"/>
        <v>45</v>
      </c>
      <c r="U14" s="47">
        <f t="shared" si="1"/>
        <v>0.65164766295817467</v>
      </c>
      <c r="V14" s="48">
        <f t="shared" si="2"/>
        <v>0.32000000000000006</v>
      </c>
      <c r="W14" s="49">
        <f t="shared" si="3"/>
        <v>1.4481059176848325E-2</v>
      </c>
      <c r="X14" s="44">
        <f t="shared" si="4"/>
        <v>1143.0450288535101</v>
      </c>
      <c r="Y14" s="44">
        <f t="shared" si="5"/>
        <v>1152</v>
      </c>
      <c r="Z14" s="44">
        <f t="shared" si="6"/>
        <v>4698.4020955701626</v>
      </c>
      <c r="AA14" s="50">
        <f t="shared" si="7"/>
        <v>7695.0450288535103</v>
      </c>
      <c r="AB14" s="51">
        <f t="shared" si="8"/>
        <v>4399.2528984739347</v>
      </c>
      <c r="AC14" s="44">
        <f t="shared" si="9"/>
        <v>7205.0983416231365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26.281560892700742</v>
      </c>
      <c r="AG14" s="44">
        <f t="shared" si="11"/>
        <v>4730.6809606861343</v>
      </c>
      <c r="AH14" s="52">
        <f>HLOOKUP(I14,GasAvoidedCostsWOCC!$A$5:$Q$50,T14+1,FALSE)</f>
        <v>26.281560892700742</v>
      </c>
      <c r="AI14" s="44">
        <f t="shared" si="12"/>
        <v>0</v>
      </c>
      <c r="AJ14" s="44">
        <f t="shared" si="13"/>
        <v>4730.6809606861343</v>
      </c>
      <c r="AK14" s="44">
        <f>HLOOKUP(I14,GasAvoidedCostsWOCC!$A$5:$Q$50,G14+1,FALSE)*J14*L14</f>
        <v>0</v>
      </c>
      <c r="AL14" s="44">
        <f t="shared" si="14"/>
        <v>4730.6809606861343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4730.6809606861343</v>
      </c>
      <c r="AN14" s="48">
        <f t="shared" si="15"/>
        <v>5203.7490567547484</v>
      </c>
      <c r="AO14" s="47">
        <f t="shared" si="16"/>
        <v>1.0753373515596636</v>
      </c>
      <c r="AP14" s="47">
        <f t="shared" si="17"/>
        <v>0.72223151024784871</v>
      </c>
    </row>
    <row r="15" spans="1:42" ht="13.5" customHeight="1" x14ac:dyDescent="0.35">
      <c r="A15" s="57" t="s">
        <v>249</v>
      </c>
      <c r="B15" s="97" t="s">
        <v>138</v>
      </c>
      <c r="C15" s="98">
        <v>18230736</v>
      </c>
      <c r="D15" s="61" t="s">
        <v>139</v>
      </c>
      <c r="E15" s="38" t="s">
        <v>1102</v>
      </c>
      <c r="F15" s="39" t="s">
        <v>1103</v>
      </c>
      <c r="G15" s="39">
        <v>20</v>
      </c>
      <c r="H15" s="39"/>
      <c r="I15" s="40" t="s">
        <v>270</v>
      </c>
      <c r="J15" s="41">
        <v>2</v>
      </c>
      <c r="K15" s="41">
        <v>60.69</v>
      </c>
      <c r="L15" s="41"/>
      <c r="M15" s="42">
        <v>250</v>
      </c>
      <c r="N15" s="42">
        <v>623.9</v>
      </c>
      <c r="O15" s="43">
        <v>121.38</v>
      </c>
      <c r="P15" s="44">
        <v>500</v>
      </c>
      <c r="Q15" s="44">
        <v>1247.8</v>
      </c>
      <c r="R15" s="45">
        <v>15.44</v>
      </c>
      <c r="S15" s="46">
        <v>0</v>
      </c>
      <c r="T15" s="39">
        <f t="shared" si="0"/>
        <v>20</v>
      </c>
      <c r="U15" s="47">
        <f t="shared" si="1"/>
        <v>0.19530121809842774</v>
      </c>
      <c r="V15" s="48">
        <f t="shared" si="2"/>
        <v>373.9</v>
      </c>
      <c r="W15" s="49">
        <f t="shared" si="3"/>
        <v>9.7650609049213868E-3</v>
      </c>
      <c r="X15" s="44">
        <f t="shared" si="4"/>
        <v>770.79336445688364</v>
      </c>
      <c r="Y15" s="44">
        <f t="shared" si="5"/>
        <v>747.8</v>
      </c>
      <c r="Z15" s="44">
        <f t="shared" si="6"/>
        <v>3168.2891464461463</v>
      </c>
      <c r="AA15" s="50">
        <f t="shared" si="7"/>
        <v>2018.5933644568836</v>
      </c>
      <c r="AB15" s="51">
        <f t="shared" si="8"/>
        <v>2966.5628712042567</v>
      </c>
      <c r="AC15" s="44">
        <f t="shared" si="9"/>
        <v>1890.0686933116885</v>
      </c>
      <c r="AD15" s="44">
        <f t="shared" si="10"/>
        <v>332.29071009013023</v>
      </c>
      <c r="AE15" s="44">
        <f t="shared" si="18"/>
        <v>0</v>
      </c>
      <c r="AF15" s="52">
        <f>HLOOKUP(I15,GasAvoidedCostsWOCC!$A$5:$G$50,G15+1,FALSE)</f>
        <v>12.854199367046983</v>
      </c>
      <c r="AG15" s="44">
        <f t="shared" si="11"/>
        <v>1560.2427191721627</v>
      </c>
      <c r="AH15" s="52">
        <f>HLOOKUP(I15,GasAvoidedCostsWOCC!$A$5:$Q$50,T15+1,FALSE)</f>
        <v>12.854199367046983</v>
      </c>
      <c r="AI15" s="44">
        <f t="shared" si="12"/>
        <v>0</v>
      </c>
      <c r="AJ15" s="44">
        <f t="shared" si="13"/>
        <v>1560.2427191721627</v>
      </c>
      <c r="AK15" s="44">
        <f>HLOOKUP(I15,GasAvoidedCostsWOCC!$A$5:$Q$50,G15+1,FALSE)*J15*L15</f>
        <v>0</v>
      </c>
      <c r="AL15" s="44">
        <f t="shared" si="14"/>
        <v>1560.2427191721627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1560.2427191721627</v>
      </c>
      <c r="AN15" s="48">
        <f t="shared" si="15"/>
        <v>2048.5577011795094</v>
      </c>
      <c r="AO15" s="47">
        <f t="shared" si="16"/>
        <v>0.52594291336855858</v>
      </c>
      <c r="AP15" s="47">
        <f t="shared" si="17"/>
        <v>1.0838535702054954</v>
      </c>
    </row>
    <row r="16" spans="1:42" ht="13.5" customHeight="1" x14ac:dyDescent="0.35">
      <c r="A16" s="54">
        <f>SUM(U5:U999)</f>
        <v>41.27247480496829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324451.55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483023.08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1.0011462696699305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0.74262318322838627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G10" sqref="G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18230673</v>
      </c>
      <c r="D2" s="20" t="s">
        <v>98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97</v>
      </c>
      <c r="C5" s="98">
        <v>18230673</v>
      </c>
      <c r="D5" s="61" t="s">
        <v>98</v>
      </c>
      <c r="E5" s="38" t="s">
        <v>1110</v>
      </c>
      <c r="F5" s="39" t="s">
        <v>1111</v>
      </c>
      <c r="G5" s="39">
        <v>15</v>
      </c>
      <c r="H5" s="39"/>
      <c r="I5" s="40" t="s">
        <v>261</v>
      </c>
      <c r="J5" s="41">
        <v>1</v>
      </c>
      <c r="K5" s="41">
        <v>1954</v>
      </c>
      <c r="L5" s="41"/>
      <c r="M5" s="42">
        <v>7816</v>
      </c>
      <c r="N5" s="42">
        <v>7816</v>
      </c>
      <c r="O5" s="43">
        <v>1954</v>
      </c>
      <c r="P5" s="44">
        <v>7816</v>
      </c>
      <c r="Q5" s="44">
        <v>7816</v>
      </c>
      <c r="R5" s="45"/>
      <c r="S5" s="46"/>
      <c r="T5" s="39">
        <f t="shared" ref="T5:T24" si="0">G5+H5</f>
        <v>15</v>
      </c>
      <c r="U5" s="47">
        <f t="shared" ref="U5:U24" si="1">(O5/$A$10)*T5</f>
        <v>1.5507116025607111</v>
      </c>
      <c r="V5" s="48">
        <f t="shared" ref="V5:V24" si="2">N5-M5</f>
        <v>0</v>
      </c>
      <c r="W5" s="49">
        <f t="shared" ref="W5:W24" si="3">(O5/A$10)</f>
        <v>0.10338077350404741</v>
      </c>
      <c r="X5" s="44">
        <f t="shared" ref="X5:X24" si="4">W5*A$8</f>
        <v>9261.849382572349</v>
      </c>
      <c r="Y5" s="44">
        <f t="shared" ref="Y5:Y24" si="5">Q5-P5</f>
        <v>0</v>
      </c>
      <c r="Z5" s="44">
        <f t="shared" ref="Z5:Z24" si="6">X5+(A$6*W5)</f>
        <v>19265.696692238504</v>
      </c>
      <c r="AA5" s="50">
        <f t="shared" ref="AA5:AA24" si="7">Q5+X5</f>
        <v>17077.849382572349</v>
      </c>
      <c r="AB5" s="51">
        <f t="shared" ref="AB5:AB24" si="8">Z5/(1+GasDiscountRate)^1</f>
        <v>18039.041846665263</v>
      </c>
      <c r="AC5" s="44">
        <f t="shared" ref="AC5:AC24" si="9">AA5/(1+GasDiscountRate)^1</f>
        <v>15990.495676565868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10.000114235272545</v>
      </c>
      <c r="AG5" s="44">
        <f t="shared" ref="AG5:AG24" si="11">AF5*J5*K5</f>
        <v>19540.223215722552</v>
      </c>
      <c r="AH5" s="52">
        <f>HLOOKUP(I5,GasAvoidedCostsWOCC!$A$5:$Q$50,T5+1,FALSE)</f>
        <v>10.000114235272545</v>
      </c>
      <c r="AI5" s="44">
        <f t="shared" ref="AI5:AI24" si="12">AH5*J5*L5</f>
        <v>0</v>
      </c>
      <c r="AJ5" s="44">
        <f>AG5+AI5</f>
        <v>19540.223215722552</v>
      </c>
      <c r="AK5" s="44">
        <f>HLOOKUP(I5,GasAvoidedCostsWOCC!$A$5:$Q$50,G5+1,FALSE)*J5*L5</f>
        <v>0</v>
      </c>
      <c r="AL5" s="44">
        <f>AG5+AI5-AK5</f>
        <v>19540.223215722552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19540.223215722552</v>
      </c>
      <c r="AN5" s="48">
        <f>AM5*1.1+AD5+AE5</f>
        <v>21494.24553729481</v>
      </c>
      <c r="AO5" s="47">
        <f>IFERROR(AM5/AB5,0)</f>
        <v>1.0832184648063667</v>
      </c>
      <c r="AP5" s="47">
        <f>AN5/AC5</f>
        <v>1.344188821413129</v>
      </c>
    </row>
    <row r="6" spans="1:42" ht="13.5" customHeight="1" x14ac:dyDescent="0.35">
      <c r="A6" s="53">
        <f>SUMIF('Program Costs'!D:D,C2,'Program Costs'!L:L)</f>
        <v>96767</v>
      </c>
      <c r="B6" s="97" t="s">
        <v>97</v>
      </c>
      <c r="C6" s="98">
        <v>18230673</v>
      </c>
      <c r="D6" s="61" t="s">
        <v>98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16947</v>
      </c>
      <c r="L6" s="41"/>
      <c r="M6" s="42">
        <v>88951</v>
      </c>
      <c r="N6" s="42">
        <v>88951</v>
      </c>
      <c r="O6" s="43">
        <v>16947</v>
      </c>
      <c r="P6" s="44">
        <v>88951</v>
      </c>
      <c r="Q6" s="44">
        <v>88951</v>
      </c>
      <c r="R6" s="45"/>
      <c r="S6" s="46"/>
      <c r="T6" s="39">
        <f t="shared" si="0"/>
        <v>15</v>
      </c>
      <c r="U6" s="47">
        <f t="shared" si="1"/>
        <v>13.44928839743929</v>
      </c>
      <c r="V6" s="48">
        <f t="shared" si="2"/>
        <v>0</v>
      </c>
      <c r="W6" s="49">
        <f t="shared" si="3"/>
        <v>0.8966192264959526</v>
      </c>
      <c r="X6" s="44">
        <f t="shared" si="4"/>
        <v>80327.820617427642</v>
      </c>
      <c r="Y6" s="44">
        <f t="shared" si="5"/>
        <v>0</v>
      </c>
      <c r="Z6" s="44">
        <f t="shared" si="6"/>
        <v>167090.97330776148</v>
      </c>
      <c r="AA6" s="50">
        <f t="shared" si="7"/>
        <v>169278.82061742764</v>
      </c>
      <c r="AB6" s="51">
        <f t="shared" si="8"/>
        <v>156452.22219827853</v>
      </c>
      <c r="AC6" s="44">
        <f t="shared" si="9"/>
        <v>158500.76836837793</v>
      </c>
      <c r="AD6" s="44">
        <f t="shared" si="10"/>
        <v>0</v>
      </c>
      <c r="AE6" s="44">
        <v>0</v>
      </c>
      <c r="AF6" s="52">
        <f>HLOOKUP(I6,GasAvoidedCostsWOCC!$A$5:$G$50,G6+1,FALSE)</f>
        <v>10.000114235272545</v>
      </c>
      <c r="AG6" s="44">
        <f t="shared" si="11"/>
        <v>169471.9359451638</v>
      </c>
      <c r="AH6" s="52">
        <f>HLOOKUP(I6,GasAvoidedCostsWOCC!$A$5:$Q$50,T6+1,FALSE)</f>
        <v>10.000114235272545</v>
      </c>
      <c r="AI6" s="44">
        <f t="shared" si="12"/>
        <v>0</v>
      </c>
      <c r="AJ6" s="44">
        <f t="shared" ref="AJ6:AJ24" si="13">AG6+AI6</f>
        <v>169471.9359451638</v>
      </c>
      <c r="AK6" s="44">
        <f>HLOOKUP(I6,GasAvoidedCostsWOCC!$A$5:$Q$50,G6+1,FALSE)*J6*L6</f>
        <v>0</v>
      </c>
      <c r="AL6" s="44">
        <f t="shared" ref="AL6:AL24" si="14">AG6+AI6-AK6</f>
        <v>169471.9359451638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169471.9359451638</v>
      </c>
      <c r="AN6" s="48">
        <f t="shared" ref="AN6:AN24" si="15">AM6*1.1+AD6+AE6</f>
        <v>186419.1295396802</v>
      </c>
      <c r="AO6" s="47">
        <f t="shared" ref="AO6:AO24" si="16">IFERROR(AM6/AB6,0)</f>
        <v>1.0832184648063665</v>
      </c>
      <c r="AP6" s="47">
        <f t="shared" ref="AP6:AP24" si="17">AN6/AC6</f>
        <v>1.1761402260613405</v>
      </c>
    </row>
    <row r="7" spans="1:42" ht="13.5" customHeight="1" x14ac:dyDescent="0.35">
      <c r="A7" s="36" t="s">
        <v>240</v>
      </c>
      <c r="B7" s="97" t="s">
        <v>97</v>
      </c>
      <c r="C7" s="98">
        <v>18230673</v>
      </c>
      <c r="D7" s="61" t="s">
        <v>98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89589.669999999984</v>
      </c>
      <c r="B8" s="97" t="s">
        <v>97</v>
      </c>
      <c r="C8" s="98">
        <v>18230673</v>
      </c>
      <c r="D8" s="61" t="s">
        <v>98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18901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96767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186356.66999999998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186356.66999999998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1.0832184648063665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1.1915403112870033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F13" sqref="F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18230731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134</v>
      </c>
      <c r="C5" s="98">
        <v>18230731</v>
      </c>
      <c r="D5" s="61" t="s">
        <v>135</v>
      </c>
      <c r="E5" s="38" t="s">
        <v>1116</v>
      </c>
      <c r="F5" s="39" t="s">
        <v>1117</v>
      </c>
      <c r="G5" s="39">
        <v>15</v>
      </c>
      <c r="H5" s="39"/>
      <c r="I5" s="40" t="s">
        <v>261</v>
      </c>
      <c r="J5" s="41">
        <v>1</v>
      </c>
      <c r="K5" s="41">
        <v>21694</v>
      </c>
      <c r="L5" s="41"/>
      <c r="M5" s="42">
        <v>118153</v>
      </c>
      <c r="N5" s="42">
        <v>301941.7</v>
      </c>
      <c r="O5" s="43">
        <v>21694</v>
      </c>
      <c r="P5" s="44">
        <v>118153</v>
      </c>
      <c r="Q5" s="44">
        <v>301941.7</v>
      </c>
      <c r="R5" s="45"/>
      <c r="S5" s="46"/>
      <c r="T5" s="39">
        <f t="shared" ref="T5:T24" si="0">G5+H5</f>
        <v>15</v>
      </c>
      <c r="U5" s="47">
        <f t="shared" ref="U5:U24" si="1">(O5/$A$10)*T5</f>
        <v>0.39993756544566966</v>
      </c>
      <c r="V5" s="48">
        <f t="shared" ref="V5:V24" si="2">N5-M5</f>
        <v>183788.7</v>
      </c>
      <c r="W5" s="49">
        <f t="shared" ref="W5:W24" si="3">(O5/A$10)</f>
        <v>2.6662504363044643E-2</v>
      </c>
      <c r="X5" s="44">
        <f t="shared" ref="X5:X24" si="4">W5*A$8</f>
        <v>16374.948494466915</v>
      </c>
      <c r="Y5" s="44">
        <f t="shared" ref="Y5:Y24" si="5">Q5-P5</f>
        <v>183788.7</v>
      </c>
      <c r="Z5" s="44">
        <f t="shared" ref="Z5:Z24" si="6">X5+(A$6*W5)</f>
        <v>131352.27929682468</v>
      </c>
      <c r="AA5" s="50">
        <f t="shared" ref="AA5:AA24" si="7">Q5+X5</f>
        <v>318316.64849446691</v>
      </c>
      <c r="AB5" s="51">
        <f t="shared" ref="AB5:AB24" si="8">Z5/(1+GasDiscountRate)^1</f>
        <v>122989.02555882459</v>
      </c>
      <c r="AC5" s="44">
        <f t="shared" ref="AC5:AC24" si="9">AA5/(1+GasDiscountRate)^1</f>
        <v>298049.29634313378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10.000114235272545</v>
      </c>
      <c r="AG5" s="44">
        <f t="shared" ref="AG5:AG24" si="11">AF5*J5*K5</f>
        <v>216942.47822000258</v>
      </c>
      <c r="AH5" s="52">
        <f>HLOOKUP(I5,GasAvoidedCostsWOCC!$A$5:$Q$50,T5+1,FALSE)</f>
        <v>10.000114235272545</v>
      </c>
      <c r="AI5" s="44">
        <f t="shared" ref="AI5:AI24" si="12">AH5*J5*L5</f>
        <v>0</v>
      </c>
      <c r="AJ5" s="44">
        <f>AG5+AI5</f>
        <v>216942.47822000258</v>
      </c>
      <c r="AK5" s="44">
        <f>HLOOKUP(I5,GasAvoidedCostsWOCC!$A$5:$Q$50,G5+1,FALSE)*J5*L5</f>
        <v>0</v>
      </c>
      <c r="AL5" s="44">
        <f>AG5+AI5-AK5</f>
        <v>216942.47822000258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216942.47822000258</v>
      </c>
      <c r="AN5" s="48">
        <f>AM5*1.1+AD5+AE5</f>
        <v>238636.72604200285</v>
      </c>
      <c r="AO5" s="47">
        <f>IFERROR(AM5/AB5,0)</f>
        <v>1.7639173677023798</v>
      </c>
      <c r="AP5" s="47">
        <f>AN5/AC5</f>
        <v>0.80066193401533381</v>
      </c>
    </row>
    <row r="6" spans="1:42" ht="13.5" customHeight="1" x14ac:dyDescent="0.35">
      <c r="A6" s="53">
        <f>SUMIF('Program Costs'!D:D,C2,'Program Costs'!L:L)</f>
        <v>4312323</v>
      </c>
      <c r="B6" s="97" t="s">
        <v>134</v>
      </c>
      <c r="C6" s="98">
        <v>18230731</v>
      </c>
      <c r="D6" s="61" t="s">
        <v>135</v>
      </c>
      <c r="E6" s="38" t="s">
        <v>1118</v>
      </c>
      <c r="F6" s="39" t="s">
        <v>1119</v>
      </c>
      <c r="G6" s="39">
        <v>30</v>
      </c>
      <c r="H6" s="39"/>
      <c r="I6" s="40" t="s">
        <v>266</v>
      </c>
      <c r="J6" s="41">
        <v>1</v>
      </c>
      <c r="K6" s="41">
        <v>10115</v>
      </c>
      <c r="L6" s="41"/>
      <c r="M6" s="42">
        <v>50834</v>
      </c>
      <c r="N6" s="42">
        <v>280897</v>
      </c>
      <c r="O6" s="43">
        <v>10115</v>
      </c>
      <c r="P6" s="44">
        <v>50834</v>
      </c>
      <c r="Q6" s="44">
        <v>280897</v>
      </c>
      <c r="R6" s="45"/>
      <c r="S6" s="46"/>
      <c r="T6" s="39">
        <f t="shared" si="0"/>
        <v>30</v>
      </c>
      <c r="U6" s="47">
        <f t="shared" si="1"/>
        <v>0.3729481399910527</v>
      </c>
      <c r="V6" s="48">
        <f t="shared" si="2"/>
        <v>230063</v>
      </c>
      <c r="W6" s="49">
        <f t="shared" si="3"/>
        <v>1.2431604666368423E-2</v>
      </c>
      <c r="X6" s="44">
        <f t="shared" si="4"/>
        <v>7634.9499410681683</v>
      </c>
      <c r="Y6" s="44">
        <f t="shared" si="5"/>
        <v>230063</v>
      </c>
      <c r="Z6" s="44">
        <f t="shared" si="6"/>
        <v>61244.04467075604</v>
      </c>
      <c r="AA6" s="50">
        <f t="shared" si="7"/>
        <v>288531.94994106819</v>
      </c>
      <c r="AB6" s="51">
        <f t="shared" si="8"/>
        <v>57344.611114940111</v>
      </c>
      <c r="AC6" s="44">
        <f t="shared" si="9"/>
        <v>270161.00181747956</v>
      </c>
      <c r="AD6" s="44">
        <f t="shared" si="10"/>
        <v>0</v>
      </c>
      <c r="AE6" s="44">
        <v>0</v>
      </c>
      <c r="AF6" s="52">
        <f>HLOOKUP(I6,GasAvoidedCostsWOCC!$A$5:$G$50,G6+1,FALSE)</f>
        <v>19.038391861136738</v>
      </c>
      <c r="AG6" s="44">
        <f t="shared" si="11"/>
        <v>192573.33367539811</v>
      </c>
      <c r="AH6" s="52">
        <f>HLOOKUP(I6,GasAvoidedCostsWOCC!$A$5:$Q$50,T6+1,FALSE)</f>
        <v>19.038391861136738</v>
      </c>
      <c r="AI6" s="44">
        <f t="shared" si="12"/>
        <v>0</v>
      </c>
      <c r="AJ6" s="44">
        <f t="shared" ref="AJ6:AJ24" si="13">AG6+AI6</f>
        <v>192573.33367539811</v>
      </c>
      <c r="AK6" s="44">
        <f>HLOOKUP(I6,GasAvoidedCostsWOCC!$A$5:$Q$50,G6+1,FALSE)*J6*L6</f>
        <v>0</v>
      </c>
      <c r="AL6" s="44">
        <f t="shared" ref="AL6:AL24" si="14">AG6+AI6-AK6</f>
        <v>192573.33367539811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192573.33367539811</v>
      </c>
      <c r="AN6" s="48">
        <f t="shared" ref="AN6:AN24" si="15">AM6*1.1+AD6+AE6</f>
        <v>211830.66704293794</v>
      </c>
      <c r="AO6" s="47">
        <f t="shared" ref="AO6:AO24" si="16">IFERROR(AM6/AB6,0)</f>
        <v>3.3581766434758604</v>
      </c>
      <c r="AP6" s="47">
        <f t="shared" ref="AP6:AP24" si="17">AN6/AC6</f>
        <v>0.78409047056336612</v>
      </c>
    </row>
    <row r="7" spans="1:42" ht="13.5" customHeight="1" x14ac:dyDescent="0.35">
      <c r="A7" s="36" t="s">
        <v>240</v>
      </c>
      <c r="B7" s="97" t="s">
        <v>134</v>
      </c>
      <c r="C7" s="98">
        <v>18230731</v>
      </c>
      <c r="D7" s="61" t="s">
        <v>135</v>
      </c>
      <c r="E7" s="38" t="s">
        <v>1120</v>
      </c>
      <c r="F7" s="39" t="s">
        <v>1121</v>
      </c>
      <c r="G7" s="39">
        <v>10</v>
      </c>
      <c r="H7" s="39"/>
      <c r="I7" s="40" t="s">
        <v>261</v>
      </c>
      <c r="J7" s="41">
        <v>1</v>
      </c>
      <c r="K7" s="41">
        <v>4938</v>
      </c>
      <c r="L7" s="41"/>
      <c r="M7" s="42">
        <v>27672</v>
      </c>
      <c r="N7" s="42">
        <v>61042</v>
      </c>
      <c r="O7" s="43">
        <v>4938</v>
      </c>
      <c r="P7" s="44">
        <v>27672</v>
      </c>
      <c r="Q7" s="44">
        <v>61042</v>
      </c>
      <c r="R7" s="45"/>
      <c r="S7" s="46"/>
      <c r="T7" s="39">
        <f t="shared" si="0"/>
        <v>10</v>
      </c>
      <c r="U7" s="47">
        <f t="shared" si="1"/>
        <v>6.0689336473086775E-2</v>
      </c>
      <c r="V7" s="48">
        <f t="shared" si="2"/>
        <v>33370</v>
      </c>
      <c r="W7" s="49">
        <f t="shared" si="3"/>
        <v>6.0689336473086775E-3</v>
      </c>
      <c r="X7" s="44">
        <f t="shared" si="4"/>
        <v>3727.2746227379748</v>
      </c>
      <c r="Y7" s="44">
        <f t="shared" si="5"/>
        <v>33370</v>
      </c>
      <c r="Z7" s="44">
        <f t="shared" si="6"/>
        <v>29898.476775501073</v>
      </c>
      <c r="AA7" s="50">
        <f t="shared" si="7"/>
        <v>64769.274622737976</v>
      </c>
      <c r="AB7" s="51">
        <f t="shared" si="8"/>
        <v>27994.828441480404</v>
      </c>
      <c r="AC7" s="44">
        <f t="shared" si="9"/>
        <v>60645.388223537426</v>
      </c>
      <c r="AD7" s="44">
        <f t="shared" si="10"/>
        <v>0</v>
      </c>
      <c r="AE7" s="44">
        <v>0</v>
      </c>
      <c r="AF7" s="52">
        <f>HLOOKUP(I7,GasAvoidedCostsWOCC!$A$5:$G$50,G7+1,FALSE)</f>
        <v>7.0095884555989638</v>
      </c>
      <c r="AG7" s="44">
        <f t="shared" si="11"/>
        <v>34613.347793747686</v>
      </c>
      <c r="AH7" s="52">
        <f>HLOOKUP(I7,GasAvoidedCostsWOCC!$A$5:$Q$50,T7+1,FALSE)</f>
        <v>7.0095884555989638</v>
      </c>
      <c r="AI7" s="44">
        <f t="shared" si="12"/>
        <v>0</v>
      </c>
      <c r="AJ7" s="44">
        <f t="shared" si="13"/>
        <v>34613.347793747686</v>
      </c>
      <c r="AK7" s="44">
        <f>HLOOKUP(I7,GasAvoidedCostsWOCC!$A$5:$Q$50,G7+1,FALSE)*J7*L7</f>
        <v>0</v>
      </c>
      <c r="AL7" s="44">
        <f t="shared" si="14"/>
        <v>34613.347793747686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34613.347793747686</v>
      </c>
      <c r="AN7" s="48">
        <f t="shared" si="15"/>
        <v>38074.68257312246</v>
      </c>
      <c r="AO7" s="47">
        <f t="shared" si="16"/>
        <v>1.2364193574574835</v>
      </c>
      <c r="AP7" s="47">
        <f t="shared" si="17"/>
        <v>0.6278248633314063</v>
      </c>
    </row>
    <row r="8" spans="1:42" ht="13.5" customHeight="1" x14ac:dyDescent="0.35">
      <c r="A8" s="53">
        <f>SUMIF('Program Costs'!D:D,C2,'Program Costs'!O:O)</f>
        <v>614156.4299999997</v>
      </c>
      <c r="B8" s="97" t="s">
        <v>134</v>
      </c>
      <c r="C8" s="98">
        <v>18230731</v>
      </c>
      <c r="D8" s="61" t="s">
        <v>135</v>
      </c>
      <c r="E8" s="38" t="s">
        <v>1120</v>
      </c>
      <c r="F8" s="39" t="s">
        <v>1121</v>
      </c>
      <c r="G8" s="39">
        <v>10</v>
      </c>
      <c r="H8" s="39"/>
      <c r="I8" s="40" t="s">
        <v>261</v>
      </c>
      <c r="J8" s="41">
        <v>1</v>
      </c>
      <c r="K8" s="41">
        <v>1403</v>
      </c>
      <c r="L8" s="41"/>
      <c r="M8" s="42">
        <v>8771</v>
      </c>
      <c r="N8" s="42">
        <v>8771</v>
      </c>
      <c r="O8" s="43">
        <v>1403</v>
      </c>
      <c r="P8" s="44">
        <v>8771</v>
      </c>
      <c r="Q8" s="44">
        <v>8771</v>
      </c>
      <c r="R8" s="45"/>
      <c r="S8" s="46"/>
      <c r="T8" s="39">
        <f t="shared" si="0"/>
        <v>10</v>
      </c>
      <c r="U8" s="47">
        <f t="shared" si="1"/>
        <v>1.7243244040449725E-2</v>
      </c>
      <c r="V8" s="48">
        <f t="shared" si="2"/>
        <v>0</v>
      </c>
      <c r="W8" s="49">
        <f t="shared" si="3"/>
        <v>1.7243244040449726E-3</v>
      </c>
      <c r="X8" s="44">
        <f t="shared" si="4"/>
        <v>1059.0049201501374</v>
      </c>
      <c r="Y8" s="44">
        <f t="shared" si="5"/>
        <v>0</v>
      </c>
      <c r="Z8" s="44">
        <f t="shared" si="6"/>
        <v>8494.8487071745658</v>
      </c>
      <c r="AA8" s="50">
        <f t="shared" si="7"/>
        <v>9830.004920150137</v>
      </c>
      <c r="AB8" s="51">
        <f t="shared" si="8"/>
        <v>7953.9781902383575</v>
      </c>
      <c r="AC8" s="44">
        <f t="shared" si="9"/>
        <v>9204.1244570694162</v>
      </c>
      <c r="AD8" s="44">
        <f t="shared" si="10"/>
        <v>0</v>
      </c>
      <c r="AE8" s="44">
        <v>0</v>
      </c>
      <c r="AF8" s="52">
        <f>HLOOKUP(I8,GasAvoidedCostsWOCC!$A$5:$G$50,G8+1,FALSE)</f>
        <v>7.0095884555989638</v>
      </c>
      <c r="AG8" s="44">
        <f t="shared" si="11"/>
        <v>9834.4526032053454</v>
      </c>
      <c r="AH8" s="52">
        <f>HLOOKUP(I8,GasAvoidedCostsWOCC!$A$5:$Q$50,T8+1,FALSE)</f>
        <v>7.0095884555989638</v>
      </c>
      <c r="AI8" s="44">
        <f t="shared" si="12"/>
        <v>0</v>
      </c>
      <c r="AJ8" s="44">
        <f t="shared" si="13"/>
        <v>9834.4526032053454</v>
      </c>
      <c r="AK8" s="44">
        <f>HLOOKUP(I8,GasAvoidedCostsWOCC!$A$5:$Q$50,G8+1,FALSE)*J8*L8</f>
        <v>0</v>
      </c>
      <c r="AL8" s="44">
        <f t="shared" si="14"/>
        <v>9834.4526032053454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9834.4526032053454</v>
      </c>
      <c r="AN8" s="48">
        <f t="shared" si="15"/>
        <v>10817.897863525881</v>
      </c>
      <c r="AO8" s="47">
        <f t="shared" si="16"/>
        <v>1.2364193574574833</v>
      </c>
      <c r="AP8" s="47">
        <f t="shared" si="17"/>
        <v>1.1753315498919588</v>
      </c>
    </row>
    <row r="9" spans="1:42" ht="13.5" customHeight="1" x14ac:dyDescent="0.35">
      <c r="A9" s="36" t="s">
        <v>305</v>
      </c>
      <c r="B9" s="97" t="s">
        <v>134</v>
      </c>
      <c r="C9" s="98">
        <v>18230731</v>
      </c>
      <c r="D9" s="61" t="s">
        <v>135</v>
      </c>
      <c r="E9" s="38" t="s">
        <v>1122</v>
      </c>
      <c r="F9" s="39" t="s">
        <v>1123</v>
      </c>
      <c r="G9" s="39">
        <v>15</v>
      </c>
      <c r="H9" s="39"/>
      <c r="I9" s="40" t="s">
        <v>261</v>
      </c>
      <c r="J9" s="41">
        <v>1</v>
      </c>
      <c r="K9" s="41">
        <v>141390</v>
      </c>
      <c r="L9" s="41"/>
      <c r="M9" s="42">
        <v>989730</v>
      </c>
      <c r="N9" s="42">
        <v>1018745</v>
      </c>
      <c r="O9" s="43">
        <v>141390</v>
      </c>
      <c r="P9" s="44">
        <v>989730</v>
      </c>
      <c r="Q9" s="44">
        <v>1018745</v>
      </c>
      <c r="R9" s="45"/>
      <c r="S9" s="46"/>
      <c r="T9" s="39">
        <f t="shared" si="0"/>
        <v>15</v>
      </c>
      <c r="U9" s="47">
        <f t="shared" si="1"/>
        <v>2.6065811919592159</v>
      </c>
      <c r="V9" s="48">
        <f t="shared" si="2"/>
        <v>29015</v>
      </c>
      <c r="W9" s="49">
        <f t="shared" si="3"/>
        <v>0.17377207946394774</v>
      </c>
      <c r="X9" s="44">
        <f t="shared" si="4"/>
        <v>106723.23995725441</v>
      </c>
      <c r="Y9" s="44">
        <f t="shared" si="5"/>
        <v>29015</v>
      </c>
      <c r="Z9" s="44">
        <f t="shared" si="6"/>
        <v>856084.57498746389</v>
      </c>
      <c r="AA9" s="50">
        <f t="shared" si="7"/>
        <v>1125468.2399572544</v>
      </c>
      <c r="AB9" s="51">
        <f t="shared" si="8"/>
        <v>801577.31740399241</v>
      </c>
      <c r="AC9" s="44">
        <f t="shared" si="9"/>
        <v>1053809.2134431221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10.000114235272545</v>
      </c>
      <c r="AG9" s="44">
        <f t="shared" si="11"/>
        <v>1413916.1517251851</v>
      </c>
      <c r="AH9" s="52">
        <f>HLOOKUP(I9,GasAvoidedCostsWOCC!$A$5:$Q$50,T9+1,FALSE)</f>
        <v>10.000114235272545</v>
      </c>
      <c r="AI9" s="44">
        <f t="shared" si="12"/>
        <v>0</v>
      </c>
      <c r="AJ9" s="44">
        <f t="shared" si="13"/>
        <v>1413916.1517251851</v>
      </c>
      <c r="AK9" s="44">
        <f>HLOOKUP(I9,GasAvoidedCostsWOCC!$A$5:$Q$50,G9+1,FALSE)*J9*L9</f>
        <v>0</v>
      </c>
      <c r="AL9" s="44">
        <f t="shared" si="14"/>
        <v>1413916.1517251851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1413916.1517251851</v>
      </c>
      <c r="AN9" s="48">
        <f t="shared" si="15"/>
        <v>1555307.7668977038</v>
      </c>
      <c r="AO9" s="47">
        <f t="shared" si="16"/>
        <v>1.7639173677023796</v>
      </c>
      <c r="AP9" s="47">
        <f t="shared" si="17"/>
        <v>1.4758912211595019</v>
      </c>
    </row>
    <row r="10" spans="1:42" ht="13.5" customHeight="1" x14ac:dyDescent="0.35">
      <c r="A10" s="54">
        <f>SUM(O5:O999)</f>
        <v>813652</v>
      </c>
      <c r="B10" s="97" t="s">
        <v>134</v>
      </c>
      <c r="C10" s="98">
        <v>18230731</v>
      </c>
      <c r="D10" s="61" t="s">
        <v>135</v>
      </c>
      <c r="E10" s="38" t="s">
        <v>1126</v>
      </c>
      <c r="F10" s="39" t="s">
        <v>1127</v>
      </c>
      <c r="G10" s="39">
        <v>10</v>
      </c>
      <c r="H10" s="39"/>
      <c r="I10" s="40" t="s">
        <v>261</v>
      </c>
      <c r="J10" s="41">
        <v>1</v>
      </c>
      <c r="K10" s="41">
        <v>8147</v>
      </c>
      <c r="L10" s="41"/>
      <c r="M10" s="42">
        <v>40735</v>
      </c>
      <c r="N10" s="42">
        <v>64196</v>
      </c>
      <c r="O10" s="43">
        <v>8147</v>
      </c>
      <c r="P10" s="44">
        <v>40735</v>
      </c>
      <c r="Q10" s="44">
        <v>64196</v>
      </c>
      <c r="R10" s="45"/>
      <c r="S10" s="46"/>
      <c r="T10" s="39">
        <f t="shared" si="0"/>
        <v>10</v>
      </c>
      <c r="U10" s="47">
        <f t="shared" si="1"/>
        <v>0.10012880199397285</v>
      </c>
      <c r="V10" s="48">
        <f t="shared" si="2"/>
        <v>23461</v>
      </c>
      <c r="W10" s="49">
        <f t="shared" si="3"/>
        <v>1.0012880199397285E-2</v>
      </c>
      <c r="X10" s="44">
        <f t="shared" si="4"/>
        <v>6149.4747572795222</v>
      </c>
      <c r="Y10" s="44">
        <f t="shared" si="5"/>
        <v>23461</v>
      </c>
      <c r="Z10" s="44">
        <f t="shared" si="6"/>
        <v>49328.248337385026</v>
      </c>
      <c r="AA10" s="50">
        <f t="shared" si="7"/>
        <v>70345.474757279517</v>
      </c>
      <c r="AB10" s="51">
        <f t="shared" si="8"/>
        <v>46187.498443244403</v>
      </c>
      <c r="AC10" s="44">
        <f t="shared" si="9"/>
        <v>65866.549398201794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7.0095884555989638</v>
      </c>
      <c r="AG10" s="44">
        <f t="shared" si="11"/>
        <v>57107.117147764759</v>
      </c>
      <c r="AH10" s="52">
        <f>HLOOKUP(I10,GasAvoidedCostsWOCC!$A$5:$Q$50,T10+1,FALSE)</f>
        <v>7.0095884555989638</v>
      </c>
      <c r="AI10" s="44">
        <f t="shared" si="12"/>
        <v>0</v>
      </c>
      <c r="AJ10" s="44">
        <f t="shared" si="13"/>
        <v>57107.117147764759</v>
      </c>
      <c r="AK10" s="44">
        <f>HLOOKUP(I10,GasAvoidedCostsWOCC!$A$5:$Q$50,G10+1,FALSE)*J10*L10</f>
        <v>0</v>
      </c>
      <c r="AL10" s="44">
        <f t="shared" si="14"/>
        <v>57107.117147764759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57107.117147764759</v>
      </c>
      <c r="AN10" s="48">
        <f t="shared" si="15"/>
        <v>62817.828862541239</v>
      </c>
      <c r="AO10" s="47">
        <f t="shared" si="16"/>
        <v>1.2364193574574833</v>
      </c>
      <c r="AP10" s="47">
        <f t="shared" si="17"/>
        <v>0.95371367464189971</v>
      </c>
    </row>
    <row r="11" spans="1:42" ht="13.5" customHeight="1" x14ac:dyDescent="0.35">
      <c r="A11" s="36" t="s">
        <v>243</v>
      </c>
      <c r="B11" s="97" t="s">
        <v>134</v>
      </c>
      <c r="C11" s="98">
        <v>18230731</v>
      </c>
      <c r="D11" s="61" t="s">
        <v>135</v>
      </c>
      <c r="E11" s="38" t="s">
        <v>1138</v>
      </c>
      <c r="F11" s="39" t="s">
        <v>1139</v>
      </c>
      <c r="G11" s="39">
        <v>15</v>
      </c>
      <c r="H11" s="39"/>
      <c r="I11" s="40" t="s">
        <v>261</v>
      </c>
      <c r="J11" s="41">
        <v>1</v>
      </c>
      <c r="K11" s="41">
        <v>1318</v>
      </c>
      <c r="L11" s="41"/>
      <c r="M11" s="42">
        <v>3768</v>
      </c>
      <c r="N11" s="42">
        <v>3768</v>
      </c>
      <c r="O11" s="43">
        <v>1318</v>
      </c>
      <c r="P11" s="44">
        <v>3768</v>
      </c>
      <c r="Q11" s="44">
        <v>3768</v>
      </c>
      <c r="R11" s="45"/>
      <c r="S11" s="46"/>
      <c r="T11" s="39">
        <f t="shared" si="0"/>
        <v>15</v>
      </c>
      <c r="U11" s="47">
        <f t="shared" si="1"/>
        <v>2.4297857069115542E-2</v>
      </c>
      <c r="V11" s="48">
        <f t="shared" si="2"/>
        <v>0</v>
      </c>
      <c r="W11" s="49">
        <f t="shared" si="3"/>
        <v>1.6198571379410361E-3</v>
      </c>
      <c r="X11" s="44">
        <f t="shared" si="4"/>
        <v>994.84567694788382</v>
      </c>
      <c r="Y11" s="44">
        <f t="shared" si="5"/>
        <v>0</v>
      </c>
      <c r="Z11" s="44">
        <f t="shared" si="6"/>
        <v>7980.1928696051864</v>
      </c>
      <c r="AA11" s="50">
        <f t="shared" si="7"/>
        <v>4762.8456769478835</v>
      </c>
      <c r="AB11" s="51">
        <f t="shared" si="8"/>
        <v>7472.0907018775151</v>
      </c>
      <c r="AC11" s="44">
        <f t="shared" si="9"/>
        <v>4459.5933304755463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10.000114235272545</v>
      </c>
      <c r="AG11" s="44">
        <f t="shared" si="11"/>
        <v>13180.150562089213</v>
      </c>
      <c r="AH11" s="52">
        <f>HLOOKUP(I11,GasAvoidedCostsWOCC!$A$5:$Q$50,T11+1,FALSE)</f>
        <v>10.000114235272545</v>
      </c>
      <c r="AI11" s="44">
        <f t="shared" si="12"/>
        <v>0</v>
      </c>
      <c r="AJ11" s="44">
        <f t="shared" si="13"/>
        <v>13180.150562089213</v>
      </c>
      <c r="AK11" s="44">
        <f>HLOOKUP(I11,GasAvoidedCostsWOCC!$A$5:$Q$50,G11+1,FALSE)*J11*L11</f>
        <v>0</v>
      </c>
      <c r="AL11" s="44">
        <f t="shared" si="14"/>
        <v>13180.150562089213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13180.150562089213</v>
      </c>
      <c r="AN11" s="48">
        <f t="shared" si="15"/>
        <v>14498.165618298135</v>
      </c>
      <c r="AO11" s="47">
        <f t="shared" si="16"/>
        <v>1.7639173677023796</v>
      </c>
      <c r="AP11" s="47">
        <f t="shared" si="17"/>
        <v>3.2510062115354654</v>
      </c>
    </row>
    <row r="12" spans="1:42" ht="13.5" customHeight="1" x14ac:dyDescent="0.35">
      <c r="A12" s="55">
        <f>SUM(P5:P1000)</f>
        <v>4312323</v>
      </c>
      <c r="B12" s="97" t="s">
        <v>134</v>
      </c>
      <c r="C12" s="98">
        <v>18230731</v>
      </c>
      <c r="D12" s="61" t="s">
        <v>135</v>
      </c>
      <c r="E12" s="38" t="s">
        <v>1142</v>
      </c>
      <c r="F12" s="39" t="s">
        <v>1143</v>
      </c>
      <c r="G12" s="39">
        <v>24</v>
      </c>
      <c r="H12" s="39"/>
      <c r="I12" s="40" t="s">
        <v>260</v>
      </c>
      <c r="J12" s="41">
        <v>1</v>
      </c>
      <c r="K12" s="41">
        <v>326251</v>
      </c>
      <c r="L12" s="41"/>
      <c r="M12" s="42">
        <v>1624418</v>
      </c>
      <c r="N12" s="42">
        <v>10266549.65</v>
      </c>
      <c r="O12" s="43">
        <v>326251</v>
      </c>
      <c r="P12" s="44">
        <v>1624418</v>
      </c>
      <c r="Q12" s="44">
        <v>10266549.65</v>
      </c>
      <c r="R12" s="45"/>
      <c r="S12" s="46"/>
      <c r="T12" s="39">
        <f t="shared" si="0"/>
        <v>24</v>
      </c>
      <c r="U12" s="47">
        <f t="shared" si="1"/>
        <v>9.6233082448024465</v>
      </c>
      <c r="V12" s="48">
        <f t="shared" si="2"/>
        <v>8642131.6500000004</v>
      </c>
      <c r="W12" s="49">
        <f t="shared" si="3"/>
        <v>0.40097117686676859</v>
      </c>
      <c r="X12" s="44">
        <f t="shared" si="4"/>
        <v>246259.02651739307</v>
      </c>
      <c r="Y12" s="44">
        <f t="shared" si="5"/>
        <v>8642131.6500000004</v>
      </c>
      <c r="Z12" s="44">
        <f t="shared" si="6"/>
        <v>1975376.2548570272</v>
      </c>
      <c r="AA12" s="50">
        <f t="shared" si="7"/>
        <v>10512808.676517393</v>
      </c>
      <c r="AB12" s="51">
        <f t="shared" si="8"/>
        <v>1849603.2348848567</v>
      </c>
      <c r="AC12" s="44">
        <f t="shared" si="9"/>
        <v>9843453.8169638515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14.64964969130987</v>
      </c>
      <c r="AG12" s="44">
        <f t="shared" si="11"/>
        <v>4779462.8614395363</v>
      </c>
      <c r="AH12" s="52">
        <f>HLOOKUP(I12,GasAvoidedCostsWOCC!$A$5:$Q$50,T12+1,FALSE)</f>
        <v>14.64964969130987</v>
      </c>
      <c r="AI12" s="44">
        <f t="shared" si="12"/>
        <v>0</v>
      </c>
      <c r="AJ12" s="44">
        <f t="shared" si="13"/>
        <v>4779462.8614395363</v>
      </c>
      <c r="AK12" s="44">
        <f>HLOOKUP(I12,GasAvoidedCostsWOCC!$A$5:$Q$50,G12+1,FALSE)*J12*L12</f>
        <v>0</v>
      </c>
      <c r="AL12" s="44">
        <f t="shared" si="14"/>
        <v>4779462.8614395363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4779462.8614395363</v>
      </c>
      <c r="AN12" s="48">
        <f t="shared" si="15"/>
        <v>5257409.1475834902</v>
      </c>
      <c r="AO12" s="47">
        <f t="shared" si="16"/>
        <v>2.584047633187164</v>
      </c>
      <c r="AP12" s="47">
        <f t="shared" si="17"/>
        <v>0.53410207893931116</v>
      </c>
    </row>
    <row r="13" spans="1:42" ht="13.5" customHeight="1" x14ac:dyDescent="0.35">
      <c r="A13" s="56" t="s">
        <v>246</v>
      </c>
      <c r="B13" s="97" t="s">
        <v>134</v>
      </c>
      <c r="C13" s="98">
        <v>18230731</v>
      </c>
      <c r="D13" s="61" t="s">
        <v>135</v>
      </c>
      <c r="E13" s="38" t="s">
        <v>1142</v>
      </c>
      <c r="F13" s="39" t="s">
        <v>1143</v>
      </c>
      <c r="G13" s="39">
        <v>24</v>
      </c>
      <c r="H13" s="39"/>
      <c r="I13" s="40" t="s">
        <v>260</v>
      </c>
      <c r="J13" s="41">
        <v>1</v>
      </c>
      <c r="K13" s="41">
        <v>13024</v>
      </c>
      <c r="L13" s="41"/>
      <c r="M13" s="42">
        <v>77612</v>
      </c>
      <c r="N13" s="42">
        <v>212803</v>
      </c>
      <c r="O13" s="43">
        <v>13024</v>
      </c>
      <c r="P13" s="44">
        <v>77612</v>
      </c>
      <c r="Q13" s="44">
        <v>212803</v>
      </c>
      <c r="R13" s="45"/>
      <c r="S13" s="46"/>
      <c r="T13" s="39">
        <f t="shared" si="0"/>
        <v>24</v>
      </c>
      <c r="U13" s="47">
        <f t="shared" si="1"/>
        <v>0.38416423729063531</v>
      </c>
      <c r="V13" s="48">
        <f t="shared" si="2"/>
        <v>135191</v>
      </c>
      <c r="W13" s="49">
        <f t="shared" si="3"/>
        <v>1.6006843220443139E-2</v>
      </c>
      <c r="X13" s="44">
        <f t="shared" si="4"/>
        <v>9830.7056878370568</v>
      </c>
      <c r="Y13" s="44">
        <f t="shared" si="5"/>
        <v>135191</v>
      </c>
      <c r="Z13" s="44">
        <f t="shared" si="6"/>
        <v>78857.383864748088</v>
      </c>
      <c r="AA13" s="50">
        <f t="shared" si="7"/>
        <v>222633.70568783706</v>
      </c>
      <c r="AB13" s="51">
        <f t="shared" si="8"/>
        <v>73836.50174601881</v>
      </c>
      <c r="AC13" s="44">
        <f t="shared" si="9"/>
        <v>208458.52592494106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14.64964969130987</v>
      </c>
      <c r="AG13" s="44">
        <f t="shared" si="11"/>
        <v>190797.03757961973</v>
      </c>
      <c r="AH13" s="52">
        <f>HLOOKUP(I13,GasAvoidedCostsWOCC!$A$5:$Q$50,T13+1,FALSE)</f>
        <v>14.64964969130987</v>
      </c>
      <c r="AI13" s="44">
        <f t="shared" si="12"/>
        <v>0</v>
      </c>
      <c r="AJ13" s="44">
        <f t="shared" si="13"/>
        <v>190797.03757961973</v>
      </c>
      <c r="AK13" s="44">
        <f>HLOOKUP(I13,GasAvoidedCostsWOCC!$A$5:$Q$50,G13+1,FALSE)*J13*L13</f>
        <v>0</v>
      </c>
      <c r="AL13" s="44">
        <f t="shared" si="14"/>
        <v>190797.03757961973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190797.03757961973</v>
      </c>
      <c r="AN13" s="48">
        <f t="shared" si="15"/>
        <v>209876.74133758171</v>
      </c>
      <c r="AO13" s="47">
        <f t="shared" si="16"/>
        <v>2.5840476331871631</v>
      </c>
      <c r="AP13" s="47">
        <f t="shared" si="17"/>
        <v>1.0068033456839818</v>
      </c>
    </row>
    <row r="14" spans="1:42" ht="13.5" customHeight="1" x14ac:dyDescent="0.35">
      <c r="A14" s="55">
        <f>SUM(Y5:Y1000)</f>
        <v>9727426.6899999995</v>
      </c>
      <c r="B14" s="97" t="s">
        <v>134</v>
      </c>
      <c r="C14" s="98">
        <v>18230731</v>
      </c>
      <c r="D14" s="61" t="s">
        <v>135</v>
      </c>
      <c r="E14" s="38" t="s">
        <v>1142</v>
      </c>
      <c r="F14" s="39" t="s">
        <v>1143</v>
      </c>
      <c r="G14" s="39">
        <v>24</v>
      </c>
      <c r="H14" s="39"/>
      <c r="I14" s="40" t="s">
        <v>260</v>
      </c>
      <c r="J14" s="41">
        <v>1</v>
      </c>
      <c r="K14" s="41">
        <v>9258</v>
      </c>
      <c r="L14" s="41"/>
      <c r="M14" s="42">
        <v>46290</v>
      </c>
      <c r="N14" s="42">
        <v>100246</v>
      </c>
      <c r="O14" s="43">
        <v>9258</v>
      </c>
      <c r="P14" s="44">
        <v>46290</v>
      </c>
      <c r="Q14" s="44">
        <v>100246</v>
      </c>
      <c r="R14" s="45"/>
      <c r="S14" s="46"/>
      <c r="T14" s="39">
        <f t="shared" si="0"/>
        <v>24</v>
      </c>
      <c r="U14" s="47">
        <f t="shared" si="1"/>
        <v>0.2730798916490097</v>
      </c>
      <c r="V14" s="48">
        <f t="shared" si="2"/>
        <v>53956</v>
      </c>
      <c r="W14" s="49">
        <f t="shared" si="3"/>
        <v>1.1378328818708736E-2</v>
      </c>
      <c r="X14" s="44">
        <f t="shared" si="4"/>
        <v>6988.0738066642716</v>
      </c>
      <c r="Y14" s="44">
        <f t="shared" si="5"/>
        <v>53956</v>
      </c>
      <c r="Z14" s="44">
        <f t="shared" si="6"/>
        <v>56055.102873144788</v>
      </c>
      <c r="AA14" s="50">
        <f t="shared" si="7"/>
        <v>107234.07380666427</v>
      </c>
      <c r="AB14" s="51">
        <f t="shared" si="8"/>
        <v>52486.051379349046</v>
      </c>
      <c r="AC14" s="44">
        <f t="shared" si="9"/>
        <v>100406.43614856205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14.64964969130987</v>
      </c>
      <c r="AG14" s="44">
        <f t="shared" si="11"/>
        <v>135626.45684214678</v>
      </c>
      <c r="AH14" s="52">
        <f>HLOOKUP(I14,GasAvoidedCostsWOCC!$A$5:$Q$50,T14+1,FALSE)</f>
        <v>14.64964969130987</v>
      </c>
      <c r="AI14" s="44">
        <f t="shared" si="12"/>
        <v>0</v>
      </c>
      <c r="AJ14" s="44">
        <f t="shared" si="13"/>
        <v>135626.45684214678</v>
      </c>
      <c r="AK14" s="44">
        <f>HLOOKUP(I14,GasAvoidedCostsWOCC!$A$5:$Q$50,G14+1,FALSE)*J14*L14</f>
        <v>0</v>
      </c>
      <c r="AL14" s="44">
        <f t="shared" si="14"/>
        <v>135626.45684214678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135626.45684214678</v>
      </c>
      <c r="AN14" s="48">
        <f t="shared" si="15"/>
        <v>149189.10252636147</v>
      </c>
      <c r="AO14" s="47">
        <f t="shared" si="16"/>
        <v>2.584047633187164</v>
      </c>
      <c r="AP14" s="47">
        <f t="shared" si="17"/>
        <v>1.4858519856796855</v>
      </c>
    </row>
    <row r="15" spans="1:42" ht="13.5" customHeight="1" x14ac:dyDescent="0.35">
      <c r="A15" s="57" t="s">
        <v>249</v>
      </c>
      <c r="B15" s="97" t="s">
        <v>134</v>
      </c>
      <c r="C15" s="98">
        <v>18230731</v>
      </c>
      <c r="D15" s="61" t="s">
        <v>135</v>
      </c>
      <c r="E15" s="38" t="s">
        <v>1146</v>
      </c>
      <c r="F15" s="39" t="s">
        <v>1147</v>
      </c>
      <c r="G15" s="39">
        <v>12</v>
      </c>
      <c r="H15" s="39"/>
      <c r="I15" s="40" t="s">
        <v>261</v>
      </c>
      <c r="J15" s="41">
        <v>1</v>
      </c>
      <c r="K15" s="41">
        <v>5862</v>
      </c>
      <c r="L15" s="41"/>
      <c r="M15" s="42">
        <v>14881</v>
      </c>
      <c r="N15" s="42">
        <v>21258</v>
      </c>
      <c r="O15" s="43">
        <v>5862</v>
      </c>
      <c r="P15" s="44">
        <v>14881</v>
      </c>
      <c r="Q15" s="44">
        <v>21258</v>
      </c>
      <c r="R15" s="45"/>
      <c r="S15" s="46"/>
      <c r="T15" s="39">
        <f t="shared" si="0"/>
        <v>12</v>
      </c>
      <c r="U15" s="47">
        <f t="shared" si="1"/>
        <v>8.6454651374297614E-2</v>
      </c>
      <c r="V15" s="48">
        <f t="shared" si="2"/>
        <v>6377</v>
      </c>
      <c r="W15" s="49">
        <f t="shared" si="3"/>
        <v>7.2045542811914678E-3</v>
      </c>
      <c r="X15" s="44">
        <f t="shared" si="4"/>
        <v>4424.7233370777658</v>
      </c>
      <c r="Y15" s="44">
        <f t="shared" si="5"/>
        <v>6377</v>
      </c>
      <c r="Z15" s="44">
        <f t="shared" si="6"/>
        <v>35493.088468608199</v>
      </c>
      <c r="AA15" s="50">
        <f t="shared" si="7"/>
        <v>25682.723337077765</v>
      </c>
      <c r="AB15" s="51">
        <f t="shared" si="8"/>
        <v>33233.228903191193</v>
      </c>
      <c r="AC15" s="44">
        <f t="shared" si="9"/>
        <v>24047.493761308768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8.2419011110206348</v>
      </c>
      <c r="AG15" s="44">
        <f t="shared" si="11"/>
        <v>48314.024312802962</v>
      </c>
      <c r="AH15" s="52">
        <f>HLOOKUP(I15,GasAvoidedCostsWOCC!$A$5:$Q$50,T15+1,FALSE)</f>
        <v>8.2419011110206348</v>
      </c>
      <c r="AI15" s="44">
        <f t="shared" si="12"/>
        <v>0</v>
      </c>
      <c r="AJ15" s="44">
        <f t="shared" si="13"/>
        <v>48314.024312802962</v>
      </c>
      <c r="AK15" s="44">
        <f>HLOOKUP(I15,GasAvoidedCostsWOCC!$A$5:$Q$50,G15+1,FALSE)*J15*L15</f>
        <v>0</v>
      </c>
      <c r="AL15" s="44">
        <f t="shared" si="14"/>
        <v>48314.024312802962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48314.024312802962</v>
      </c>
      <c r="AN15" s="48">
        <f t="shared" si="15"/>
        <v>53145.426744083263</v>
      </c>
      <c r="AO15" s="47">
        <f t="shared" si="16"/>
        <v>1.4537866438901352</v>
      </c>
      <c r="AP15" s="47">
        <f t="shared" si="17"/>
        <v>2.210019358840281</v>
      </c>
    </row>
    <row r="16" spans="1:42" ht="13.5" customHeight="1" x14ac:dyDescent="0.35">
      <c r="A16" s="54">
        <f>SUM(U5:U999)</f>
        <v>18.159279397088685</v>
      </c>
      <c r="B16" s="97" t="s">
        <v>134</v>
      </c>
      <c r="C16" s="98">
        <v>18230731</v>
      </c>
      <c r="D16" s="61" t="s">
        <v>135</v>
      </c>
      <c r="E16" s="38" t="s">
        <v>1146</v>
      </c>
      <c r="F16" s="39" t="s">
        <v>1147</v>
      </c>
      <c r="G16" s="39">
        <v>20</v>
      </c>
      <c r="H16" s="39"/>
      <c r="I16" s="40" t="s">
        <v>261</v>
      </c>
      <c r="J16" s="41">
        <v>1</v>
      </c>
      <c r="K16" s="41">
        <v>11430</v>
      </c>
      <c r="L16" s="41"/>
      <c r="M16" s="42">
        <v>53835</v>
      </c>
      <c r="N16" s="42">
        <v>82949.34</v>
      </c>
      <c r="O16" s="43">
        <v>11430</v>
      </c>
      <c r="P16" s="44">
        <v>53835</v>
      </c>
      <c r="Q16" s="44">
        <v>82949.34</v>
      </c>
      <c r="R16" s="45"/>
      <c r="S16" s="46"/>
      <c r="T16" s="39">
        <f t="shared" si="0"/>
        <v>20</v>
      </c>
      <c r="U16" s="47">
        <f t="shared" si="1"/>
        <v>0.28095549448658641</v>
      </c>
      <c r="V16" s="48">
        <f t="shared" si="2"/>
        <v>29114.339999999997</v>
      </c>
      <c r="W16" s="49">
        <f t="shared" si="3"/>
        <v>1.4047774724329319E-2</v>
      </c>
      <c r="X16" s="44">
        <f t="shared" si="4"/>
        <v>8627.5311741383248</v>
      </c>
      <c r="Y16" s="44">
        <f t="shared" si="5"/>
        <v>29114.339999999997</v>
      </c>
      <c r="Z16" s="44">
        <f t="shared" si="6"/>
        <v>69206.0732166823</v>
      </c>
      <c r="AA16" s="50">
        <f t="shared" si="7"/>
        <v>91576.871174138316</v>
      </c>
      <c r="AB16" s="51">
        <f t="shared" si="8"/>
        <v>64799.694023110766</v>
      </c>
      <c r="AC16" s="44">
        <f t="shared" si="9"/>
        <v>85746.134058181939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12.636228791575714</v>
      </c>
      <c r="AG16" s="44">
        <f t="shared" si="11"/>
        <v>144432.09508771042</v>
      </c>
      <c r="AH16" s="52">
        <f>HLOOKUP(I16,GasAvoidedCostsWOCC!$A$5:$Q$50,T16+1,FALSE)</f>
        <v>12.636228791575714</v>
      </c>
      <c r="AI16" s="44">
        <f t="shared" si="12"/>
        <v>0</v>
      </c>
      <c r="AJ16" s="44">
        <f t="shared" si="13"/>
        <v>144432.09508771042</v>
      </c>
      <c r="AK16" s="44">
        <f>HLOOKUP(I16,GasAvoidedCostsWOCC!$A$5:$Q$50,G16+1,FALSE)*J16*L16</f>
        <v>0</v>
      </c>
      <c r="AL16" s="44">
        <f t="shared" si="14"/>
        <v>144432.09508771042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144432.09508771042</v>
      </c>
      <c r="AN16" s="48">
        <f t="shared" si="15"/>
        <v>158875.30459648147</v>
      </c>
      <c r="AO16" s="47">
        <f t="shared" si="16"/>
        <v>2.2289008808621662</v>
      </c>
      <c r="AP16" s="47">
        <f t="shared" si="17"/>
        <v>1.8528567653986436</v>
      </c>
    </row>
    <row r="17" spans="1:42" ht="13.5" customHeight="1" x14ac:dyDescent="0.35">
      <c r="A17" s="58" t="s">
        <v>252</v>
      </c>
      <c r="B17" s="97" t="s">
        <v>134</v>
      </c>
      <c r="C17" s="98">
        <v>18230731</v>
      </c>
      <c r="D17" s="61" t="s">
        <v>135</v>
      </c>
      <c r="E17" s="38" t="s">
        <v>1146</v>
      </c>
      <c r="F17" s="39" t="s">
        <v>1147</v>
      </c>
      <c r="G17" s="39">
        <v>12</v>
      </c>
      <c r="H17" s="39"/>
      <c r="I17" s="40" t="s">
        <v>261</v>
      </c>
      <c r="J17" s="41">
        <v>1</v>
      </c>
      <c r="K17" s="41">
        <v>5430</v>
      </c>
      <c r="L17" s="41"/>
      <c r="M17" s="42">
        <v>14145</v>
      </c>
      <c r="N17" s="42">
        <v>20208</v>
      </c>
      <c r="O17" s="43">
        <v>5430</v>
      </c>
      <c r="P17" s="44">
        <v>14145</v>
      </c>
      <c r="Q17" s="44">
        <v>20208</v>
      </c>
      <c r="R17" s="45"/>
      <c r="S17" s="46"/>
      <c r="T17" s="39">
        <f t="shared" si="0"/>
        <v>12</v>
      </c>
      <c r="U17" s="47">
        <f t="shared" si="1"/>
        <v>8.0083377168617534E-2</v>
      </c>
      <c r="V17" s="48">
        <f t="shared" si="2"/>
        <v>6063</v>
      </c>
      <c r="W17" s="49">
        <f t="shared" si="3"/>
        <v>6.6736147640514614E-3</v>
      </c>
      <c r="X17" s="44">
        <f t="shared" si="4"/>
        <v>4098.6434186851357</v>
      </c>
      <c r="Y17" s="44">
        <f t="shared" si="5"/>
        <v>6063</v>
      </c>
      <c r="Z17" s="44">
        <f t="shared" si="6"/>
        <v>32877.425858843824</v>
      </c>
      <c r="AA17" s="50">
        <f t="shared" si="7"/>
        <v>24306.643418685137</v>
      </c>
      <c r="AB17" s="51">
        <f t="shared" si="8"/>
        <v>30784.106609404327</v>
      </c>
      <c r="AC17" s="44">
        <f t="shared" si="9"/>
        <v>22759.029418244507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8.2419011110206348</v>
      </c>
      <c r="AG17" s="44">
        <f t="shared" si="11"/>
        <v>44753.523032842044</v>
      </c>
      <c r="AH17" s="52">
        <f>HLOOKUP(I17,GasAvoidedCostsWOCC!$A$5:$Q$50,T17+1,FALSE)</f>
        <v>8.2419011110206348</v>
      </c>
      <c r="AI17" s="44">
        <f t="shared" si="12"/>
        <v>0</v>
      </c>
      <c r="AJ17" s="44">
        <f t="shared" si="13"/>
        <v>44753.523032842044</v>
      </c>
      <c r="AK17" s="44">
        <f>HLOOKUP(I17,GasAvoidedCostsWOCC!$A$5:$Q$50,G17+1,FALSE)*J17*L17</f>
        <v>0</v>
      </c>
      <c r="AL17" s="44">
        <f t="shared" si="14"/>
        <v>44753.523032842044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44753.523032842044</v>
      </c>
      <c r="AN17" s="48">
        <f t="shared" si="15"/>
        <v>49228.87533612625</v>
      </c>
      <c r="AO17" s="47">
        <f t="shared" si="16"/>
        <v>1.4537866438901352</v>
      </c>
      <c r="AP17" s="47">
        <f t="shared" si="17"/>
        <v>2.1630480997868258</v>
      </c>
    </row>
    <row r="18" spans="1:42" ht="13.5" customHeight="1" x14ac:dyDescent="0.35">
      <c r="A18" s="59">
        <f>A6+A8</f>
        <v>4926479.43</v>
      </c>
      <c r="B18" s="97" t="s">
        <v>134</v>
      </c>
      <c r="C18" s="98">
        <v>18230731</v>
      </c>
      <c r="D18" s="61" t="s">
        <v>135</v>
      </c>
      <c r="E18" s="38" t="s">
        <v>1146</v>
      </c>
      <c r="F18" s="39" t="s">
        <v>1147</v>
      </c>
      <c r="G18" s="39">
        <v>20</v>
      </c>
      <c r="H18" s="39"/>
      <c r="I18" s="40" t="s">
        <v>261</v>
      </c>
      <c r="J18" s="41">
        <v>1</v>
      </c>
      <c r="K18" s="41">
        <v>30057</v>
      </c>
      <c r="L18" s="41"/>
      <c r="M18" s="42">
        <v>173039</v>
      </c>
      <c r="N18" s="42">
        <v>256887</v>
      </c>
      <c r="O18" s="43">
        <v>30057</v>
      </c>
      <c r="P18" s="44">
        <v>173039</v>
      </c>
      <c r="Q18" s="44">
        <v>256887</v>
      </c>
      <c r="R18" s="45"/>
      <c r="S18" s="46"/>
      <c r="T18" s="39">
        <f t="shared" si="0"/>
        <v>20</v>
      </c>
      <c r="U18" s="47">
        <f t="shared" si="1"/>
        <v>0.73881708642023869</v>
      </c>
      <c r="V18" s="48">
        <f t="shared" si="2"/>
        <v>83848</v>
      </c>
      <c r="W18" s="49">
        <f t="shared" si="3"/>
        <v>3.6940854321011934E-2</v>
      </c>
      <c r="X18" s="44">
        <f t="shared" si="4"/>
        <v>22687.463210942751</v>
      </c>
      <c r="Y18" s="44">
        <f t="shared" si="5"/>
        <v>83848</v>
      </c>
      <c r="Z18" s="44">
        <f t="shared" si="6"/>
        <v>181988.35893909191</v>
      </c>
      <c r="AA18" s="50">
        <f t="shared" si="7"/>
        <v>279574.46321094275</v>
      </c>
      <c r="AB18" s="51">
        <f t="shared" si="8"/>
        <v>170401.08514896245</v>
      </c>
      <c r="AC18" s="44">
        <f t="shared" si="9"/>
        <v>261773.84195781156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12.636228791575714</v>
      </c>
      <c r="AG18" s="44">
        <f t="shared" si="11"/>
        <v>379807.12878839124</v>
      </c>
      <c r="AH18" s="52">
        <f>HLOOKUP(I18,GasAvoidedCostsWOCC!$A$5:$Q$50,T18+1,FALSE)</f>
        <v>12.636228791575714</v>
      </c>
      <c r="AI18" s="44">
        <f t="shared" si="12"/>
        <v>0</v>
      </c>
      <c r="AJ18" s="44">
        <f t="shared" si="13"/>
        <v>379807.12878839124</v>
      </c>
      <c r="AK18" s="44">
        <f>HLOOKUP(I18,GasAvoidedCostsWOCC!$A$5:$Q$50,G18+1,FALSE)*J18*L18</f>
        <v>0</v>
      </c>
      <c r="AL18" s="44">
        <f t="shared" si="14"/>
        <v>379807.12878839124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379807.12878839124</v>
      </c>
      <c r="AN18" s="48">
        <f t="shared" si="15"/>
        <v>417787.84166723042</v>
      </c>
      <c r="AO18" s="47">
        <f t="shared" si="16"/>
        <v>2.2289008808621653</v>
      </c>
      <c r="AP18" s="47">
        <f t="shared" si="17"/>
        <v>1.595987737134418</v>
      </c>
    </row>
    <row r="19" spans="1:42" ht="13.5" customHeight="1" x14ac:dyDescent="0.35">
      <c r="A19" s="58" t="s">
        <v>222</v>
      </c>
      <c r="B19" s="97" t="s">
        <v>134</v>
      </c>
      <c r="C19" s="98">
        <v>18230731</v>
      </c>
      <c r="D19" s="61" t="s">
        <v>135</v>
      </c>
      <c r="E19" s="38" t="s">
        <v>1146</v>
      </c>
      <c r="F19" s="39" t="s">
        <v>1147</v>
      </c>
      <c r="G19" s="39">
        <v>12</v>
      </c>
      <c r="H19" s="39"/>
      <c r="I19" s="40" t="s">
        <v>261</v>
      </c>
      <c r="J19" s="41">
        <v>1</v>
      </c>
      <c r="K19" s="41">
        <v>7280</v>
      </c>
      <c r="L19" s="41"/>
      <c r="M19" s="42">
        <v>41669</v>
      </c>
      <c r="N19" s="42">
        <v>52039</v>
      </c>
      <c r="O19" s="43">
        <v>7280</v>
      </c>
      <c r="P19" s="44">
        <v>41669</v>
      </c>
      <c r="Q19" s="44">
        <v>52039</v>
      </c>
      <c r="R19" s="45"/>
      <c r="S19" s="46"/>
      <c r="T19" s="39">
        <f t="shared" si="0"/>
        <v>12</v>
      </c>
      <c r="U19" s="47">
        <f t="shared" si="1"/>
        <v>0.10736776902164562</v>
      </c>
      <c r="V19" s="48">
        <f t="shared" si="2"/>
        <v>10370</v>
      </c>
      <c r="W19" s="49">
        <f t="shared" si="3"/>
        <v>8.9473140851371348E-3</v>
      </c>
      <c r="X19" s="44">
        <f t="shared" si="4"/>
        <v>5495.0504766165359</v>
      </c>
      <c r="Y19" s="44">
        <f t="shared" si="5"/>
        <v>10370</v>
      </c>
      <c r="Z19" s="44">
        <f t="shared" si="6"/>
        <v>44078.758794177367</v>
      </c>
      <c r="AA19" s="50">
        <f t="shared" si="7"/>
        <v>57534.05047661654</v>
      </c>
      <c r="AB19" s="51">
        <f t="shared" si="8"/>
        <v>41272.246061963822</v>
      </c>
      <c r="AC19" s="44">
        <f t="shared" si="9"/>
        <v>53870.833779603498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8.2419011110206348</v>
      </c>
      <c r="AG19" s="44">
        <f t="shared" si="11"/>
        <v>60001.04008823022</v>
      </c>
      <c r="AH19" s="52">
        <f>HLOOKUP(I19,GasAvoidedCostsWOCC!$A$5:$Q$50,T19+1,FALSE)</f>
        <v>8.2419011110206348</v>
      </c>
      <c r="AI19" s="44">
        <f t="shared" si="12"/>
        <v>0</v>
      </c>
      <c r="AJ19" s="44">
        <f t="shared" si="13"/>
        <v>60001.04008823022</v>
      </c>
      <c r="AK19" s="44">
        <f>HLOOKUP(I19,GasAvoidedCostsWOCC!$A$5:$Q$50,G19+1,FALSE)*J19*L19</f>
        <v>0</v>
      </c>
      <c r="AL19" s="44">
        <f t="shared" si="14"/>
        <v>60001.04008823022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60001.04008823022</v>
      </c>
      <c r="AN19" s="48">
        <f t="shared" si="15"/>
        <v>66001.144097053242</v>
      </c>
      <c r="AO19" s="47">
        <f t="shared" si="16"/>
        <v>1.4537866438901348</v>
      </c>
      <c r="AP19" s="47">
        <f t="shared" si="17"/>
        <v>1.2251739850004419</v>
      </c>
    </row>
    <row r="20" spans="1:42" ht="13.5" customHeight="1" x14ac:dyDescent="0.35">
      <c r="A20" s="59">
        <f>A8+SUM(Q5:Q906)</f>
        <v>14653906.119999999</v>
      </c>
      <c r="B20" s="97" t="s">
        <v>134</v>
      </c>
      <c r="C20" s="98">
        <v>18230731</v>
      </c>
      <c r="D20" s="61" t="s">
        <v>135</v>
      </c>
      <c r="E20" s="38" t="s">
        <v>1146</v>
      </c>
      <c r="F20" s="39" t="s">
        <v>1147</v>
      </c>
      <c r="G20" s="39">
        <v>12</v>
      </c>
      <c r="H20" s="39"/>
      <c r="I20" s="40" t="s">
        <v>261</v>
      </c>
      <c r="J20" s="41">
        <v>1</v>
      </c>
      <c r="K20" s="41">
        <v>150309</v>
      </c>
      <c r="L20" s="41"/>
      <c r="M20" s="42">
        <v>796119</v>
      </c>
      <c r="N20" s="42">
        <v>983067</v>
      </c>
      <c r="O20" s="43">
        <v>150309</v>
      </c>
      <c r="P20" s="44">
        <v>796119</v>
      </c>
      <c r="Q20" s="44">
        <v>983067</v>
      </c>
      <c r="R20" s="45"/>
      <c r="S20" s="46"/>
      <c r="T20" s="39">
        <f t="shared" si="0"/>
        <v>12</v>
      </c>
      <c r="U20" s="47">
        <f t="shared" si="1"/>
        <v>2.2168052189388092</v>
      </c>
      <c r="V20" s="48">
        <f t="shared" si="2"/>
        <v>186948</v>
      </c>
      <c r="W20" s="49">
        <f t="shared" si="3"/>
        <v>0.18473376824490076</v>
      </c>
      <c r="X20" s="44">
        <f t="shared" si="4"/>
        <v>113455.43160573556</v>
      </c>
      <c r="Y20" s="44">
        <f t="shared" si="5"/>
        <v>186948</v>
      </c>
      <c r="Z20" s="44">
        <f t="shared" si="6"/>
        <v>910087.1092848907</v>
      </c>
      <c r="AA20" s="50">
        <f t="shared" si="7"/>
        <v>1096522.4316057356</v>
      </c>
      <c r="AB20" s="51">
        <f t="shared" si="8"/>
        <v>852141.48809446685</v>
      </c>
      <c r="AC20" s="44">
        <f t="shared" si="9"/>
        <v>1026706.3966345838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8.2419011110206348</v>
      </c>
      <c r="AG20" s="44">
        <f t="shared" si="11"/>
        <v>1238831.9140964006</v>
      </c>
      <c r="AH20" s="52">
        <f>HLOOKUP(I20,GasAvoidedCostsWOCC!$A$5:$Q$50,T20+1,FALSE)</f>
        <v>8.2419011110206348</v>
      </c>
      <c r="AI20" s="44">
        <f t="shared" si="12"/>
        <v>0</v>
      </c>
      <c r="AJ20" s="44">
        <f t="shared" si="13"/>
        <v>1238831.9140964006</v>
      </c>
      <c r="AK20" s="44">
        <f>HLOOKUP(I20,GasAvoidedCostsWOCC!$A$5:$Q$50,G20+1,FALSE)*J20*L20</f>
        <v>0</v>
      </c>
      <c r="AL20" s="44">
        <f t="shared" si="14"/>
        <v>1238831.9140964006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1238831.9140964006</v>
      </c>
      <c r="AN20" s="48">
        <f t="shared" si="15"/>
        <v>1362715.1055060409</v>
      </c>
      <c r="AO20" s="47">
        <f t="shared" si="16"/>
        <v>1.4537866438901352</v>
      </c>
      <c r="AP20" s="47">
        <f t="shared" si="17"/>
        <v>1.327268545294791</v>
      </c>
    </row>
    <row r="21" spans="1:42" ht="13.5" customHeight="1" x14ac:dyDescent="0.35">
      <c r="A21" s="58" t="s">
        <v>236</v>
      </c>
      <c r="B21" s="97" t="s">
        <v>134</v>
      </c>
      <c r="C21" s="98">
        <v>18230731</v>
      </c>
      <c r="D21" s="61" t="s">
        <v>135</v>
      </c>
      <c r="E21" s="38" t="s">
        <v>1148</v>
      </c>
      <c r="F21" s="39" t="s">
        <v>1149</v>
      </c>
      <c r="G21" s="39">
        <v>10</v>
      </c>
      <c r="H21" s="39"/>
      <c r="I21" s="40" t="s">
        <v>261</v>
      </c>
      <c r="J21" s="41">
        <v>1</v>
      </c>
      <c r="K21" s="41">
        <v>20807</v>
      </c>
      <c r="L21" s="41"/>
      <c r="M21" s="42">
        <v>97791</v>
      </c>
      <c r="N21" s="42">
        <v>124881</v>
      </c>
      <c r="O21" s="43">
        <v>20807</v>
      </c>
      <c r="P21" s="44">
        <v>97791</v>
      </c>
      <c r="Q21" s="44">
        <v>124881</v>
      </c>
      <c r="R21" s="45"/>
      <c r="S21" s="46"/>
      <c r="T21" s="39">
        <f t="shared" si="0"/>
        <v>10</v>
      </c>
      <c r="U21" s="47">
        <f t="shared" si="1"/>
        <v>0.25572357715583566</v>
      </c>
      <c r="V21" s="48">
        <f t="shared" si="2"/>
        <v>27090</v>
      </c>
      <c r="W21" s="49">
        <f t="shared" si="3"/>
        <v>2.5572357715583565E-2</v>
      </c>
      <c r="X21" s="44">
        <f t="shared" si="4"/>
        <v>15705.427921285751</v>
      </c>
      <c r="Y21" s="44">
        <f t="shared" si="5"/>
        <v>27090</v>
      </c>
      <c r="Z21" s="44">
        <f t="shared" si="6"/>
        <v>125981.69426242422</v>
      </c>
      <c r="AA21" s="50">
        <f t="shared" si="7"/>
        <v>140586.42792128574</v>
      </c>
      <c r="AB21" s="51">
        <f t="shared" si="8"/>
        <v>117960.387886165</v>
      </c>
      <c r="AC21" s="44">
        <f t="shared" si="9"/>
        <v>131635.23213603534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7.0095884555989638</v>
      </c>
      <c r="AG21" s="44">
        <f t="shared" si="11"/>
        <v>145848.50699564765</v>
      </c>
      <c r="AH21" s="52">
        <f>HLOOKUP(I21,GasAvoidedCostsWOCC!$A$5:$Q$50,T21+1,FALSE)</f>
        <v>7.0095884555989638</v>
      </c>
      <c r="AI21" s="44">
        <f t="shared" si="12"/>
        <v>0</v>
      </c>
      <c r="AJ21" s="44">
        <f t="shared" si="13"/>
        <v>145848.50699564765</v>
      </c>
      <c r="AK21" s="44">
        <f>HLOOKUP(I21,GasAvoidedCostsWOCC!$A$5:$Q$50,G21+1,FALSE)*J21*L21</f>
        <v>0</v>
      </c>
      <c r="AL21" s="44">
        <f t="shared" si="14"/>
        <v>145848.50699564765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145848.50699564765</v>
      </c>
      <c r="AN21" s="48">
        <f t="shared" si="15"/>
        <v>160433.35769521244</v>
      </c>
      <c r="AO21" s="47">
        <f t="shared" si="16"/>
        <v>1.2364193574574835</v>
      </c>
      <c r="AP21" s="47">
        <f t="shared" si="17"/>
        <v>1.2187721713394812</v>
      </c>
    </row>
    <row r="22" spans="1:42" ht="13.5" customHeight="1" x14ac:dyDescent="0.35">
      <c r="A22" s="60">
        <f>(SUM(AM5:AM1000)/(SUM(AB5:AB1000)))</f>
        <v>2.0391067684295385</v>
      </c>
      <c r="B22" s="97" t="s">
        <v>134</v>
      </c>
      <c r="C22" s="98">
        <v>18230731</v>
      </c>
      <c r="D22" s="61" t="s">
        <v>135</v>
      </c>
      <c r="E22" s="38" t="s">
        <v>1148</v>
      </c>
      <c r="F22" s="39" t="s">
        <v>1149</v>
      </c>
      <c r="G22" s="39">
        <v>10</v>
      </c>
      <c r="H22" s="39"/>
      <c r="I22" s="40" t="s">
        <v>261</v>
      </c>
      <c r="J22" s="41">
        <v>1</v>
      </c>
      <c r="K22" s="41">
        <v>21379</v>
      </c>
      <c r="L22" s="41"/>
      <c r="M22" s="42">
        <v>67018</v>
      </c>
      <c r="N22" s="42">
        <v>67018</v>
      </c>
      <c r="O22" s="43">
        <v>21379</v>
      </c>
      <c r="P22" s="44">
        <v>67018</v>
      </c>
      <c r="Q22" s="44">
        <v>67018</v>
      </c>
      <c r="R22" s="45"/>
      <c r="S22" s="46"/>
      <c r="T22" s="39">
        <f t="shared" si="0"/>
        <v>10</v>
      </c>
      <c r="U22" s="47">
        <f t="shared" si="1"/>
        <v>0.26275360965130057</v>
      </c>
      <c r="V22" s="48">
        <f t="shared" si="2"/>
        <v>0</v>
      </c>
      <c r="W22" s="49">
        <f t="shared" si="3"/>
        <v>2.6275360965130057E-2</v>
      </c>
      <c r="X22" s="44">
        <f t="shared" si="4"/>
        <v>16137.181887305622</v>
      </c>
      <c r="Y22" s="44">
        <f t="shared" si="5"/>
        <v>0</v>
      </c>
      <c r="Z22" s="44">
        <f t="shared" si="6"/>
        <v>129445.02531053816</v>
      </c>
      <c r="AA22" s="50">
        <f t="shared" si="7"/>
        <v>83155.181887305618</v>
      </c>
      <c r="AB22" s="51">
        <f t="shared" si="8"/>
        <v>121203.20721960501</v>
      </c>
      <c r="AC22" s="44">
        <f t="shared" si="9"/>
        <v>77860.657197851702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7.0095884555989638</v>
      </c>
      <c r="AG22" s="44">
        <f t="shared" si="11"/>
        <v>149857.99159225024</v>
      </c>
      <c r="AH22" s="52">
        <f>HLOOKUP(I22,GasAvoidedCostsWOCC!$A$5:$Q$50,T22+1,FALSE)</f>
        <v>7.0095884555989638</v>
      </c>
      <c r="AI22" s="44">
        <f t="shared" si="12"/>
        <v>0</v>
      </c>
      <c r="AJ22" s="44">
        <f t="shared" si="13"/>
        <v>149857.99159225024</v>
      </c>
      <c r="AK22" s="44">
        <f>HLOOKUP(I22,GasAvoidedCostsWOCC!$A$5:$Q$50,G22+1,FALSE)*J22*L22</f>
        <v>0</v>
      </c>
      <c r="AL22" s="44">
        <f t="shared" si="14"/>
        <v>149857.99159225024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149857.99159225024</v>
      </c>
      <c r="AN22" s="48">
        <f t="shared" si="15"/>
        <v>164843.79075147529</v>
      </c>
      <c r="AO22" s="47">
        <f t="shared" si="16"/>
        <v>1.2364193574574833</v>
      </c>
      <c r="AP22" s="47">
        <f t="shared" si="17"/>
        <v>2.1171641324910828</v>
      </c>
    </row>
    <row r="23" spans="1:42" ht="13.5" customHeight="1" x14ac:dyDescent="0.35">
      <c r="A23" s="58" t="s">
        <v>237</v>
      </c>
      <c r="B23" s="97" t="s">
        <v>134</v>
      </c>
      <c r="C23" s="98">
        <v>18230731</v>
      </c>
      <c r="D23" s="61" t="s">
        <v>135</v>
      </c>
      <c r="E23" s="38" t="s">
        <v>1150</v>
      </c>
      <c r="F23" s="39" t="s">
        <v>1151</v>
      </c>
      <c r="G23" s="39">
        <v>15</v>
      </c>
      <c r="H23" s="39"/>
      <c r="I23" s="40" t="s">
        <v>261</v>
      </c>
      <c r="J23" s="41">
        <v>1</v>
      </c>
      <c r="K23" s="41">
        <v>7312</v>
      </c>
      <c r="L23" s="41"/>
      <c r="M23" s="42">
        <v>35560</v>
      </c>
      <c r="N23" s="42">
        <v>50800</v>
      </c>
      <c r="O23" s="43">
        <v>7312</v>
      </c>
      <c r="P23" s="44">
        <v>35560</v>
      </c>
      <c r="Q23" s="44">
        <v>50800</v>
      </c>
      <c r="R23" s="45"/>
      <c r="S23" s="46"/>
      <c r="T23" s="39">
        <f t="shared" si="0"/>
        <v>15</v>
      </c>
      <c r="U23" s="47">
        <f t="shared" si="1"/>
        <v>0.13479964407387923</v>
      </c>
      <c r="V23" s="48">
        <f t="shared" si="2"/>
        <v>15240</v>
      </c>
      <c r="W23" s="49">
        <f t="shared" si="3"/>
        <v>8.9866429382586162E-3</v>
      </c>
      <c r="X23" s="44">
        <f t="shared" si="4"/>
        <v>5519.2045446456195</v>
      </c>
      <c r="Y23" s="44">
        <f t="shared" si="5"/>
        <v>15240</v>
      </c>
      <c r="Z23" s="44">
        <f t="shared" si="6"/>
        <v>44272.511580085826</v>
      </c>
      <c r="AA23" s="50">
        <f t="shared" si="7"/>
        <v>56319.204544645618</v>
      </c>
      <c r="AB23" s="51">
        <f t="shared" si="8"/>
        <v>41453.662528170244</v>
      </c>
      <c r="AC23" s="44">
        <f t="shared" si="9"/>
        <v>52733.337588619492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10.000114235272545</v>
      </c>
      <c r="AG23" s="44">
        <f t="shared" si="11"/>
        <v>73120.835288312839</v>
      </c>
      <c r="AH23" s="52">
        <f>HLOOKUP(I23,GasAvoidedCostsWOCC!$A$5:$Q$50,T23+1,FALSE)</f>
        <v>10.000114235272545</v>
      </c>
      <c r="AI23" s="44">
        <f t="shared" si="12"/>
        <v>0</v>
      </c>
      <c r="AJ23" s="44">
        <f t="shared" si="13"/>
        <v>73120.835288312839</v>
      </c>
      <c r="AK23" s="44">
        <f>HLOOKUP(I23,GasAvoidedCostsWOCC!$A$5:$Q$50,G23+1,FALSE)*J23*L23</f>
        <v>0</v>
      </c>
      <c r="AL23" s="44">
        <f t="shared" si="14"/>
        <v>73120.835288312839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73120.835288312839</v>
      </c>
      <c r="AN23" s="48">
        <f t="shared" si="15"/>
        <v>80432.918817144135</v>
      </c>
      <c r="AO23" s="47">
        <f t="shared" si="16"/>
        <v>1.7639173677023798</v>
      </c>
      <c r="AP23" s="47">
        <f t="shared" si="17"/>
        <v>1.5252764663714848</v>
      </c>
    </row>
    <row r="24" spans="1:42" ht="13.5" customHeight="1" x14ac:dyDescent="0.35">
      <c r="A24" s="60">
        <f>(SUM(AN5:AN1000)/SUM(AC5:AC1000))</f>
        <v>0.75407739170544696</v>
      </c>
      <c r="B24" s="97" t="s">
        <v>134</v>
      </c>
      <c r="C24" s="98">
        <v>18230731</v>
      </c>
      <c r="D24" s="61" t="s">
        <v>135</v>
      </c>
      <c r="E24" s="38" t="s">
        <v>1150</v>
      </c>
      <c r="F24" s="39" t="s">
        <v>1151</v>
      </c>
      <c r="G24" s="39">
        <v>15</v>
      </c>
      <c r="H24" s="39"/>
      <c r="I24" s="40" t="s">
        <v>261</v>
      </c>
      <c r="J24" s="41">
        <v>1</v>
      </c>
      <c r="K24" s="41">
        <v>2709</v>
      </c>
      <c r="L24" s="41"/>
      <c r="M24" s="42">
        <v>16254</v>
      </c>
      <c r="N24" s="42">
        <v>28016</v>
      </c>
      <c r="O24" s="43">
        <v>2709</v>
      </c>
      <c r="P24" s="44">
        <v>16254</v>
      </c>
      <c r="Q24" s="44">
        <v>28016</v>
      </c>
      <c r="R24" s="45"/>
      <c r="S24" s="46"/>
      <c r="T24" s="39">
        <f t="shared" si="0"/>
        <v>15</v>
      </c>
      <c r="U24" s="47">
        <f t="shared" si="1"/>
        <v>4.9941498330981791E-2</v>
      </c>
      <c r="V24" s="48">
        <f t="shared" si="2"/>
        <v>11762</v>
      </c>
      <c r="W24" s="49">
        <f t="shared" si="3"/>
        <v>3.329433222065453E-3</v>
      </c>
      <c r="X24" s="44">
        <f t="shared" si="4"/>
        <v>2044.7928215871148</v>
      </c>
      <c r="Y24" s="44">
        <f t="shared" si="5"/>
        <v>11762</v>
      </c>
      <c r="Z24" s="44">
        <f t="shared" si="6"/>
        <v>16402.384282064075</v>
      </c>
      <c r="AA24" s="50">
        <f t="shared" si="7"/>
        <v>30060.792821587114</v>
      </c>
      <c r="AB24" s="51">
        <f t="shared" si="8"/>
        <v>15358.037717288458</v>
      </c>
      <c r="AC24" s="44">
        <f t="shared" si="9"/>
        <v>28146.809758040366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10.000114235272545</v>
      </c>
      <c r="AG24" s="44">
        <f t="shared" si="11"/>
        <v>27090.309463353322</v>
      </c>
      <c r="AH24" s="52">
        <f>HLOOKUP(I24,GasAvoidedCostsWOCC!$A$5:$Q$50,T24+1,FALSE)</f>
        <v>10.000114235272545</v>
      </c>
      <c r="AI24" s="44">
        <f t="shared" si="12"/>
        <v>0</v>
      </c>
      <c r="AJ24" s="44">
        <f t="shared" si="13"/>
        <v>27090.309463353322</v>
      </c>
      <c r="AK24" s="44">
        <f>HLOOKUP(I24,GasAvoidedCostsWOCC!$A$5:$Q$50,G24+1,FALSE)*J24*L24</f>
        <v>0</v>
      </c>
      <c r="AL24" s="44">
        <f t="shared" si="14"/>
        <v>27090.309463353322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27090.309463353322</v>
      </c>
      <c r="AN24" s="48">
        <f t="shared" si="15"/>
        <v>29799.340409688655</v>
      </c>
      <c r="AO24" s="47">
        <f t="shared" si="16"/>
        <v>1.7639173677023798</v>
      </c>
      <c r="AP24" s="47">
        <f t="shared" si="17"/>
        <v>1.0587111173825385</v>
      </c>
    </row>
    <row r="25" spans="1:42" ht="13.5" customHeight="1" x14ac:dyDescent="0.35">
      <c r="B25" s="97" t="s">
        <v>134</v>
      </c>
      <c r="C25" s="98">
        <v>18230731</v>
      </c>
      <c r="D25" s="61" t="s">
        <v>135</v>
      </c>
      <c r="E25" s="38" t="s">
        <v>1154</v>
      </c>
      <c r="F25" s="39" t="s">
        <v>1155</v>
      </c>
      <c r="G25" s="39">
        <v>5</v>
      </c>
      <c r="H25" s="39"/>
      <c r="I25" s="40" t="s">
        <v>261</v>
      </c>
      <c r="J25" s="41">
        <v>1</v>
      </c>
      <c r="K25" s="41">
        <v>3004</v>
      </c>
      <c r="L25" s="41"/>
      <c r="M25" s="42">
        <v>3601</v>
      </c>
      <c r="N25" s="42">
        <v>4151</v>
      </c>
      <c r="O25" s="43">
        <v>3004</v>
      </c>
      <c r="P25" s="44">
        <v>3601</v>
      </c>
      <c r="Q25" s="44">
        <v>4151</v>
      </c>
      <c r="R25" s="45"/>
      <c r="S25" s="46"/>
      <c r="T25" s="39">
        <f t="shared" ref="T25:T55" si="19">G25+H25</f>
        <v>5</v>
      </c>
      <c r="U25" s="47">
        <f t="shared" ref="U25:U55" si="20">(O25/$A$10)*T25</f>
        <v>1.8459980433895573E-2</v>
      </c>
      <c r="V25" s="48">
        <f t="shared" ref="V25:V55" si="21">N25-M25</f>
        <v>550</v>
      </c>
      <c r="W25" s="49">
        <f t="shared" ref="W25:W55" si="22">(O25/A$10)</f>
        <v>3.6919960867791146E-3</v>
      </c>
      <c r="X25" s="44">
        <f t="shared" ref="X25:X55" si="23">W25*A$8</f>
        <v>2267.4631362302302</v>
      </c>
      <c r="Y25" s="44">
        <f t="shared" ref="Y25:Y55" si="24">Q25-P25</f>
        <v>550</v>
      </c>
      <c r="Z25" s="44">
        <f t="shared" ref="Z25:Z55" si="25">X25+(A$6*W25)</f>
        <v>18188.542777157803</v>
      </c>
      <c r="AA25" s="50">
        <f t="shared" ref="AA25:AA55" si="26">Q25+X25</f>
        <v>6418.4631362302298</v>
      </c>
      <c r="AB25" s="51">
        <f t="shared" ref="AB25:AB55" si="27">Z25/(1+GasDiscountRate)^1</f>
        <v>17030.47076512903</v>
      </c>
      <c r="AC25" s="44">
        <f t="shared" ref="AC25:AC55" si="28">AA25/(1+GasDiscountRate)^1</f>
        <v>6009.7969440357956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3.6855148710703709</v>
      </c>
      <c r="AG25" s="44">
        <f t="shared" ref="AG25:AG55" si="31">AF25*J25*K25</f>
        <v>11071.286672695394</v>
      </c>
      <c r="AH25" s="52">
        <f>HLOOKUP(I25,GasAvoidedCostsWOCC!$A$5:$Q$50,T25+1,FALSE)</f>
        <v>3.6855148710703709</v>
      </c>
      <c r="AI25" s="44">
        <f t="shared" ref="AI25:AI55" si="32">AH25*J25*L25</f>
        <v>0</v>
      </c>
      <c r="AJ25" s="44">
        <f t="shared" ref="AJ25:AJ55" si="33">AG25+AI25</f>
        <v>11071.286672695394</v>
      </c>
      <c r="AK25" s="44">
        <f>HLOOKUP(I25,GasAvoidedCostsWOCC!$A$5:$Q$50,G25+1,FALSE)*J25*L25</f>
        <v>0</v>
      </c>
      <c r="AL25" s="44">
        <f t="shared" ref="AL25:AL55" si="34">AG25+AI25-AK25</f>
        <v>11071.286672695394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11071.286672695394</v>
      </c>
      <c r="AN25" s="48">
        <f t="shared" ref="AN25:AN55" si="35">AM25*1.1+AD25+AE25</f>
        <v>12178.415339964935</v>
      </c>
      <c r="AO25" s="47">
        <f t="shared" ref="AO25:AO55" si="36">IFERROR(AM25/AB25,0)</f>
        <v>0.65008694271473433</v>
      </c>
      <c r="AP25" s="47">
        <f t="shared" ref="AP25:AP55" si="37">AN25/AC25</f>
        <v>2.0264270911933155</v>
      </c>
    </row>
    <row r="26" spans="1:42" ht="13.5" customHeight="1" x14ac:dyDescent="0.35">
      <c r="B26" s="97" t="s">
        <v>134</v>
      </c>
      <c r="C26" s="98">
        <v>18230731</v>
      </c>
      <c r="D26" s="61" t="s">
        <v>135</v>
      </c>
      <c r="E26" s="38" t="s">
        <v>1156</v>
      </c>
      <c r="F26" s="39" t="s">
        <v>1157</v>
      </c>
      <c r="G26" s="39">
        <v>5</v>
      </c>
      <c r="H26" s="39"/>
      <c r="I26" s="40" t="s">
        <v>261</v>
      </c>
      <c r="J26" s="41">
        <v>1</v>
      </c>
      <c r="K26" s="41">
        <v>0</v>
      </c>
      <c r="L26" s="41"/>
      <c r="M26" s="42">
        <v>2000</v>
      </c>
      <c r="N26" s="42">
        <v>2000</v>
      </c>
      <c r="O26" s="43">
        <v>0</v>
      </c>
      <c r="P26" s="44">
        <v>2000</v>
      </c>
      <c r="Q26" s="44">
        <v>2000</v>
      </c>
      <c r="R26" s="45"/>
      <c r="S26" s="46"/>
      <c r="T26" s="39">
        <f t="shared" si="19"/>
        <v>5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2000</v>
      </c>
      <c r="AB26" s="51">
        <f t="shared" si="27"/>
        <v>0</v>
      </c>
      <c r="AC26" s="44">
        <f t="shared" si="28"/>
        <v>1872.6591760299625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3.6855148710703709</v>
      </c>
      <c r="AG26" s="44">
        <f t="shared" si="31"/>
        <v>0</v>
      </c>
      <c r="AH26" s="52">
        <f>HLOOKUP(I26,GasAvoidedCostsWOCC!$A$5:$Q$50,T26+1,FALSE)</f>
        <v>3.6855148710703709</v>
      </c>
      <c r="AI26" s="44">
        <f t="shared" si="32"/>
        <v>0</v>
      </c>
      <c r="AJ26" s="44">
        <f t="shared" si="33"/>
        <v>0</v>
      </c>
      <c r="AK26" s="44">
        <f>HLOOKUP(I26,GasAvoidedCostsWOCC!$A$5:$Q$50,G26+1,FALSE)*J26*L26</f>
        <v>0</v>
      </c>
      <c r="AL26" s="44">
        <f t="shared" si="34"/>
        <v>0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</row>
    <row r="27" spans="1:42" ht="13.5" customHeight="1" x14ac:dyDescent="0.35">
      <c r="B27" s="97" t="s">
        <v>134</v>
      </c>
      <c r="C27" s="98">
        <v>18230731</v>
      </c>
      <c r="D27" s="61" t="s">
        <v>135</v>
      </c>
      <c r="E27" s="38" t="s">
        <v>1158</v>
      </c>
      <c r="F27" s="39" t="s">
        <v>1159</v>
      </c>
      <c r="G27" s="39">
        <v>5</v>
      </c>
      <c r="H27" s="39"/>
      <c r="I27" s="40" t="s">
        <v>261</v>
      </c>
      <c r="J27" s="41">
        <v>1</v>
      </c>
      <c r="K27" s="41">
        <v>10535</v>
      </c>
      <c r="L27" s="41"/>
      <c r="M27" s="42">
        <v>8428</v>
      </c>
      <c r="N27" s="42">
        <v>27516</v>
      </c>
      <c r="O27" s="43">
        <v>10535</v>
      </c>
      <c r="P27" s="44">
        <v>8428</v>
      </c>
      <c r="Q27" s="44">
        <v>27516</v>
      </c>
      <c r="R27" s="45"/>
      <c r="S27" s="46"/>
      <c r="T27" s="39">
        <f t="shared" si="19"/>
        <v>5</v>
      </c>
      <c r="U27" s="47">
        <f t="shared" si="20"/>
        <v>6.4738979317939371E-2</v>
      </c>
      <c r="V27" s="48">
        <f t="shared" si="21"/>
        <v>19088</v>
      </c>
      <c r="W27" s="49">
        <f t="shared" si="22"/>
        <v>1.2947795863587873E-2</v>
      </c>
      <c r="X27" s="44">
        <f t="shared" si="23"/>
        <v>7951.9720839498914</v>
      </c>
      <c r="Y27" s="44">
        <f t="shared" si="24"/>
        <v>19088</v>
      </c>
      <c r="Z27" s="44">
        <f t="shared" si="25"/>
        <v>63787.049985804741</v>
      </c>
      <c r="AA27" s="50">
        <f t="shared" si="26"/>
        <v>35467.972083949891</v>
      </c>
      <c r="AB27" s="51">
        <f t="shared" si="27"/>
        <v>59725.702233899567</v>
      </c>
      <c r="AC27" s="44">
        <f t="shared" si="28"/>
        <v>33209.711689091659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3.6855148710703709</v>
      </c>
      <c r="AG27" s="44">
        <f t="shared" si="31"/>
        <v>38826.899166726354</v>
      </c>
      <c r="AH27" s="52">
        <f>HLOOKUP(I27,GasAvoidedCostsWOCC!$A$5:$Q$50,T27+1,FALSE)</f>
        <v>3.6855148710703709</v>
      </c>
      <c r="AI27" s="44">
        <f t="shared" si="32"/>
        <v>0</v>
      </c>
      <c r="AJ27" s="44">
        <f t="shared" si="33"/>
        <v>38826.899166726354</v>
      </c>
      <c r="AK27" s="44">
        <f>HLOOKUP(I27,GasAvoidedCostsWOCC!$A$5:$Q$50,G27+1,FALSE)*J27*L27</f>
        <v>0</v>
      </c>
      <c r="AL27" s="44">
        <f t="shared" si="34"/>
        <v>38826.899166726354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38826.899166726354</v>
      </c>
      <c r="AN27" s="48">
        <f t="shared" si="35"/>
        <v>42709.589083398991</v>
      </c>
      <c r="AO27" s="47">
        <f t="shared" si="36"/>
        <v>0.65008694271473444</v>
      </c>
      <c r="AP27" s="47">
        <f t="shared" si="37"/>
        <v>1.286057207700112</v>
      </c>
    </row>
    <row r="28" spans="1:42" ht="13.5" customHeight="1" x14ac:dyDescent="0.35">
      <c r="B28" s="97" t="s">
        <v>134</v>
      </c>
      <c r="C28" s="98">
        <v>18230731</v>
      </c>
      <c r="D28" s="61" t="s">
        <v>135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134</v>
      </c>
      <c r="C29" s="98">
        <v>18230731</v>
      </c>
      <c r="D29" s="61" t="s">
        <v>135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J6" sqref="J6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18230220</v>
      </c>
      <c r="D2" s="20" t="s">
        <v>322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134</v>
      </c>
      <c r="C5" s="99">
        <v>18230220</v>
      </c>
      <c r="D5" s="100" t="s">
        <v>322</v>
      </c>
      <c r="E5" s="38" t="s">
        <v>1204</v>
      </c>
      <c r="F5" s="39" t="s">
        <v>1205</v>
      </c>
      <c r="G5" s="39">
        <v>5</v>
      </c>
      <c r="H5" s="39"/>
      <c r="I5" s="40" t="s">
        <v>261</v>
      </c>
      <c r="J5" s="41">
        <v>1</v>
      </c>
      <c r="K5" s="43">
        <v>6528</v>
      </c>
      <c r="L5" s="41"/>
      <c r="M5" s="42">
        <v>0</v>
      </c>
      <c r="N5" s="42">
        <v>0</v>
      </c>
      <c r="O5" s="43">
        <v>6528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2.5478104753727266</v>
      </c>
      <c r="V5" s="48">
        <f t="shared" ref="V5:V24" si="2">N5-M5</f>
        <v>0</v>
      </c>
      <c r="W5" s="49">
        <f t="shared" ref="W5:W24" si="3">(O5/A$10)</f>
        <v>0.50956209507454531</v>
      </c>
      <c r="X5" s="44">
        <f t="shared" ref="X5:X24" si="4">W5*A$8</f>
        <v>57441.559160096789</v>
      </c>
      <c r="Y5" s="44">
        <f t="shared" ref="Y5:Y24" si="5">Q5-P5</f>
        <v>0</v>
      </c>
      <c r="Z5" s="44">
        <f t="shared" ref="Z5:Z24" si="6">X5+(A$6*W5)</f>
        <v>57441.559160096789</v>
      </c>
      <c r="AA5" s="50">
        <f t="shared" ref="AA5:AA24" si="7">Q5+X5</f>
        <v>57441.559160096789</v>
      </c>
      <c r="AB5" s="51">
        <f t="shared" ref="AB5:AC24" si="8">Z5/(1+GasDiscountRate)^1</f>
        <v>53784.231423311598</v>
      </c>
      <c r="AC5" s="44">
        <f t="shared" si="8"/>
        <v>53784.231423311598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3.6855148710703709</v>
      </c>
      <c r="AG5" s="44">
        <f t="shared" ref="AG5:AG24" si="10">AF5*J5*K5</f>
        <v>24059.041078347382</v>
      </c>
      <c r="AH5" s="52">
        <f>HLOOKUP(I5,GasAvoidedCostsWOCC!$A$5:$Q$50,T5+1,FALSE)</f>
        <v>3.6855148710703709</v>
      </c>
      <c r="AI5" s="44">
        <f t="shared" ref="AI5:AI24" si="11">AH5*J5*L5</f>
        <v>0</v>
      </c>
      <c r="AJ5" s="44">
        <f>AG5+AI5</f>
        <v>24059.041078347382</v>
      </c>
      <c r="AK5" s="44">
        <f>HLOOKUP(I5,GasAvoidedCostsWOCC!$A$5:$Q$50,G5+1,FALSE)*J5*L5</f>
        <v>0</v>
      </c>
      <c r="AL5" s="44">
        <f>AG5+AI5-AK5</f>
        <v>24059.041078347382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24059.041078347382</v>
      </c>
      <c r="AN5" s="48">
        <f>AM5*1.1+AD5+AE5</f>
        <v>26464.945186182122</v>
      </c>
      <c r="AO5" s="47">
        <f>IFERROR(AM5/AB5,0)</f>
        <v>0.44732518140845862</v>
      </c>
      <c r="AP5" s="47">
        <f>AN5/AC5</f>
        <v>0.49205769954930451</v>
      </c>
    </row>
    <row r="6" spans="1:42" ht="13.5" customHeight="1" x14ac:dyDescent="0.35">
      <c r="A6" s="53">
        <f>SUMIF('Program Costs'!D:D,C2,'Program Costs'!L:L)</f>
        <v>0</v>
      </c>
      <c r="E6" s="38" t="s">
        <v>1206</v>
      </c>
      <c r="F6" s="39" t="s">
        <v>1207</v>
      </c>
      <c r="G6" s="39">
        <v>5</v>
      </c>
      <c r="H6" s="39"/>
      <c r="I6" s="40" t="s">
        <v>261</v>
      </c>
      <c r="J6" s="41">
        <v>1</v>
      </c>
      <c r="K6" s="43">
        <v>6283</v>
      </c>
      <c r="L6" s="41"/>
      <c r="M6" s="42">
        <v>0</v>
      </c>
      <c r="N6" s="42">
        <v>0</v>
      </c>
      <c r="O6" s="43">
        <v>6283</v>
      </c>
      <c r="P6" s="44">
        <v>0</v>
      </c>
      <c r="Q6" s="44">
        <v>0</v>
      </c>
      <c r="R6" s="45"/>
      <c r="S6" s="46"/>
      <c r="T6" s="39">
        <f t="shared" si="0"/>
        <v>5</v>
      </c>
      <c r="U6" s="47">
        <f t="shared" si="1"/>
        <v>2.4521895246272734</v>
      </c>
      <c r="V6" s="48">
        <f t="shared" si="2"/>
        <v>0</v>
      </c>
      <c r="W6" s="49">
        <f t="shared" si="3"/>
        <v>0.49043790492545469</v>
      </c>
      <c r="X6" s="44">
        <f t="shared" si="4"/>
        <v>55285.740839903214</v>
      </c>
      <c r="Y6" s="44">
        <f t="shared" si="5"/>
        <v>0</v>
      </c>
      <c r="Z6" s="44">
        <f t="shared" si="6"/>
        <v>55285.740839903214</v>
      </c>
      <c r="AA6" s="50">
        <f t="shared" si="7"/>
        <v>55285.740839903214</v>
      </c>
      <c r="AB6" s="51">
        <f t="shared" si="8"/>
        <v>51765.674943729595</v>
      </c>
      <c r="AC6" s="44">
        <f t="shared" si="8"/>
        <v>51765.674943729595</v>
      </c>
      <c r="AD6" s="44">
        <f t="shared" si="9"/>
        <v>0</v>
      </c>
      <c r="AE6" s="44">
        <v>0</v>
      </c>
      <c r="AF6" s="52">
        <f>HLOOKUP(I6,GasAvoidedCostsWOCC!$A$5:$G$50,G6+1,FALSE)</f>
        <v>3.6855148710703709</v>
      </c>
      <c r="AG6" s="44">
        <f t="shared" si="10"/>
        <v>23156.089934935142</v>
      </c>
      <c r="AH6" s="52">
        <f>HLOOKUP(I6,GasAvoidedCostsWOCC!$A$5:$Q$50,T6+1,FALSE)</f>
        <v>3.6855148710703709</v>
      </c>
      <c r="AI6" s="44">
        <f t="shared" si="11"/>
        <v>0</v>
      </c>
      <c r="AJ6" s="44">
        <f t="shared" ref="AJ6:AJ24" si="12">AG6+AI6</f>
        <v>23156.089934935142</v>
      </c>
      <c r="AK6" s="44">
        <f>HLOOKUP(I6,GasAvoidedCostsWOCC!$A$5:$Q$50,G6+1,FALSE)*J6*L6</f>
        <v>0</v>
      </c>
      <c r="AL6" s="44">
        <f t="shared" ref="AL6:AL24" si="13">AG6+AI6-AK6</f>
        <v>23156.089934935142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23156.089934935142</v>
      </c>
      <c r="AN6" s="48">
        <f t="shared" ref="AN6:AN24" si="14">AM6*1.1+AD6+AE6</f>
        <v>25471.698928428657</v>
      </c>
      <c r="AO6" s="47">
        <f t="shared" ref="AO6:AO24" si="15">IFERROR(AM6/AB6,0)</f>
        <v>0.44732518140845862</v>
      </c>
      <c r="AP6" s="47">
        <f t="shared" ref="AP6:AP24" si="16">AN6/AC6</f>
        <v>0.49205769954930451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112727.3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12811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112727.3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112727.3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0.44732518140845862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0.49205769954930451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7:L24 J5:J6 L5:L6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G15" sqref="G15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18230440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100">
        <v>18230440</v>
      </c>
      <c r="D5" s="100" t="s">
        <v>50</v>
      </c>
      <c r="E5" s="38" t="s">
        <v>562</v>
      </c>
      <c r="F5" s="39" t="s">
        <v>563</v>
      </c>
      <c r="G5" s="39">
        <v>15</v>
      </c>
      <c r="H5" s="39"/>
      <c r="I5" s="40" t="s">
        <v>239</v>
      </c>
      <c r="J5" s="41">
        <v>72204</v>
      </c>
      <c r="K5" s="41">
        <v>5.0999999999999996</v>
      </c>
      <c r="L5" s="41"/>
      <c r="M5" s="42">
        <v>5</v>
      </c>
      <c r="N5" s="42">
        <v>1.29</v>
      </c>
      <c r="O5" s="43">
        <v>368240.400000002</v>
      </c>
      <c r="P5" s="44">
        <v>361020</v>
      </c>
      <c r="Q5" s="44">
        <v>93143.16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5.9884991798293301</v>
      </c>
      <c r="V5" s="48">
        <f t="shared" ref="V5:V24" si="2">N5-M5</f>
        <v>-3.71</v>
      </c>
      <c r="W5" s="49">
        <f t="shared" ref="W5:W24" si="3">(O5/A$10)</f>
        <v>0.39923327865528868</v>
      </c>
      <c r="X5" s="44">
        <f t="shared" ref="X5:X24" si="4">W5*A$8</f>
        <v>102719.10155216834</v>
      </c>
      <c r="Y5" s="44">
        <f t="shared" ref="Y5:Y24" si="5">Q5-P5</f>
        <v>-267876.83999999997</v>
      </c>
      <c r="Z5" s="44">
        <f t="shared" ref="Z5:Z24" si="6">X5+(A$6*W5)</f>
        <v>458861.13627579843</v>
      </c>
      <c r="AA5" s="50">
        <f t="shared" ref="AA5:AA24" si="7">Q5+X5</f>
        <v>195862.26155216835</v>
      </c>
      <c r="AB5" s="51">
        <f t="shared" ref="AB5:AC20" si="8">Z5/(1+ElecDiscountRate)^1</f>
        <v>429645.25868520449</v>
      </c>
      <c r="AC5" s="44">
        <f t="shared" si="8"/>
        <v>183391.63066682429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1.1280379732091177</v>
      </c>
      <c r="AG5" s="44">
        <f t="shared" ref="AG5:AG24" si="10">AF5*J5*K5</f>
        <v>415389.15446971479</v>
      </c>
      <c r="AH5" s="52">
        <f>HLOOKUP(I5,ElecAvoidedCostsWOCC!$A$5:$Q$50,T5+1,FALSE)</f>
        <v>1.1280379732091177</v>
      </c>
      <c r="AI5" s="44">
        <f t="shared" ref="AI5:AI24" si="11">AH5*J5*L5</f>
        <v>0</v>
      </c>
      <c r="AJ5" s="44">
        <f>AG5+AI5</f>
        <v>415389.15446971479</v>
      </c>
      <c r="AK5" s="44">
        <f>HLOOKUP(I5,ElecAvoidedCostsWOCC!$A$5:$Q$50,G5+1,FALSE)*J5*L5</f>
        <v>0</v>
      </c>
      <c r="AL5" s="44">
        <f>AG5+AI5-AK5</f>
        <v>415389.15446971479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415389.15446971473</v>
      </c>
      <c r="AN5" s="48">
        <f>AM5*1.1+AD5+AE5</f>
        <v>456928.06991668622</v>
      </c>
      <c r="AO5" s="47">
        <f>IFERROR(AM5/AB5,0)</f>
        <v>0.9668188955253082</v>
      </c>
      <c r="AP5" s="47">
        <f>AN5/AC5</f>
        <v>2.491542652493274</v>
      </c>
    </row>
    <row r="6" spans="1:42" ht="13.5" customHeight="1" x14ac:dyDescent="0.35">
      <c r="A6" s="53">
        <f>SUMIF('Program Costs'!D:D,C2,'Program Costs'!L:L)</f>
        <v>892065</v>
      </c>
      <c r="B6" s="97" t="s">
        <v>17</v>
      </c>
      <c r="C6" s="100">
        <v>18230441</v>
      </c>
      <c r="D6" s="100" t="s">
        <v>50</v>
      </c>
      <c r="E6" s="38" t="s">
        <v>564</v>
      </c>
      <c r="F6" s="39" t="s">
        <v>565</v>
      </c>
      <c r="G6" s="39">
        <v>15</v>
      </c>
      <c r="H6" s="39"/>
      <c r="I6" s="40" t="s">
        <v>239</v>
      </c>
      <c r="J6" s="41">
        <v>18964</v>
      </c>
      <c r="K6" s="41">
        <v>16.2</v>
      </c>
      <c r="L6" s="41"/>
      <c r="M6" s="42">
        <v>10</v>
      </c>
      <c r="N6" s="42">
        <v>2.19</v>
      </c>
      <c r="O6" s="43">
        <v>307216.80000000302</v>
      </c>
      <c r="P6" s="44">
        <v>227269.61</v>
      </c>
      <c r="Q6" s="44">
        <v>41531.160000000003</v>
      </c>
      <c r="R6" s="45">
        <v>0</v>
      </c>
      <c r="S6" s="46">
        <v>0</v>
      </c>
      <c r="T6" s="39">
        <f t="shared" si="0"/>
        <v>15</v>
      </c>
      <c r="U6" s="47">
        <f t="shared" si="1"/>
        <v>4.9961045958830139</v>
      </c>
      <c r="V6" s="48">
        <f t="shared" si="2"/>
        <v>-7.8100000000000005</v>
      </c>
      <c r="W6" s="49">
        <f t="shared" si="3"/>
        <v>0.33307363972553428</v>
      </c>
      <c r="X6" s="44">
        <f t="shared" si="4"/>
        <v>85696.826523467636</v>
      </c>
      <c r="Y6" s="44">
        <f t="shared" si="5"/>
        <v>-185738.44999999998</v>
      </c>
      <c r="Z6" s="44">
        <f t="shared" si="6"/>
        <v>382820.16294522642</v>
      </c>
      <c r="AA6" s="50">
        <f t="shared" si="7"/>
        <v>127227.98652346764</v>
      </c>
      <c r="AB6" s="51">
        <f t="shared" si="8"/>
        <v>358445.84545433184</v>
      </c>
      <c r="AC6" s="44">
        <f t="shared" si="8"/>
        <v>119127.32820549404</v>
      </c>
      <c r="AD6" s="44">
        <f t="shared" si="9"/>
        <v>0</v>
      </c>
      <c r="AE6" s="44">
        <v>0</v>
      </c>
      <c r="AF6" s="52">
        <f>HLOOKUP(I6,ElecAvoidedCostsWOCC!$A$5:$Q$50,G6+1,FALSE)</f>
        <v>1.1280379732091177</v>
      </c>
      <c r="AG6" s="44">
        <f t="shared" si="10"/>
        <v>346552.21640779084</v>
      </c>
      <c r="AH6" s="52">
        <f>HLOOKUP(I6,ElecAvoidedCostsWOCC!$A$5:$Q$50,T6+1,FALSE)</f>
        <v>1.1280379732091177</v>
      </c>
      <c r="AI6" s="44">
        <f t="shared" si="11"/>
        <v>0</v>
      </c>
      <c r="AJ6" s="44">
        <f t="shared" ref="AJ6:AJ24" si="12">AG6+AI6</f>
        <v>346552.21640779084</v>
      </c>
      <c r="AK6" s="44">
        <f>HLOOKUP(I6,ElecAvoidedCostsWOCC!$A$5:$Q$50,G6+1,FALSE)*J6*L6</f>
        <v>0</v>
      </c>
      <c r="AL6" s="44">
        <f t="shared" ref="AL6:AL24" si="13">AG6+AI6-AK6</f>
        <v>346552.21640779084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346552.21640779084</v>
      </c>
      <c r="AN6" s="48">
        <f t="shared" ref="AN6:AN24" si="14">AM6*1.1+AD6+AE6</f>
        <v>381207.43804856995</v>
      </c>
      <c r="AO6" s="47">
        <f t="shared" ref="AO6:AO24" si="15">IFERROR(AM6/AB6,0)</f>
        <v>0.96681889552530376</v>
      </c>
      <c r="AP6" s="47">
        <f t="shared" ref="AP6:AP24" si="16">AN6/AC6</f>
        <v>3.1999998975129289</v>
      </c>
    </row>
    <row r="7" spans="1:42" ht="13.5" customHeight="1" x14ac:dyDescent="0.35">
      <c r="A7" s="36" t="s">
        <v>240</v>
      </c>
      <c r="B7" s="97" t="s">
        <v>241</v>
      </c>
      <c r="C7" s="100">
        <v>18230442</v>
      </c>
      <c r="D7" s="100" t="s">
        <v>50</v>
      </c>
      <c r="E7" s="38" t="s">
        <v>566</v>
      </c>
      <c r="F7" s="39" t="s">
        <v>567</v>
      </c>
      <c r="G7" s="39">
        <v>12</v>
      </c>
      <c r="H7" s="39"/>
      <c r="I7" s="40" t="s">
        <v>239</v>
      </c>
      <c r="J7" s="41">
        <v>2560</v>
      </c>
      <c r="K7" s="41">
        <v>9</v>
      </c>
      <c r="L7" s="41"/>
      <c r="M7" s="42">
        <v>2</v>
      </c>
      <c r="N7" s="42">
        <v>4.12</v>
      </c>
      <c r="O7" s="43">
        <v>23040</v>
      </c>
      <c r="P7" s="44">
        <v>5119.46</v>
      </c>
      <c r="Q7" s="44">
        <v>10547.2</v>
      </c>
      <c r="R7" s="45">
        <v>0</v>
      </c>
      <c r="S7" s="46">
        <v>0</v>
      </c>
      <c r="T7" s="39">
        <f t="shared" si="0"/>
        <v>12</v>
      </c>
      <c r="U7" s="47">
        <f t="shared" si="1"/>
        <v>0.29974988318124141</v>
      </c>
      <c r="V7" s="48">
        <f t="shared" si="2"/>
        <v>2.12</v>
      </c>
      <c r="W7" s="49">
        <f t="shared" si="3"/>
        <v>2.4979156931770118E-2</v>
      </c>
      <c r="X7" s="44">
        <f t="shared" si="4"/>
        <v>6426.910517591079</v>
      </c>
      <c r="Y7" s="44">
        <f t="shared" si="5"/>
        <v>5427.7400000000007</v>
      </c>
      <c r="Z7" s="44">
        <f t="shared" si="6"/>
        <v>28709.942145930589</v>
      </c>
      <c r="AA7" s="50">
        <f t="shared" si="7"/>
        <v>16974.110517591078</v>
      </c>
      <c r="AB7" s="51">
        <f t="shared" si="8"/>
        <v>26881.968301433135</v>
      </c>
      <c r="AC7" s="44">
        <f t="shared" si="8"/>
        <v>15893.361907856814</v>
      </c>
      <c r="AD7" s="44">
        <f t="shared" si="9"/>
        <v>0</v>
      </c>
      <c r="AE7" s="44">
        <v>0</v>
      </c>
      <c r="AF7" s="52">
        <f>HLOOKUP(I7,ElecAvoidedCostsWOCC!$A$5:$Q$50,G7+1,FALSE)</f>
        <v>0.94160574272253028</v>
      </c>
      <c r="AG7" s="44">
        <f t="shared" si="10"/>
        <v>21694.596312327096</v>
      </c>
      <c r="AH7" s="52">
        <f>HLOOKUP(I7,ElecAvoidedCostsWOCC!$A$5:$Q$50,T7+1,FALSE)</f>
        <v>0.94160574272253028</v>
      </c>
      <c r="AI7" s="44">
        <f t="shared" si="11"/>
        <v>0</v>
      </c>
      <c r="AJ7" s="44">
        <f t="shared" si="12"/>
        <v>21694.596312327096</v>
      </c>
      <c r="AK7" s="44">
        <f>HLOOKUP(I7,ElecAvoidedCostsWOCC!$A$5:$Q$50,G7+1,FALSE)*J7*L7</f>
        <v>0</v>
      </c>
      <c r="AL7" s="44">
        <f t="shared" si="13"/>
        <v>21694.596312327096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21694.596312327099</v>
      </c>
      <c r="AN7" s="48">
        <f t="shared" si="14"/>
        <v>23864.055943559812</v>
      </c>
      <c r="AO7" s="47">
        <f t="shared" si="15"/>
        <v>0.8070315413313881</v>
      </c>
      <c r="AP7" s="47">
        <f t="shared" si="16"/>
        <v>1.5015108874959124</v>
      </c>
    </row>
    <row r="8" spans="1:42" ht="13.5" customHeight="1" x14ac:dyDescent="0.35">
      <c r="A8" s="53">
        <f>SUMIF('Program Costs'!D:D,C2,'Program Costs'!O:O)</f>
        <v>257290.92999999993</v>
      </c>
      <c r="B8" s="97" t="s">
        <v>38</v>
      </c>
      <c r="C8" s="100">
        <v>18230443</v>
      </c>
      <c r="D8" s="100" t="s">
        <v>50</v>
      </c>
      <c r="E8" s="38" t="s">
        <v>568</v>
      </c>
      <c r="F8" s="39" t="s">
        <v>569</v>
      </c>
      <c r="G8" s="39">
        <v>15</v>
      </c>
      <c r="H8" s="39"/>
      <c r="I8" s="40" t="s">
        <v>239</v>
      </c>
      <c r="J8" s="41">
        <v>1833</v>
      </c>
      <c r="K8" s="41">
        <v>2.2000000000000002</v>
      </c>
      <c r="L8" s="41"/>
      <c r="M8" s="42">
        <v>2.5</v>
      </c>
      <c r="N8" s="42">
        <v>1.1000000000000001</v>
      </c>
      <c r="O8" s="43">
        <v>4032.6</v>
      </c>
      <c r="P8" s="44">
        <v>3666</v>
      </c>
      <c r="Q8" s="44">
        <v>2016.3</v>
      </c>
      <c r="R8" s="45">
        <v>0</v>
      </c>
      <c r="S8" s="46">
        <v>0</v>
      </c>
      <c r="T8" s="39">
        <f t="shared" si="0"/>
        <v>15</v>
      </c>
      <c r="U8" s="47">
        <f t="shared" si="1"/>
        <v>6.5580044429073031E-2</v>
      </c>
      <c r="V8" s="48">
        <f t="shared" si="2"/>
        <v>-1.4</v>
      </c>
      <c r="W8" s="49">
        <f t="shared" si="3"/>
        <v>4.3720029619382017E-3</v>
      </c>
      <c r="X8" s="44">
        <f t="shared" si="4"/>
        <v>1124.8767080398343</v>
      </c>
      <c r="Y8" s="44">
        <f t="shared" si="5"/>
        <v>-1649.7</v>
      </c>
      <c r="Z8" s="44">
        <f t="shared" si="6"/>
        <v>5024.9875302812361</v>
      </c>
      <c r="AA8" s="50">
        <f t="shared" si="7"/>
        <v>3141.176708039834</v>
      </c>
      <c r="AB8" s="51">
        <f t="shared" si="8"/>
        <v>4705.0445040086479</v>
      </c>
      <c r="AC8" s="44">
        <f t="shared" si="8"/>
        <v>2941.1766929211926</v>
      </c>
      <c r="AD8" s="44">
        <f t="shared" si="9"/>
        <v>0</v>
      </c>
      <c r="AE8" s="44">
        <v>0</v>
      </c>
      <c r="AF8" s="52">
        <f>HLOOKUP(I8,ElecAvoidedCostsWOCC!$A$5:$Q$50,G8+1,FALSE)</f>
        <v>1.1280379732091177</v>
      </c>
      <c r="AG8" s="44">
        <f t="shared" si="10"/>
        <v>4548.9259307630882</v>
      </c>
      <c r="AH8" s="52">
        <f>HLOOKUP(I8,ElecAvoidedCostsWOCC!$A$5:$Q$50,T8+1,FALSE)</f>
        <v>1.1280379732091177</v>
      </c>
      <c r="AI8" s="44">
        <f t="shared" si="11"/>
        <v>0</v>
      </c>
      <c r="AJ8" s="44">
        <f t="shared" si="12"/>
        <v>4548.9259307630882</v>
      </c>
      <c r="AK8" s="44">
        <f>HLOOKUP(I8,ElecAvoidedCostsWOCC!$A$5:$Q$50,G8+1,FALSE)*J8*L8</f>
        <v>0</v>
      </c>
      <c r="AL8" s="44">
        <f t="shared" si="13"/>
        <v>4548.9259307630882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4548.9259307630882</v>
      </c>
      <c r="AN8" s="48">
        <f t="shared" si="14"/>
        <v>5003.8185238393971</v>
      </c>
      <c r="AO8" s="47">
        <f t="shared" si="15"/>
        <v>0.96681889552531364</v>
      </c>
      <c r="AP8" s="47">
        <f t="shared" si="16"/>
        <v>1.701298169498813</v>
      </c>
    </row>
    <row r="9" spans="1:42" ht="13.5" customHeight="1" x14ac:dyDescent="0.35">
      <c r="A9" s="36" t="s">
        <v>242</v>
      </c>
      <c r="B9" s="97" t="s">
        <v>56</v>
      </c>
      <c r="C9" s="100">
        <v>18230444</v>
      </c>
      <c r="D9" s="100" t="s">
        <v>50</v>
      </c>
      <c r="E9" s="38" t="s">
        <v>570</v>
      </c>
      <c r="F9" s="39" t="s">
        <v>569</v>
      </c>
      <c r="G9" s="39">
        <v>15</v>
      </c>
      <c r="H9" s="39"/>
      <c r="I9" s="40" t="s">
        <v>239</v>
      </c>
      <c r="J9" s="41">
        <v>9729</v>
      </c>
      <c r="K9" s="41">
        <v>2.2000000000000002</v>
      </c>
      <c r="L9" s="41"/>
      <c r="M9" s="42">
        <v>2</v>
      </c>
      <c r="N9" s="42">
        <v>1.1000000000000001</v>
      </c>
      <c r="O9" s="43">
        <v>21403.800000000101</v>
      </c>
      <c r="P9" s="44">
        <v>19458</v>
      </c>
      <c r="Q9" s="44">
        <v>10701.9</v>
      </c>
      <c r="R9" s="45">
        <v>0</v>
      </c>
      <c r="S9" s="46">
        <v>0</v>
      </c>
      <c r="T9" s="39">
        <f t="shared" si="0"/>
        <v>15</v>
      </c>
      <c r="U9" s="47">
        <f t="shared" si="1"/>
        <v>0.34807869735431235</v>
      </c>
      <c r="V9" s="48">
        <f t="shared" si="2"/>
        <v>-0.89999999999999991</v>
      </c>
      <c r="W9" s="49">
        <f t="shared" si="3"/>
        <v>2.320524649028749E-2</v>
      </c>
      <c r="X9" s="44">
        <f t="shared" si="4"/>
        <v>5970.4994503653024</v>
      </c>
      <c r="Y9" s="44">
        <f t="shared" si="5"/>
        <v>-8756.1</v>
      </c>
      <c r="Z9" s="44">
        <f t="shared" si="6"/>
        <v>26671.087660723613</v>
      </c>
      <c r="AA9" s="50">
        <f t="shared" si="7"/>
        <v>16672.399450365301</v>
      </c>
      <c r="AB9" s="51">
        <f t="shared" si="8"/>
        <v>24972.92852127679</v>
      </c>
      <c r="AC9" s="44">
        <f t="shared" si="8"/>
        <v>15610.860908581742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1.1280379732091177</v>
      </c>
      <c r="AG9" s="44">
        <f t="shared" si="10"/>
        <v>24144.299170973314</v>
      </c>
      <c r="AH9" s="52">
        <f>HLOOKUP(I9,ElecAvoidedCostsWOCC!$A$5:$Q$50,T9+1,FALSE)</f>
        <v>1.1280379732091177</v>
      </c>
      <c r="AI9" s="44">
        <f t="shared" si="11"/>
        <v>0</v>
      </c>
      <c r="AJ9" s="44">
        <f t="shared" si="12"/>
        <v>24144.299170973314</v>
      </c>
      <c r="AK9" s="44">
        <f>HLOOKUP(I9,ElecAvoidedCostsWOCC!$A$5:$Q$50,G9+1,FALSE)*J9*L9</f>
        <v>0</v>
      </c>
      <c r="AL9" s="44">
        <f t="shared" si="13"/>
        <v>24144.299170973314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24144.299170973318</v>
      </c>
      <c r="AN9" s="48">
        <f t="shared" si="14"/>
        <v>26558.729088070653</v>
      </c>
      <c r="AO9" s="47">
        <f t="shared" si="15"/>
        <v>0.9668188955253092</v>
      </c>
      <c r="AP9" s="47">
        <f t="shared" si="16"/>
        <v>1.7012981694988103</v>
      </c>
    </row>
    <row r="10" spans="1:42" ht="13.5" customHeight="1" x14ac:dyDescent="0.35">
      <c r="A10" s="54">
        <f>SUM(O5:O999)</f>
        <v>922369.00000000512</v>
      </c>
      <c r="B10" s="97" t="s">
        <v>164</v>
      </c>
      <c r="C10" s="100">
        <v>18230445</v>
      </c>
      <c r="D10" s="100" t="s">
        <v>50</v>
      </c>
      <c r="E10" s="38" t="s">
        <v>571</v>
      </c>
      <c r="F10" s="39" t="s">
        <v>572</v>
      </c>
      <c r="G10" s="39">
        <v>12</v>
      </c>
      <c r="H10" s="39"/>
      <c r="I10" s="40" t="s">
        <v>239</v>
      </c>
      <c r="J10" s="41">
        <v>34213</v>
      </c>
      <c r="K10" s="41">
        <v>5.8</v>
      </c>
      <c r="L10" s="41"/>
      <c r="M10" s="42">
        <v>5</v>
      </c>
      <c r="N10" s="42">
        <v>2.87</v>
      </c>
      <c r="O10" s="43">
        <v>198435.4</v>
      </c>
      <c r="P10" s="44">
        <v>179511.99</v>
      </c>
      <c r="Q10" s="44">
        <v>98191.31</v>
      </c>
      <c r="R10" s="45">
        <v>0</v>
      </c>
      <c r="S10" s="46">
        <v>0</v>
      </c>
      <c r="T10" s="39">
        <f t="shared" si="0"/>
        <v>12</v>
      </c>
      <c r="U10" s="47">
        <f t="shared" si="1"/>
        <v>2.5816401028221749</v>
      </c>
      <c r="V10" s="48">
        <f t="shared" si="2"/>
        <v>-2.13</v>
      </c>
      <c r="W10" s="49">
        <f t="shared" si="3"/>
        <v>0.21513667523518124</v>
      </c>
      <c r="X10" s="44">
        <f t="shared" si="4"/>
        <v>55352.715248367735</v>
      </c>
      <c r="Y10" s="44">
        <f t="shared" si="5"/>
        <v>-81320.679999999993</v>
      </c>
      <c r="Z10" s="44">
        <f t="shared" si="6"/>
        <v>247268.6134420397</v>
      </c>
      <c r="AA10" s="50">
        <f t="shared" si="7"/>
        <v>153544.02524836775</v>
      </c>
      <c r="AB10" s="51">
        <f t="shared" si="8"/>
        <v>231524.91895322068</v>
      </c>
      <c r="AC10" s="44">
        <f t="shared" si="8"/>
        <v>143767.81390296604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0.94160574272253028</v>
      </c>
      <c r="AG10" s="44">
        <f t="shared" si="10"/>
        <v>186847.91219944236</v>
      </c>
      <c r="AH10" s="52">
        <f>HLOOKUP(I10,ElecAvoidedCostsWOCC!$A$5:$Q$50,T10+1,FALSE)</f>
        <v>0.94160574272253028</v>
      </c>
      <c r="AI10" s="44">
        <f t="shared" si="11"/>
        <v>0</v>
      </c>
      <c r="AJ10" s="44">
        <f t="shared" si="12"/>
        <v>186847.91219944236</v>
      </c>
      <c r="AK10" s="44">
        <f>HLOOKUP(I10,ElecAvoidedCostsWOCC!$A$5:$Q$50,G10+1,FALSE)*J10*L10</f>
        <v>0</v>
      </c>
      <c r="AL10" s="44">
        <f t="shared" si="13"/>
        <v>186847.91219944236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186847.91219944236</v>
      </c>
      <c r="AN10" s="48">
        <f t="shared" si="14"/>
        <v>205532.70341938661</v>
      </c>
      <c r="AO10" s="47">
        <f t="shared" si="15"/>
        <v>0.80703154133138799</v>
      </c>
      <c r="AP10" s="47">
        <f t="shared" si="16"/>
        <v>1.429615557471771</v>
      </c>
    </row>
    <row r="11" spans="1:42" ht="13.5" customHeight="1" x14ac:dyDescent="0.35">
      <c r="A11" s="36" t="s">
        <v>243</v>
      </c>
      <c r="B11" s="97" t="s">
        <v>244</v>
      </c>
      <c r="C11" s="100">
        <v>18230446</v>
      </c>
      <c r="D11" s="100" t="s">
        <v>50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796045.05999999994</v>
      </c>
      <c r="B12" s="97" t="s">
        <v>245</v>
      </c>
      <c r="C12" s="100">
        <v>18230447</v>
      </c>
      <c r="D12" s="100" t="s">
        <v>50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247</v>
      </c>
      <c r="C13" s="100">
        <v>18230448</v>
      </c>
      <c r="D13" s="100" t="s">
        <v>50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-539914.02999999991</v>
      </c>
      <c r="B14" s="97" t="s">
        <v>248</v>
      </c>
      <c r="C14" s="100">
        <v>18230449</v>
      </c>
      <c r="D14" s="100" t="s">
        <v>50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250</v>
      </c>
      <c r="C15" s="100">
        <v>18230450</v>
      </c>
      <c r="D15" s="100" t="s">
        <v>50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14.279652503499147</v>
      </c>
      <c r="B16" s="97" t="s">
        <v>251</v>
      </c>
      <c r="C16" s="100">
        <v>18230451</v>
      </c>
      <c r="D16" s="100" t="s">
        <v>50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 t="s">
        <v>253</v>
      </c>
      <c r="C17" s="100">
        <v>18230452</v>
      </c>
      <c r="D17" s="100" t="s">
        <v>50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1149355.93</v>
      </c>
      <c r="B18" s="97" t="s">
        <v>254</v>
      </c>
      <c r="C18" s="100">
        <v>18230453</v>
      </c>
      <c r="D18" s="100" t="s">
        <v>50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 t="s">
        <v>255</v>
      </c>
      <c r="C19" s="100">
        <v>18230454</v>
      </c>
      <c r="D19" s="100" t="s">
        <v>50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513421.95999999996</v>
      </c>
      <c r="B20" s="97" t="s">
        <v>256</v>
      </c>
      <c r="C20" s="100">
        <v>18230455</v>
      </c>
      <c r="D20" s="100" t="s">
        <v>50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97" t="s">
        <v>257</v>
      </c>
      <c r="C21" s="100">
        <v>18230456</v>
      </c>
      <c r="D21" s="100" t="s">
        <v>50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0.92845142200327824</v>
      </c>
      <c r="B22" s="97" t="s">
        <v>258</v>
      </c>
      <c r="C22" s="100">
        <v>18230457</v>
      </c>
      <c r="D22" s="100" t="s">
        <v>50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259</v>
      </c>
      <c r="C23" s="100">
        <v>18230458</v>
      </c>
      <c r="D23" s="100" t="s">
        <v>50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2.2862934463419533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R5:S24">
    <cfRule type="expression" dxfId="329" priority="1">
      <formula>"istext($AB17)"</formula>
    </cfRule>
  </conditionalFormatting>
  <conditionalFormatting sqref="J5:L24">
    <cfRule type="expression" dxfId="328" priority="4">
      <formula>ISTEXT(J5)</formula>
    </cfRule>
    <cfRule type="notContainsBlanks" dxfId="327" priority="5">
      <formula>LEN(TRIM(J5))&gt;0</formula>
    </cfRule>
  </conditionalFormatting>
  <conditionalFormatting sqref="M5:N24 R5:S24">
    <cfRule type="expression" dxfId="326" priority="2">
      <formula>ISTEXT(M5)</formula>
    </cfRule>
  </conditionalFormatting>
  <conditionalFormatting sqref="M5:N24 R5:S24">
    <cfRule type="notContainsBlanks" dxfId="32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18231037</v>
      </c>
      <c r="D2" s="20" t="s">
        <v>159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134</v>
      </c>
      <c r="C5" s="99">
        <v>18231037</v>
      </c>
      <c r="D5" s="100" t="s">
        <v>159</v>
      </c>
      <c r="E5" s="38" t="s">
        <v>1150</v>
      </c>
      <c r="F5" s="39" t="s">
        <v>1151</v>
      </c>
      <c r="G5" s="39">
        <v>15</v>
      </c>
      <c r="H5" s="39"/>
      <c r="I5" s="40" t="s">
        <v>261</v>
      </c>
      <c r="J5" s="41">
        <v>1</v>
      </c>
      <c r="K5" s="41">
        <v>21903</v>
      </c>
      <c r="L5" s="41"/>
      <c r="M5" s="42">
        <v>58546</v>
      </c>
      <c r="N5" s="42">
        <v>83637</v>
      </c>
      <c r="O5" s="43">
        <v>21903</v>
      </c>
      <c r="P5" s="44">
        <v>58546</v>
      </c>
      <c r="Q5" s="44">
        <v>83637</v>
      </c>
      <c r="R5" s="45"/>
      <c r="S5" s="46"/>
      <c r="T5" s="39">
        <f t="shared" ref="T5:T24" si="0">G5+H5</f>
        <v>15</v>
      </c>
      <c r="U5" s="47">
        <f t="shared" ref="U5:U24" si="1">(O5/$A$10)*T5</f>
        <v>13.51147392663267</v>
      </c>
      <c r="V5" s="48">
        <f t="shared" ref="V5:V24" si="2">N5-M5</f>
        <v>25091</v>
      </c>
      <c r="W5" s="49">
        <f t="shared" ref="W5:W24" si="3">(O5/A$10)</f>
        <v>0.90076492844217804</v>
      </c>
      <c r="X5" s="44">
        <f t="shared" ref="X5:X24" si="4">W5*A$8</f>
        <v>4956.8913859187396</v>
      </c>
      <c r="Y5" s="44">
        <f t="shared" ref="Y5:Y24" si="5">Q5-P5</f>
        <v>25091</v>
      </c>
      <c r="Z5" s="44">
        <f t="shared" ref="Z5:Z24" si="6">X5+(A$6*W5)</f>
        <v>59538.300850057582</v>
      </c>
      <c r="AA5" s="50">
        <f t="shared" ref="AA5:AA24" si="7">Q5+X5</f>
        <v>88593.891385918745</v>
      </c>
      <c r="AB5" s="51">
        <f t="shared" ref="AB5:AC24" si="8">Z5/(1+GasDiscountRate)^1</f>
        <v>55747.472706046421</v>
      </c>
      <c r="AC5" s="44">
        <f t="shared" si="8"/>
        <v>82953.081822021297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10.000114235272545</v>
      </c>
      <c r="AG5" s="44">
        <f t="shared" ref="AG5:AG24" si="10">AF5*J5*K5</f>
        <v>219032.50209517454</v>
      </c>
      <c r="AH5" s="52">
        <f>HLOOKUP(I5,GasAvoidedCostsWOCC!$A$5:$Q$50,T5+1,FALSE)</f>
        <v>10.000114235272545</v>
      </c>
      <c r="AI5" s="44">
        <f t="shared" ref="AI5:AI24" si="11">AH5*J5*L5</f>
        <v>0</v>
      </c>
      <c r="AJ5" s="44">
        <f>AG5+AI5</f>
        <v>219032.50209517454</v>
      </c>
      <c r="AK5" s="44">
        <f>HLOOKUP(I5,GasAvoidedCostsWOCC!$A$5:$Q$50,G5+1,FALSE)*J5*L5</f>
        <v>0</v>
      </c>
      <c r="AL5" s="44">
        <f>AG5+AI5-AK5</f>
        <v>219032.50209517454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219032.50209517454</v>
      </c>
      <c r="AN5" s="48">
        <f>AM5*1.1+AD5+AE5</f>
        <v>240935.75230469203</v>
      </c>
      <c r="AO5" s="47">
        <f>IFERROR(AM5/AB5,0)</f>
        <v>3.9290122307449118</v>
      </c>
      <c r="AP5" s="47">
        <f>AN5/AC5</f>
        <v>2.9044822327593325</v>
      </c>
    </row>
    <row r="6" spans="1:42" ht="13.5" customHeight="1" x14ac:dyDescent="0.35">
      <c r="A6" s="53">
        <f>SUMIF('Program Costs'!D:D,C2,'Program Costs'!L:L)</f>
        <v>60594.51</v>
      </c>
      <c r="B6" s="97" t="s">
        <v>134</v>
      </c>
      <c r="C6" s="99">
        <v>18231037</v>
      </c>
      <c r="D6" s="100" t="s">
        <v>159</v>
      </c>
      <c r="E6" s="38" t="s">
        <v>1194</v>
      </c>
      <c r="F6" s="39" t="s">
        <v>1195</v>
      </c>
      <c r="G6" s="39">
        <v>5</v>
      </c>
      <c r="H6" s="39"/>
      <c r="I6" s="40" t="s">
        <v>261</v>
      </c>
      <c r="J6" s="41">
        <v>1</v>
      </c>
      <c r="K6" s="41">
        <v>2413</v>
      </c>
      <c r="L6" s="41"/>
      <c r="M6" s="42">
        <v>1930</v>
      </c>
      <c r="N6" s="42">
        <v>2457</v>
      </c>
      <c r="O6" s="43">
        <v>2413</v>
      </c>
      <c r="P6" s="44">
        <v>1930</v>
      </c>
      <c r="Q6" s="44">
        <v>2457</v>
      </c>
      <c r="R6" s="45"/>
      <c r="S6" s="46"/>
      <c r="T6" s="39">
        <f t="shared" si="0"/>
        <v>5</v>
      </c>
      <c r="U6" s="47">
        <f t="shared" si="1"/>
        <v>0.49617535778911004</v>
      </c>
      <c r="V6" s="48">
        <f t="shared" si="2"/>
        <v>527</v>
      </c>
      <c r="W6" s="49">
        <f t="shared" si="3"/>
        <v>9.9235071557822005E-2</v>
      </c>
      <c r="X6" s="44">
        <f t="shared" si="4"/>
        <v>546.0886140812637</v>
      </c>
      <c r="Y6" s="44">
        <f t="shared" si="5"/>
        <v>527</v>
      </c>
      <c r="Z6" s="44">
        <f t="shared" si="6"/>
        <v>6559.1891499424246</v>
      </c>
      <c r="AA6" s="50">
        <f t="shared" si="7"/>
        <v>3003.0886140812636</v>
      </c>
      <c r="AB6" s="51">
        <f t="shared" si="8"/>
        <v>6141.5628744779251</v>
      </c>
      <c r="AC6" s="44">
        <f t="shared" si="8"/>
        <v>2811.8807247951904</v>
      </c>
      <c r="AD6" s="44">
        <f t="shared" si="9"/>
        <v>0</v>
      </c>
      <c r="AE6" s="44">
        <v>0</v>
      </c>
      <c r="AF6" s="52">
        <f>HLOOKUP(I6,GasAvoidedCostsWOCC!$A$5:$G$50,G6+1,FALSE)</f>
        <v>3.6855148710703709</v>
      </c>
      <c r="AG6" s="44">
        <f t="shared" si="10"/>
        <v>8893.147383892805</v>
      </c>
      <c r="AH6" s="52">
        <f>HLOOKUP(I6,GasAvoidedCostsWOCC!$A$5:$Q$50,T6+1,FALSE)</f>
        <v>3.6855148710703709</v>
      </c>
      <c r="AI6" s="44">
        <f t="shared" si="11"/>
        <v>0</v>
      </c>
      <c r="AJ6" s="44">
        <f t="shared" ref="AJ6:AJ24" si="12">AG6+AI6</f>
        <v>8893.147383892805</v>
      </c>
      <c r="AK6" s="44">
        <f>HLOOKUP(I6,GasAvoidedCostsWOCC!$A$5:$Q$50,G6+1,FALSE)*J6*L6</f>
        <v>0</v>
      </c>
      <c r="AL6" s="44">
        <f t="shared" ref="AL6:AL24" si="13">AG6+AI6-AK6</f>
        <v>8893.147383892805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8893.147383892805</v>
      </c>
      <c r="AN6" s="48">
        <f t="shared" ref="AN6:AN24" si="14">AM6*1.1+AD6+AE6</f>
        <v>9782.4621222820861</v>
      </c>
      <c r="AO6" s="47">
        <f t="shared" ref="AO6:AO24" si="15">IFERROR(AM6/AB6,0)</f>
        <v>1.448026758929629</v>
      </c>
      <c r="AP6" s="47">
        <f t="shared" ref="AP6:AP24" si="16">AN6/AC6</f>
        <v>3.4789747787024692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5502.9800000000032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24316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60476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25618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14.007649284421779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66097.490000000005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91596.98000000001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3.6828114599154054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2.9233174828253983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18230706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117</v>
      </c>
      <c r="C5" s="98">
        <v>18230706</v>
      </c>
      <c r="D5" s="61" t="s">
        <v>118</v>
      </c>
      <c r="E5" s="38" t="s">
        <v>1118</v>
      </c>
      <c r="F5" s="39" t="s">
        <v>1119</v>
      </c>
      <c r="G5" s="39">
        <v>30</v>
      </c>
      <c r="H5" s="39"/>
      <c r="I5" s="40" t="s">
        <v>266</v>
      </c>
      <c r="J5" s="41">
        <v>1</v>
      </c>
      <c r="K5" s="41">
        <v>1881</v>
      </c>
      <c r="L5" s="41"/>
      <c r="M5" s="42"/>
      <c r="N5" s="42"/>
      <c r="O5" s="43">
        <v>1881</v>
      </c>
      <c r="P5" s="44">
        <v>9405</v>
      </c>
      <c r="Q5" s="44">
        <v>24027</v>
      </c>
      <c r="R5" s="45"/>
      <c r="S5" s="46"/>
      <c r="T5" s="39">
        <f t="shared" ref="T5:T24" si="0">G5+H5</f>
        <v>30</v>
      </c>
      <c r="U5" s="47">
        <f t="shared" ref="U5:U24" si="1">(O5/$A$10)*T5</f>
        <v>1.3031730635998338</v>
      </c>
      <c r="V5" s="48">
        <f t="shared" ref="V5:V24" si="2">N5-M5</f>
        <v>0</v>
      </c>
      <c r="W5" s="49">
        <f t="shared" ref="W5:W24" si="3">(O5/A$10)</f>
        <v>4.3439102119994459E-2</v>
      </c>
      <c r="X5" s="44">
        <f t="shared" ref="X5:X24" si="4">W5*A$8</f>
        <v>2942.5465331855348</v>
      </c>
      <c r="Y5" s="44">
        <f t="shared" ref="Y5:Y24" si="5">Q5-P5</f>
        <v>14622</v>
      </c>
      <c r="Z5" s="44">
        <f t="shared" ref="Z5:Z24" si="6">X5+(A$6*W5)</f>
        <v>11906.118377442152</v>
      </c>
      <c r="AA5" s="50">
        <f t="shared" ref="AA5:AA24" si="7">Q5+X5</f>
        <v>26969.546533185534</v>
      </c>
      <c r="AB5" s="51">
        <f t="shared" ref="AB5:AB24" si="8">Z5/(1+GasDiscountRate)^1</f>
        <v>11148.050915208007</v>
      </c>
      <c r="AC5" s="44">
        <f t="shared" ref="AC5:AC24" si="9">AA5/(1+GasDiscountRate)^1</f>
        <v>25252.384394368477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19.038391861136738</v>
      </c>
      <c r="AG5" s="44">
        <f t="shared" ref="AG5:AG24" si="11">AF5*J5*K5</f>
        <v>35811.215090798207</v>
      </c>
      <c r="AH5" s="52">
        <f>HLOOKUP(I5,GasAvoidedCostsWOCC!$A$5:$Q$50,T5+1,FALSE)</f>
        <v>19.038391861136738</v>
      </c>
      <c r="AI5" s="44">
        <f t="shared" ref="AI5:AI24" si="12">AH5*J5*L5</f>
        <v>0</v>
      </c>
      <c r="AJ5" s="44">
        <f>AG5+AI5</f>
        <v>35811.215090798207</v>
      </c>
      <c r="AK5" s="44">
        <f>HLOOKUP(I5,GasAvoidedCostsWOCC!$A$5:$Q$50,G5+1,FALSE)*J5*L5</f>
        <v>0</v>
      </c>
      <c r="AL5" s="44">
        <f>AG5+AI5-AK5</f>
        <v>35811.215090798207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35811.215090798207</v>
      </c>
      <c r="AN5" s="48">
        <f>AM5*1.1+AD5+AE5</f>
        <v>39392.336599878028</v>
      </c>
      <c r="AO5" s="47">
        <f>IFERROR(AM5/AB5,0)</f>
        <v>3.212329703477141</v>
      </c>
      <c r="AP5" s="47">
        <f>AN5/AC5</f>
        <v>1.5599452307031607</v>
      </c>
    </row>
    <row r="6" spans="1:42" ht="13.5" customHeight="1" x14ac:dyDescent="0.35">
      <c r="A6" s="53">
        <f>SUMIF('Program Costs'!D:D,C2,'Program Costs'!L:L)</f>
        <v>206348</v>
      </c>
      <c r="B6" s="97" t="s">
        <v>117</v>
      </c>
      <c r="C6" s="98">
        <v>18230706</v>
      </c>
      <c r="D6" s="61" t="s">
        <v>118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12013</v>
      </c>
      <c r="L6" s="41"/>
      <c r="M6" s="42"/>
      <c r="N6" s="42"/>
      <c r="O6" s="43">
        <v>12013</v>
      </c>
      <c r="P6" s="44">
        <v>60065</v>
      </c>
      <c r="Q6" s="44">
        <v>60065</v>
      </c>
      <c r="R6" s="45"/>
      <c r="S6" s="46"/>
      <c r="T6" s="39">
        <f t="shared" si="0"/>
        <v>15</v>
      </c>
      <c r="U6" s="47">
        <f t="shared" si="1"/>
        <v>4.1613551337120693</v>
      </c>
      <c r="V6" s="48">
        <f t="shared" si="2"/>
        <v>0</v>
      </c>
      <c r="W6" s="49">
        <f t="shared" si="3"/>
        <v>0.27742367558080461</v>
      </c>
      <c r="X6" s="44">
        <f t="shared" si="4"/>
        <v>18792.563265899964</v>
      </c>
      <c r="Y6" s="44">
        <f t="shared" si="5"/>
        <v>0</v>
      </c>
      <c r="Z6" s="44">
        <f t="shared" si="6"/>
        <v>76038.383874647829</v>
      </c>
      <c r="AA6" s="50">
        <f t="shared" si="7"/>
        <v>78857.563265899968</v>
      </c>
      <c r="AB6" s="51">
        <f t="shared" si="8"/>
        <v>71196.988646673999</v>
      </c>
      <c r="AC6" s="44">
        <f t="shared" si="9"/>
        <v>73836.669724625433</v>
      </c>
      <c r="AD6" s="44">
        <f t="shared" si="10"/>
        <v>0</v>
      </c>
      <c r="AE6" s="44">
        <v>0</v>
      </c>
      <c r="AF6" s="52">
        <f>HLOOKUP(I6,GasAvoidedCostsWOCC!$A$5:$G$50,G6+1,FALSE)</f>
        <v>10.000114235272545</v>
      </c>
      <c r="AG6" s="44">
        <f t="shared" si="11"/>
        <v>120131.37230832908</v>
      </c>
      <c r="AH6" s="52">
        <f>HLOOKUP(I6,GasAvoidedCostsWOCC!$A$5:$Q$50,T6+1,FALSE)</f>
        <v>10.000114235272545</v>
      </c>
      <c r="AI6" s="44">
        <f t="shared" si="12"/>
        <v>0</v>
      </c>
      <c r="AJ6" s="44">
        <f t="shared" ref="AJ6:AJ24" si="13">AG6+AI6</f>
        <v>120131.37230832908</v>
      </c>
      <c r="AK6" s="44">
        <f>HLOOKUP(I6,GasAvoidedCostsWOCC!$A$5:$Q$50,G6+1,FALSE)*J6*L6</f>
        <v>0</v>
      </c>
      <c r="AL6" s="44">
        <f t="shared" ref="AL6:AL24" si="14">AG6+AI6-AK6</f>
        <v>120131.37230832908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120131.37230832908</v>
      </c>
      <c r="AN6" s="48">
        <f t="shared" ref="AN6:AN24" si="15">AM6*1.1+AD6+AE6</f>
        <v>132144.50953916201</v>
      </c>
      <c r="AO6" s="47">
        <f t="shared" ref="AO6:AO24" si="16">IFERROR(AM6/AB6,0)</f>
        <v>1.6873097386814979</v>
      </c>
      <c r="AP6" s="47">
        <f t="shared" ref="AP6:AP24" si="17">AN6/AC6</f>
        <v>1.7896867509327847</v>
      </c>
    </row>
    <row r="7" spans="1:42" ht="13.5" customHeight="1" x14ac:dyDescent="0.35">
      <c r="A7" s="36" t="s">
        <v>240</v>
      </c>
      <c r="B7" s="97" t="s">
        <v>117</v>
      </c>
      <c r="C7" s="98">
        <v>18230706</v>
      </c>
      <c r="D7" s="61" t="s">
        <v>118</v>
      </c>
      <c r="E7" s="38" t="s">
        <v>1138</v>
      </c>
      <c r="F7" s="39" t="s">
        <v>1139</v>
      </c>
      <c r="G7" s="39">
        <v>15</v>
      </c>
      <c r="H7" s="39"/>
      <c r="I7" s="40" t="s">
        <v>261</v>
      </c>
      <c r="J7" s="41">
        <v>1</v>
      </c>
      <c r="K7" s="41">
        <v>9067</v>
      </c>
      <c r="L7" s="41"/>
      <c r="M7" s="42"/>
      <c r="N7" s="42"/>
      <c r="O7" s="43">
        <v>9067</v>
      </c>
      <c r="P7" s="44">
        <v>45355</v>
      </c>
      <c r="Q7" s="44">
        <v>121731</v>
      </c>
      <c r="R7" s="45"/>
      <c r="S7" s="46"/>
      <c r="T7" s="39">
        <f t="shared" si="0"/>
        <v>15</v>
      </c>
      <c r="U7" s="47">
        <f t="shared" si="1"/>
        <v>3.1408479977830122</v>
      </c>
      <c r="V7" s="48">
        <f t="shared" si="2"/>
        <v>0</v>
      </c>
      <c r="W7" s="49">
        <f t="shared" si="3"/>
        <v>0.20938986651886748</v>
      </c>
      <c r="X7" s="44">
        <f t="shared" si="4"/>
        <v>14183.981614244149</v>
      </c>
      <c r="Y7" s="44">
        <f t="shared" si="5"/>
        <v>76376</v>
      </c>
      <c r="Z7" s="44">
        <f t="shared" si="6"/>
        <v>57391.16179067942</v>
      </c>
      <c r="AA7" s="50">
        <f t="shared" si="7"/>
        <v>135914.98161424414</v>
      </c>
      <c r="AB7" s="51">
        <f t="shared" si="8"/>
        <v>53737.042875167994</v>
      </c>
      <c r="AC7" s="44">
        <f t="shared" si="9"/>
        <v>127261.21873992897</v>
      </c>
      <c r="AD7" s="44">
        <f t="shared" si="10"/>
        <v>0</v>
      </c>
      <c r="AE7" s="44">
        <v>0</v>
      </c>
      <c r="AF7" s="52">
        <f>HLOOKUP(I7,GasAvoidedCostsWOCC!$A$5:$G$50,G7+1,FALSE)</f>
        <v>10.000114235272545</v>
      </c>
      <c r="AG7" s="44">
        <f t="shared" si="11"/>
        <v>90671.035771216164</v>
      </c>
      <c r="AH7" s="52">
        <f>HLOOKUP(I7,GasAvoidedCostsWOCC!$A$5:$Q$50,T7+1,FALSE)</f>
        <v>10.000114235272545</v>
      </c>
      <c r="AI7" s="44">
        <f t="shared" si="12"/>
        <v>0</v>
      </c>
      <c r="AJ7" s="44">
        <f t="shared" si="13"/>
        <v>90671.035771216164</v>
      </c>
      <c r="AK7" s="44">
        <f>HLOOKUP(I7,GasAvoidedCostsWOCC!$A$5:$Q$50,G7+1,FALSE)*J7*L7</f>
        <v>0</v>
      </c>
      <c r="AL7" s="44">
        <f t="shared" si="14"/>
        <v>90671.035771216164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90671.035771216164</v>
      </c>
      <c r="AN7" s="48">
        <f t="shared" si="15"/>
        <v>99738.139348337791</v>
      </c>
      <c r="AO7" s="47">
        <f t="shared" si="16"/>
        <v>1.6873097386814981</v>
      </c>
      <c r="AP7" s="47">
        <f t="shared" si="17"/>
        <v>0.78372767710297242</v>
      </c>
    </row>
    <row r="8" spans="1:42" ht="13.5" customHeight="1" x14ac:dyDescent="0.35">
      <c r="A8" s="53">
        <f>SUMIF('Program Costs'!D:D,C2,'Program Costs'!O:O)</f>
        <v>67739.580000000016</v>
      </c>
      <c r="B8" s="97" t="s">
        <v>117</v>
      </c>
      <c r="C8" s="98">
        <v>18230706</v>
      </c>
      <c r="D8" s="61" t="s">
        <v>118</v>
      </c>
      <c r="E8" s="38" t="s">
        <v>1142</v>
      </c>
      <c r="F8" s="39" t="s">
        <v>1143</v>
      </c>
      <c r="G8" s="39">
        <v>24</v>
      </c>
      <c r="H8" s="39"/>
      <c r="I8" s="40" t="s">
        <v>260</v>
      </c>
      <c r="J8" s="41">
        <v>1</v>
      </c>
      <c r="K8" s="41">
        <v>10211</v>
      </c>
      <c r="L8" s="41"/>
      <c r="M8" s="42"/>
      <c r="N8" s="42"/>
      <c r="O8" s="43">
        <v>10211</v>
      </c>
      <c r="P8" s="44">
        <v>51055</v>
      </c>
      <c r="Q8" s="44">
        <v>56922</v>
      </c>
      <c r="R8" s="45"/>
      <c r="S8" s="46"/>
      <c r="T8" s="39">
        <f t="shared" si="0"/>
        <v>24</v>
      </c>
      <c r="U8" s="47">
        <f t="shared" si="1"/>
        <v>5.6594152695025635</v>
      </c>
      <c r="V8" s="48">
        <f t="shared" si="2"/>
        <v>0</v>
      </c>
      <c r="W8" s="49">
        <f t="shared" si="3"/>
        <v>0.2358089695626068</v>
      </c>
      <c r="X8" s="44">
        <f t="shared" si="4"/>
        <v>15973.600558403772</v>
      </c>
      <c r="Y8" s="44">
        <f t="shared" si="5"/>
        <v>5867</v>
      </c>
      <c r="Z8" s="44">
        <f t="shared" si="6"/>
        <v>64632.30980970856</v>
      </c>
      <c r="AA8" s="50">
        <f t="shared" si="7"/>
        <v>72895.600558403778</v>
      </c>
      <c r="AB8" s="51">
        <f t="shared" si="8"/>
        <v>60517.144016581049</v>
      </c>
      <c r="AC8" s="44">
        <f t="shared" si="9"/>
        <v>68254.307638954837</v>
      </c>
      <c r="AD8" s="44">
        <f t="shared" si="10"/>
        <v>0</v>
      </c>
      <c r="AE8" s="44">
        <v>0</v>
      </c>
      <c r="AF8" s="52">
        <f>HLOOKUP(I8,GasAvoidedCostsWOCC!$A$5:$G$50,G8+1,FALSE)</f>
        <v>14.64964969130987</v>
      </c>
      <c r="AG8" s="44">
        <f t="shared" si="11"/>
        <v>149587.57299796509</v>
      </c>
      <c r="AH8" s="52">
        <f>HLOOKUP(I8,GasAvoidedCostsWOCC!$A$5:$Q$50,T8+1,FALSE)</f>
        <v>14.64964969130987</v>
      </c>
      <c r="AI8" s="44">
        <f t="shared" si="12"/>
        <v>0</v>
      </c>
      <c r="AJ8" s="44">
        <f t="shared" si="13"/>
        <v>149587.57299796509</v>
      </c>
      <c r="AK8" s="44">
        <f>HLOOKUP(I8,GasAvoidedCostsWOCC!$A$5:$Q$50,G8+1,FALSE)*J8*L8</f>
        <v>0</v>
      </c>
      <c r="AL8" s="44">
        <f t="shared" si="14"/>
        <v>149587.57299796509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149587.57299796509</v>
      </c>
      <c r="AN8" s="48">
        <f t="shared" si="15"/>
        <v>164546.33029776163</v>
      </c>
      <c r="AO8" s="47">
        <f t="shared" si="16"/>
        <v>2.4718214223225687</v>
      </c>
      <c r="AP8" s="47">
        <f t="shared" si="17"/>
        <v>2.4107830844635214</v>
      </c>
    </row>
    <row r="9" spans="1:42" ht="13.5" customHeight="1" x14ac:dyDescent="0.35">
      <c r="A9" s="36" t="s">
        <v>305</v>
      </c>
      <c r="B9" s="97" t="s">
        <v>117</v>
      </c>
      <c r="C9" s="98">
        <v>18230706</v>
      </c>
      <c r="D9" s="61" t="s">
        <v>118</v>
      </c>
      <c r="E9" s="38" t="s">
        <v>1142</v>
      </c>
      <c r="F9" s="39" t="s">
        <v>1143</v>
      </c>
      <c r="G9" s="39">
        <v>24</v>
      </c>
      <c r="H9" s="39"/>
      <c r="I9" s="40" t="s">
        <v>260</v>
      </c>
      <c r="J9" s="41">
        <v>1</v>
      </c>
      <c r="K9" s="41">
        <v>7368</v>
      </c>
      <c r="L9" s="41"/>
      <c r="M9" s="42"/>
      <c r="N9" s="42"/>
      <c r="O9" s="43">
        <v>7368</v>
      </c>
      <c r="P9" s="44">
        <v>27973</v>
      </c>
      <c r="Q9" s="44">
        <v>27973</v>
      </c>
      <c r="R9" s="45"/>
      <c r="S9" s="46"/>
      <c r="T9" s="39">
        <f t="shared" si="0"/>
        <v>24</v>
      </c>
      <c r="U9" s="47">
        <f t="shared" si="1"/>
        <v>4.0836912844672302</v>
      </c>
      <c r="V9" s="48">
        <f t="shared" si="2"/>
        <v>0</v>
      </c>
      <c r="W9" s="49">
        <f t="shared" si="3"/>
        <v>0.17015380351946793</v>
      </c>
      <c r="X9" s="44">
        <f t="shared" si="4"/>
        <v>11526.147185811282</v>
      </c>
      <c r="Y9" s="44">
        <f t="shared" si="5"/>
        <v>0</v>
      </c>
      <c r="Z9" s="44">
        <f t="shared" si="6"/>
        <v>46637.044234446454</v>
      </c>
      <c r="AA9" s="50">
        <f t="shared" si="7"/>
        <v>39499.147185811278</v>
      </c>
      <c r="AB9" s="51">
        <f t="shared" si="8"/>
        <v>43667.644414275703</v>
      </c>
      <c r="AC9" s="44">
        <f t="shared" si="9"/>
        <v>36984.220211433778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14.64964969130987</v>
      </c>
      <c r="AG9" s="44">
        <f t="shared" si="11"/>
        <v>107938.61892557112</v>
      </c>
      <c r="AH9" s="52">
        <f>HLOOKUP(I9,GasAvoidedCostsWOCC!$A$5:$Q$50,T9+1,FALSE)</f>
        <v>14.64964969130987</v>
      </c>
      <c r="AI9" s="44">
        <f t="shared" si="12"/>
        <v>0</v>
      </c>
      <c r="AJ9" s="44">
        <f t="shared" si="13"/>
        <v>107938.61892557112</v>
      </c>
      <c r="AK9" s="44">
        <f>HLOOKUP(I9,GasAvoidedCostsWOCC!$A$5:$Q$50,G9+1,FALSE)*J9*L9</f>
        <v>0</v>
      </c>
      <c r="AL9" s="44">
        <f t="shared" si="14"/>
        <v>107938.61892557112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107938.61892557112</v>
      </c>
      <c r="AN9" s="48">
        <f t="shared" si="15"/>
        <v>118732.48081812824</v>
      </c>
      <c r="AO9" s="47">
        <f t="shared" si="16"/>
        <v>2.4718214223225683</v>
      </c>
      <c r="AP9" s="47">
        <f t="shared" si="17"/>
        <v>3.210355122788874</v>
      </c>
    </row>
    <row r="10" spans="1:42" ht="13.5" customHeight="1" x14ac:dyDescent="0.35">
      <c r="A10" s="54">
        <f>SUM(O5:O999)</f>
        <v>43302</v>
      </c>
      <c r="B10" s="97" t="s">
        <v>117</v>
      </c>
      <c r="C10" s="98">
        <v>18230706</v>
      </c>
      <c r="D10" s="61" t="s">
        <v>118</v>
      </c>
      <c r="E10" s="38" t="s">
        <v>1208</v>
      </c>
      <c r="F10" s="39" t="s">
        <v>1209</v>
      </c>
      <c r="G10" s="39">
        <v>15</v>
      </c>
      <c r="H10" s="39"/>
      <c r="I10" s="40" t="s">
        <v>261</v>
      </c>
      <c r="J10" s="41">
        <v>1</v>
      </c>
      <c r="K10" s="41">
        <v>2083</v>
      </c>
      <c r="L10" s="41"/>
      <c r="M10" s="42"/>
      <c r="N10" s="42"/>
      <c r="O10" s="43">
        <v>2083</v>
      </c>
      <c r="P10" s="44">
        <v>12495</v>
      </c>
      <c r="Q10" s="44">
        <v>12495</v>
      </c>
      <c r="R10" s="45"/>
      <c r="S10" s="46"/>
      <c r="T10" s="39">
        <f t="shared" si="0"/>
        <v>15</v>
      </c>
      <c r="U10" s="47">
        <f t="shared" si="1"/>
        <v>0.72156020507135932</v>
      </c>
      <c r="V10" s="48">
        <f t="shared" si="2"/>
        <v>0</v>
      </c>
      <c r="W10" s="49">
        <f t="shared" si="3"/>
        <v>4.8104013671423952E-2</v>
      </c>
      <c r="X10" s="44">
        <f t="shared" si="4"/>
        <v>3258.5456824165171</v>
      </c>
      <c r="Y10" s="44">
        <f t="shared" si="5"/>
        <v>0</v>
      </c>
      <c r="Z10" s="44">
        <f t="shared" si="6"/>
        <v>13184.712695487508</v>
      </c>
      <c r="AA10" s="50">
        <f t="shared" si="7"/>
        <v>15753.545682416518</v>
      </c>
      <c r="AB10" s="51">
        <f t="shared" si="8"/>
        <v>12345.236606261711</v>
      </c>
      <c r="AC10" s="44">
        <f t="shared" si="9"/>
        <v>14750.510938592244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10.000114235272545</v>
      </c>
      <c r="AG10" s="44">
        <f t="shared" si="11"/>
        <v>20830.237952072712</v>
      </c>
      <c r="AH10" s="52">
        <f>HLOOKUP(I10,GasAvoidedCostsWOCC!$A$5:$Q$50,T10+1,FALSE)</f>
        <v>10.000114235272545</v>
      </c>
      <c r="AI10" s="44">
        <f t="shared" si="12"/>
        <v>0</v>
      </c>
      <c r="AJ10" s="44">
        <f t="shared" si="13"/>
        <v>20830.237952072712</v>
      </c>
      <c r="AK10" s="44">
        <f>HLOOKUP(I10,GasAvoidedCostsWOCC!$A$5:$Q$50,G10+1,FALSE)*J10*L10</f>
        <v>0</v>
      </c>
      <c r="AL10" s="44">
        <f t="shared" si="14"/>
        <v>20830.237952072712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20830.237952072712</v>
      </c>
      <c r="AN10" s="48">
        <f t="shared" si="15"/>
        <v>22913.261747279987</v>
      </c>
      <c r="AO10" s="47">
        <f t="shared" si="16"/>
        <v>1.6873097386814981</v>
      </c>
      <c r="AP10" s="47">
        <f t="shared" si="17"/>
        <v>1.5533876651913983</v>
      </c>
    </row>
    <row r="11" spans="1:42" ht="13.5" customHeight="1" x14ac:dyDescent="0.35">
      <c r="A11" s="36" t="s">
        <v>243</v>
      </c>
      <c r="B11" s="97" t="s">
        <v>117</v>
      </c>
      <c r="C11" s="98">
        <v>18230706</v>
      </c>
      <c r="D11" s="61" t="s">
        <v>118</v>
      </c>
      <c r="E11" s="38" t="s">
        <v>1210</v>
      </c>
      <c r="F11" s="39" t="s">
        <v>1211</v>
      </c>
      <c r="G11" s="39">
        <v>15</v>
      </c>
      <c r="H11" s="39"/>
      <c r="I11" s="40" t="s">
        <v>261</v>
      </c>
      <c r="J11" s="41">
        <v>1</v>
      </c>
      <c r="K11" s="41">
        <v>679</v>
      </c>
      <c r="L11" s="41"/>
      <c r="M11" s="42"/>
      <c r="N11" s="42"/>
      <c r="O11" s="43">
        <v>679</v>
      </c>
      <c r="P11" s="44">
        <v>1018.5</v>
      </c>
      <c r="Q11" s="44">
        <v>1018.5</v>
      </c>
      <c r="R11" s="45"/>
      <c r="S11" s="46"/>
      <c r="T11" s="39">
        <f t="shared" si="0"/>
        <v>15</v>
      </c>
      <c r="U11" s="47">
        <f t="shared" si="1"/>
        <v>0.23520853540252185</v>
      </c>
      <c r="V11" s="48">
        <f t="shared" si="2"/>
        <v>0</v>
      </c>
      <c r="W11" s="49">
        <f t="shared" si="3"/>
        <v>1.568056902683479E-2</v>
      </c>
      <c r="X11" s="44">
        <f t="shared" si="4"/>
        <v>1062.1951600387977</v>
      </c>
      <c r="Y11" s="44">
        <f t="shared" si="5"/>
        <v>0</v>
      </c>
      <c r="Z11" s="44">
        <f t="shared" si="6"/>
        <v>4297.8492175881029</v>
      </c>
      <c r="AA11" s="50">
        <f t="shared" si="7"/>
        <v>2080.6951600387974</v>
      </c>
      <c r="AB11" s="51">
        <f t="shared" si="8"/>
        <v>4024.2033872547777</v>
      </c>
      <c r="AC11" s="44">
        <f t="shared" si="9"/>
        <v>1948.2164419838925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10.000114235272545</v>
      </c>
      <c r="AG11" s="44">
        <f t="shared" si="11"/>
        <v>6790.0775657500581</v>
      </c>
      <c r="AH11" s="52">
        <f>HLOOKUP(I11,GasAvoidedCostsWOCC!$A$5:$Q$50,T11+1,FALSE)</f>
        <v>10.000114235272545</v>
      </c>
      <c r="AI11" s="44">
        <f t="shared" si="12"/>
        <v>0</v>
      </c>
      <c r="AJ11" s="44">
        <f t="shared" si="13"/>
        <v>6790.0775657500581</v>
      </c>
      <c r="AK11" s="44">
        <f>HLOOKUP(I11,GasAvoidedCostsWOCC!$A$5:$Q$50,G11+1,FALSE)*J11*L11</f>
        <v>0</v>
      </c>
      <c r="AL11" s="44">
        <f t="shared" si="14"/>
        <v>6790.0775657500581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6790.0775657500581</v>
      </c>
      <c r="AN11" s="48">
        <f t="shared" si="15"/>
        <v>7469.0853223250642</v>
      </c>
      <c r="AO11" s="47">
        <f t="shared" si="16"/>
        <v>1.6873097386814979</v>
      </c>
      <c r="AP11" s="47">
        <f t="shared" si="17"/>
        <v>3.833806737981948</v>
      </c>
    </row>
    <row r="12" spans="1:42" ht="13.5" customHeight="1" x14ac:dyDescent="0.35">
      <c r="A12" s="55">
        <f>SUM(P5:P1000)</f>
        <v>207366.5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96865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19.305251489538588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274087.58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371971.08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2.0720377752735026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1.6794633643094732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1" sqref="F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18230691</v>
      </c>
      <c r="D2" s="20" t="s">
        <v>107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106</v>
      </c>
      <c r="C5" s="98">
        <v>18230691</v>
      </c>
      <c r="D5" s="61" t="s">
        <v>107</v>
      </c>
      <c r="E5" s="38" t="s">
        <v>1212</v>
      </c>
      <c r="F5" s="39" t="s">
        <v>1213</v>
      </c>
      <c r="G5" s="39">
        <v>3</v>
      </c>
      <c r="H5" s="39"/>
      <c r="I5" s="40" t="s">
        <v>261</v>
      </c>
      <c r="J5" s="41">
        <v>1</v>
      </c>
      <c r="K5" s="41">
        <v>169334</v>
      </c>
      <c r="L5" s="41"/>
      <c r="M5" s="42">
        <v>25053</v>
      </c>
      <c r="N5" s="42">
        <v>38559</v>
      </c>
      <c r="O5" s="43">
        <v>169334</v>
      </c>
      <c r="P5" s="44">
        <v>25053</v>
      </c>
      <c r="Q5" s="44">
        <v>38559</v>
      </c>
      <c r="R5" s="45"/>
      <c r="S5" s="46"/>
      <c r="T5" s="39">
        <f t="shared" ref="T5:T24" si="0">G5+H5</f>
        <v>3</v>
      </c>
      <c r="U5" s="47">
        <f t="shared" ref="U5:U24" si="1">(O5/$A$10)*T5</f>
        <v>2.5826758042868185</v>
      </c>
      <c r="V5" s="48">
        <f t="shared" ref="V5:V24" si="2">N5-M5</f>
        <v>13506</v>
      </c>
      <c r="W5" s="49">
        <f t="shared" ref="W5:W24" si="3">(O5/A$10)</f>
        <v>0.86089193476227277</v>
      </c>
      <c r="X5" s="44">
        <f t="shared" ref="X5:X24" si="4">W5*A$8</f>
        <v>454125.28214625613</v>
      </c>
      <c r="Y5" s="44">
        <f t="shared" ref="Y5:Y24" si="5">Q5-P5</f>
        <v>13506</v>
      </c>
      <c r="Z5" s="44">
        <f t="shared" ref="Z5:Z24" si="6">X5+(A$6*W5)</f>
        <v>504844.73048277543</v>
      </c>
      <c r="AA5" s="50">
        <f t="shared" ref="AA5:AA24" si="7">Q5+X5</f>
        <v>492684.28214625613</v>
      </c>
      <c r="AB5" s="51">
        <f t="shared" ref="AB5:AB24" si="8">Z5/(1+GasDiscountRate)^1</f>
        <v>472701.05850447132</v>
      </c>
      <c r="AC5" s="44">
        <f t="shared" ref="AC5:AC24" si="9">AA5/(1+GasDiscountRate)^1</f>
        <v>461314.87092346075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2.2931087173322977</v>
      </c>
      <c r="AG5" s="44">
        <f t="shared" ref="AG5:AG24" si="11">AF5*J5*K5</f>
        <v>388301.27154074732</v>
      </c>
      <c r="AH5" s="52">
        <f>HLOOKUP(I5,GasAvoidedCostsWOCC!$A$5:$Q$50,T5+1,FALSE)</f>
        <v>2.2931087173322977</v>
      </c>
      <c r="AI5" s="44">
        <f t="shared" ref="AI5:AI24" si="12">AH5*J5*L5</f>
        <v>0</v>
      </c>
      <c r="AJ5" s="44">
        <f>AG5+AI5</f>
        <v>388301.27154074732</v>
      </c>
      <c r="AK5" s="44">
        <f>HLOOKUP(I5,GasAvoidedCostsWOCC!$A$5:$Q$50,G5+1,FALSE)*J5*L5</f>
        <v>0</v>
      </c>
      <c r="AL5" s="44">
        <f>AG5+AI5-AK5</f>
        <v>388301.27154074732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388301.27154074732</v>
      </c>
      <c r="AN5" s="48">
        <f>AM5*1.1+AD5+AE5</f>
        <v>427131.3986948221</v>
      </c>
      <c r="AO5" s="47">
        <f>IFERROR(AM5/AB5,0)</f>
        <v>0.82145208806862513</v>
      </c>
      <c r="AP5" s="47">
        <f>AN5/AC5</f>
        <v>0.92589991265573091</v>
      </c>
    </row>
    <row r="6" spans="1:42" ht="13.5" customHeight="1" x14ac:dyDescent="0.35">
      <c r="A6" s="53">
        <f>SUMIF('Program Costs'!D:D,C2,'Program Costs'!L:L)</f>
        <v>58915</v>
      </c>
      <c r="B6" s="97" t="s">
        <v>106</v>
      </c>
      <c r="C6" s="98">
        <v>18230691</v>
      </c>
      <c r="D6" s="61" t="s">
        <v>107</v>
      </c>
      <c r="E6" s="38" t="s">
        <v>1214</v>
      </c>
      <c r="F6" s="39" t="s">
        <v>1215</v>
      </c>
      <c r="G6" s="39">
        <v>3</v>
      </c>
      <c r="H6" s="39"/>
      <c r="I6" s="40" t="s">
        <v>261</v>
      </c>
      <c r="J6" s="41">
        <v>1</v>
      </c>
      <c r="K6" s="41">
        <v>22374</v>
      </c>
      <c r="L6" s="41"/>
      <c r="M6" s="42">
        <v>3370</v>
      </c>
      <c r="N6" s="42">
        <v>6488</v>
      </c>
      <c r="O6" s="43">
        <v>22374</v>
      </c>
      <c r="P6" s="44">
        <v>3370</v>
      </c>
      <c r="Q6" s="44">
        <v>6488</v>
      </c>
      <c r="R6" s="45"/>
      <c r="S6" s="46"/>
      <c r="T6" s="39">
        <f t="shared" si="0"/>
        <v>3</v>
      </c>
      <c r="U6" s="47">
        <f t="shared" si="1"/>
        <v>0.34124740716638874</v>
      </c>
      <c r="V6" s="48">
        <f t="shared" si="2"/>
        <v>3118</v>
      </c>
      <c r="W6" s="49">
        <f t="shared" si="3"/>
        <v>0.11374913572212958</v>
      </c>
      <c r="X6" s="44">
        <f t="shared" si="4"/>
        <v>60003.301538617961</v>
      </c>
      <c r="Y6" s="44">
        <f t="shared" si="5"/>
        <v>3118</v>
      </c>
      <c r="Z6" s="44">
        <f t="shared" si="6"/>
        <v>66704.83186968723</v>
      </c>
      <c r="AA6" s="50">
        <f t="shared" si="7"/>
        <v>66491.301538617961</v>
      </c>
      <c r="AB6" s="51">
        <f t="shared" si="8"/>
        <v>62457.707743152831</v>
      </c>
      <c r="AC6" s="44">
        <f t="shared" si="9"/>
        <v>62257.772976234046</v>
      </c>
      <c r="AD6" s="44">
        <f t="shared" si="10"/>
        <v>0</v>
      </c>
      <c r="AE6" s="44">
        <v>0</v>
      </c>
      <c r="AF6" s="52">
        <f>HLOOKUP(I6,GasAvoidedCostsWOCC!$A$5:$G$50,G6+1,FALSE)</f>
        <v>2.2931087173322977</v>
      </c>
      <c r="AG6" s="44">
        <f t="shared" si="11"/>
        <v>51306.01444159283</v>
      </c>
      <c r="AH6" s="52">
        <f>HLOOKUP(I6,GasAvoidedCostsWOCC!$A$5:$Q$50,T6+1,FALSE)</f>
        <v>2.2931087173322977</v>
      </c>
      <c r="AI6" s="44">
        <f t="shared" si="12"/>
        <v>0</v>
      </c>
      <c r="AJ6" s="44">
        <f t="shared" ref="AJ6:AJ24" si="13">AG6+AI6</f>
        <v>51306.01444159283</v>
      </c>
      <c r="AK6" s="44">
        <f>HLOOKUP(I6,GasAvoidedCostsWOCC!$A$5:$Q$50,G6+1,FALSE)*J6*L6</f>
        <v>0</v>
      </c>
      <c r="AL6" s="44">
        <f t="shared" ref="AL6:AL24" si="14">AG6+AI6-AK6</f>
        <v>51306.01444159283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51306.01444159283</v>
      </c>
      <c r="AN6" s="48">
        <f t="shared" ref="AN6:AN24" si="15">AM6*1.1+AD6+AE6</f>
        <v>56436.615885752115</v>
      </c>
      <c r="AO6" s="47">
        <f t="shared" ref="AO6:AO24" si="16">IFERROR(AM6/AB6,0)</f>
        <v>0.82145208806862513</v>
      </c>
      <c r="AP6" s="47">
        <f t="shared" ref="AP6:AP24" si="17">AN6/AC6</f>
        <v>0.90649911148116291</v>
      </c>
    </row>
    <row r="7" spans="1:42" ht="13.5" customHeight="1" x14ac:dyDescent="0.35">
      <c r="A7" s="36" t="s">
        <v>240</v>
      </c>
      <c r="B7" s="97" t="s">
        <v>106</v>
      </c>
      <c r="C7" s="98">
        <v>18230691</v>
      </c>
      <c r="D7" s="61" t="s">
        <v>107</v>
      </c>
      <c r="E7" s="38" t="s">
        <v>1216</v>
      </c>
      <c r="F7" s="39" t="s">
        <v>1217</v>
      </c>
      <c r="G7" s="39">
        <v>3</v>
      </c>
      <c r="H7" s="39"/>
      <c r="I7" s="40" t="s">
        <v>261</v>
      </c>
      <c r="J7" s="41">
        <v>1</v>
      </c>
      <c r="K7" s="41">
        <v>4988</v>
      </c>
      <c r="L7" s="41"/>
      <c r="M7" s="42">
        <v>749</v>
      </c>
      <c r="N7" s="42">
        <v>1447</v>
      </c>
      <c r="O7" s="43">
        <v>4988</v>
      </c>
      <c r="P7" s="44">
        <v>749</v>
      </c>
      <c r="Q7" s="44">
        <v>1447</v>
      </c>
      <c r="R7" s="45"/>
      <c r="S7" s="46"/>
      <c r="T7" s="39">
        <f t="shared" si="0"/>
        <v>3</v>
      </c>
      <c r="U7" s="47">
        <f t="shared" si="1"/>
        <v>7.607678854679302E-2</v>
      </c>
      <c r="V7" s="48">
        <f t="shared" si="2"/>
        <v>698</v>
      </c>
      <c r="W7" s="49">
        <f t="shared" si="3"/>
        <v>2.5358929515597674E-2</v>
      </c>
      <c r="X7" s="44">
        <f t="shared" si="4"/>
        <v>13376.976315125878</v>
      </c>
      <c r="Y7" s="44">
        <f t="shared" si="5"/>
        <v>698</v>
      </c>
      <c r="Z7" s="44">
        <f t="shared" si="6"/>
        <v>14870.997647537315</v>
      </c>
      <c r="AA7" s="50">
        <f t="shared" si="7"/>
        <v>14823.976315125878</v>
      </c>
      <c r="AB7" s="51">
        <f t="shared" si="8"/>
        <v>13924.155100690368</v>
      </c>
      <c r="AC7" s="44">
        <f t="shared" si="9"/>
        <v>13880.127635885652</v>
      </c>
      <c r="AD7" s="44">
        <f t="shared" si="10"/>
        <v>0</v>
      </c>
      <c r="AE7" s="44">
        <v>0</v>
      </c>
      <c r="AF7" s="52">
        <f>HLOOKUP(I7,GasAvoidedCostsWOCC!$A$5:$G$50,G7+1,FALSE)</f>
        <v>2.2931087173322977</v>
      </c>
      <c r="AG7" s="44">
        <f t="shared" si="11"/>
        <v>11438.026282053501</v>
      </c>
      <c r="AH7" s="52">
        <f>HLOOKUP(I7,GasAvoidedCostsWOCC!$A$5:$Q$50,T7+1,FALSE)</f>
        <v>2.2931087173322977</v>
      </c>
      <c r="AI7" s="44">
        <f t="shared" si="12"/>
        <v>0</v>
      </c>
      <c r="AJ7" s="44">
        <f t="shared" si="13"/>
        <v>11438.026282053501</v>
      </c>
      <c r="AK7" s="44">
        <f>HLOOKUP(I7,GasAvoidedCostsWOCC!$A$5:$Q$50,G7+1,FALSE)*J7*L7</f>
        <v>0</v>
      </c>
      <c r="AL7" s="44">
        <f t="shared" si="14"/>
        <v>11438.026282053501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11438.026282053501</v>
      </c>
      <c r="AN7" s="48">
        <f t="shared" si="15"/>
        <v>12581.828910258851</v>
      </c>
      <c r="AO7" s="47">
        <f t="shared" si="16"/>
        <v>0.82145208806862513</v>
      </c>
      <c r="AP7" s="47">
        <f t="shared" si="17"/>
        <v>0.90646348796748943</v>
      </c>
    </row>
    <row r="8" spans="1:42" ht="13.5" customHeight="1" x14ac:dyDescent="0.35">
      <c r="A8" s="53">
        <f>SUMIF('Program Costs'!D:D,C2,'Program Costs'!O:O)</f>
        <v>527505.55999999994</v>
      </c>
      <c r="B8" s="97" t="s">
        <v>106</v>
      </c>
      <c r="C8" s="98">
        <v>18230691</v>
      </c>
      <c r="D8" s="61" t="s">
        <v>107</v>
      </c>
      <c r="E8" s="38" t="s">
        <v>1218</v>
      </c>
      <c r="F8" s="39" t="s">
        <v>1219</v>
      </c>
      <c r="G8" s="39">
        <v>3</v>
      </c>
      <c r="H8" s="39"/>
      <c r="I8" s="40" t="s">
        <v>261</v>
      </c>
      <c r="J8" s="41">
        <v>1</v>
      </c>
      <c r="K8" s="41">
        <v>0</v>
      </c>
      <c r="L8" s="41"/>
      <c r="M8" s="42">
        <v>23496</v>
      </c>
      <c r="N8" s="42">
        <v>23496</v>
      </c>
      <c r="O8" s="43">
        <v>0</v>
      </c>
      <c r="P8" s="44">
        <v>23496</v>
      </c>
      <c r="Q8" s="44">
        <v>23496</v>
      </c>
      <c r="R8" s="45"/>
      <c r="S8" s="46"/>
      <c r="T8" s="39">
        <f t="shared" si="0"/>
        <v>3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23496</v>
      </c>
      <c r="AB8" s="51">
        <f t="shared" si="8"/>
        <v>0</v>
      </c>
      <c r="AC8" s="44">
        <f t="shared" si="9"/>
        <v>22000</v>
      </c>
      <c r="AD8" s="44">
        <f t="shared" si="10"/>
        <v>0</v>
      </c>
      <c r="AE8" s="44">
        <v>0</v>
      </c>
      <c r="AF8" s="52">
        <f>HLOOKUP(I8,GasAvoidedCostsWOCC!$A$5:$G$50,G8+1,FALSE)</f>
        <v>2.2931087173322977</v>
      </c>
      <c r="AG8" s="44">
        <f t="shared" si="11"/>
        <v>0</v>
      </c>
      <c r="AH8" s="52">
        <f>HLOOKUP(I8,GasAvoidedCostsWOCC!$A$5:$Q$50,T8+1,FALSE)</f>
        <v>2.2931087173322977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 x14ac:dyDescent="0.35">
      <c r="A9" s="36" t="s">
        <v>305</v>
      </c>
      <c r="B9" s="97" t="s">
        <v>106</v>
      </c>
      <c r="C9" s="98">
        <v>18230691</v>
      </c>
      <c r="D9" s="61" t="s">
        <v>107</v>
      </c>
      <c r="E9" s="38" t="s">
        <v>1220</v>
      </c>
      <c r="F9" s="39" t="s">
        <v>1221</v>
      </c>
      <c r="G9" s="39">
        <v>3</v>
      </c>
      <c r="H9" s="39"/>
      <c r="I9" s="40" t="s">
        <v>261</v>
      </c>
      <c r="J9" s="41">
        <v>1</v>
      </c>
      <c r="K9" s="41">
        <v>0</v>
      </c>
      <c r="L9" s="41"/>
      <c r="M9" s="42">
        <v>3380</v>
      </c>
      <c r="N9" s="42">
        <v>3380</v>
      </c>
      <c r="O9" s="43">
        <v>0</v>
      </c>
      <c r="P9" s="44">
        <v>3380</v>
      </c>
      <c r="Q9" s="44">
        <v>3380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3380</v>
      </c>
      <c r="AB9" s="51">
        <f t="shared" si="8"/>
        <v>0</v>
      </c>
      <c r="AC9" s="44">
        <f t="shared" si="9"/>
        <v>3164.7940074906364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2.2931087173322977</v>
      </c>
      <c r="AG9" s="44">
        <f t="shared" si="11"/>
        <v>0</v>
      </c>
      <c r="AH9" s="52">
        <f>HLOOKUP(I9,GasAvoidedCostsWOCC!$A$5:$Q$50,T9+1,FALSE)</f>
        <v>2.2931087173322977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>
        <f t="shared" si="17"/>
        <v>0</v>
      </c>
    </row>
    <row r="10" spans="1:42" ht="13.5" customHeight="1" x14ac:dyDescent="0.35">
      <c r="A10" s="54">
        <f>SUM(O5:O999)</f>
        <v>196696</v>
      </c>
      <c r="B10" s="97" t="s">
        <v>106</v>
      </c>
      <c r="C10" s="98">
        <v>18230691</v>
      </c>
      <c r="D10" s="61" t="s">
        <v>107</v>
      </c>
      <c r="E10" s="38" t="s">
        <v>1222</v>
      </c>
      <c r="F10" s="39" t="s">
        <v>1223</v>
      </c>
      <c r="G10" s="39">
        <v>3</v>
      </c>
      <c r="H10" s="39"/>
      <c r="I10" s="40" t="s">
        <v>261</v>
      </c>
      <c r="J10" s="41">
        <v>1</v>
      </c>
      <c r="K10" s="41">
        <v>0</v>
      </c>
      <c r="L10" s="41"/>
      <c r="M10" s="42">
        <v>1000</v>
      </c>
      <c r="N10" s="42">
        <v>1000</v>
      </c>
      <c r="O10" s="43">
        <v>0</v>
      </c>
      <c r="P10" s="44">
        <v>1000</v>
      </c>
      <c r="Q10" s="44">
        <v>1000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1000</v>
      </c>
      <c r="AB10" s="51">
        <f t="shared" si="8"/>
        <v>0</v>
      </c>
      <c r="AC10" s="44">
        <f t="shared" si="9"/>
        <v>936.32958801498125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2.2931087173322977</v>
      </c>
      <c r="AG10" s="44">
        <f t="shared" si="11"/>
        <v>0</v>
      </c>
      <c r="AH10" s="52">
        <f>HLOOKUP(I10,GasAvoidedCostsWOCC!$A$5:$Q$50,T10+1,FALSE)</f>
        <v>2.2931087173322977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>
        <f t="shared" si="17"/>
        <v>0</v>
      </c>
    </row>
    <row r="11" spans="1:42" ht="13.5" customHeight="1" x14ac:dyDescent="0.35">
      <c r="A11" s="36" t="s">
        <v>243</v>
      </c>
      <c r="B11" s="97" t="s">
        <v>106</v>
      </c>
      <c r="C11" s="98">
        <v>18230691</v>
      </c>
      <c r="D11" s="61" t="s">
        <v>107</v>
      </c>
      <c r="E11" s="38" t="s">
        <v>1224</v>
      </c>
      <c r="F11" s="39" t="s">
        <v>1225</v>
      </c>
      <c r="G11" s="39">
        <v>3</v>
      </c>
      <c r="H11" s="39"/>
      <c r="I11" s="40" t="s">
        <v>261</v>
      </c>
      <c r="J11" s="41">
        <v>1</v>
      </c>
      <c r="K11" s="41">
        <v>0</v>
      </c>
      <c r="L11" s="41"/>
      <c r="M11" s="42">
        <v>667</v>
      </c>
      <c r="N11" s="42">
        <v>667</v>
      </c>
      <c r="O11" s="43">
        <v>0</v>
      </c>
      <c r="P11" s="44">
        <v>667</v>
      </c>
      <c r="Q11" s="44">
        <v>667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667</v>
      </c>
      <c r="AB11" s="51">
        <f t="shared" si="8"/>
        <v>0</v>
      </c>
      <c r="AC11" s="44">
        <f t="shared" si="9"/>
        <v>624.53183520599248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2.2931087173322977</v>
      </c>
      <c r="AG11" s="44">
        <f t="shared" si="11"/>
        <v>0</v>
      </c>
      <c r="AH11" s="52">
        <f>HLOOKUP(I11,GasAvoidedCostsWOCC!$A$5:$Q$50,T11+1,FALSE)</f>
        <v>2.2931087173322977</v>
      </c>
      <c r="AI11" s="44">
        <f t="shared" si="12"/>
        <v>0</v>
      </c>
      <c r="AJ11" s="44">
        <f t="shared" si="13"/>
        <v>0</v>
      </c>
      <c r="AK11" s="44">
        <f>HLOOKUP(I11,GasAvoidedCostsWOCC!$A$5:$Q$50,G11+1,FALSE)*J11*L11</f>
        <v>0</v>
      </c>
      <c r="AL11" s="44">
        <f t="shared" si="14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>
        <f t="shared" si="17"/>
        <v>0</v>
      </c>
    </row>
    <row r="12" spans="1:42" ht="13.5" customHeight="1" x14ac:dyDescent="0.35">
      <c r="A12" s="55">
        <f>SUM(P5:P1000)</f>
        <v>58915</v>
      </c>
      <c r="B12" s="97" t="s">
        <v>106</v>
      </c>
      <c r="C12" s="98">
        <v>18230691</v>
      </c>
      <c r="D12" s="61" t="s">
        <v>107</v>
      </c>
      <c r="E12" s="38" t="s">
        <v>1226</v>
      </c>
      <c r="F12" s="39" t="s">
        <v>1227</v>
      </c>
      <c r="G12" s="39">
        <v>3</v>
      </c>
      <c r="H12" s="39"/>
      <c r="I12" s="40" t="s">
        <v>261</v>
      </c>
      <c r="J12" s="41">
        <v>1</v>
      </c>
      <c r="K12" s="41">
        <v>0</v>
      </c>
      <c r="L12" s="41"/>
      <c r="M12" s="42">
        <v>300</v>
      </c>
      <c r="N12" s="42">
        <v>340</v>
      </c>
      <c r="O12" s="43">
        <v>0</v>
      </c>
      <c r="P12" s="44">
        <v>300</v>
      </c>
      <c r="Q12" s="44">
        <v>340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40</v>
      </c>
      <c r="W12" s="49">
        <f t="shared" si="3"/>
        <v>0</v>
      </c>
      <c r="X12" s="44">
        <f t="shared" si="4"/>
        <v>0</v>
      </c>
      <c r="Y12" s="44">
        <f t="shared" si="5"/>
        <v>40</v>
      </c>
      <c r="Z12" s="44">
        <f t="shared" si="6"/>
        <v>0</v>
      </c>
      <c r="AA12" s="50">
        <f t="shared" si="7"/>
        <v>340</v>
      </c>
      <c r="AB12" s="51">
        <f t="shared" si="8"/>
        <v>0</v>
      </c>
      <c r="AC12" s="44">
        <f t="shared" si="9"/>
        <v>318.35205992509361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2.2931087173322977</v>
      </c>
      <c r="AG12" s="44">
        <f t="shared" si="11"/>
        <v>0</v>
      </c>
      <c r="AH12" s="52">
        <f>HLOOKUP(I12,GasAvoidedCostsWOCC!$A$5:$Q$50,T12+1,FALSE)</f>
        <v>2.2931087173322977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>
        <f t="shared" si="17"/>
        <v>0</v>
      </c>
    </row>
    <row r="13" spans="1:42" ht="13.5" customHeight="1" x14ac:dyDescent="0.35">
      <c r="A13" s="56" t="s">
        <v>246</v>
      </c>
      <c r="B13" s="97" t="s">
        <v>106</v>
      </c>
      <c r="C13" s="98">
        <v>18230691</v>
      </c>
      <c r="D13" s="61" t="s">
        <v>107</v>
      </c>
      <c r="E13" s="38" t="s">
        <v>1228</v>
      </c>
      <c r="F13" s="39" t="s">
        <v>1229</v>
      </c>
      <c r="G13" s="39">
        <v>3</v>
      </c>
      <c r="H13" s="39"/>
      <c r="I13" s="40" t="s">
        <v>261</v>
      </c>
      <c r="J13" s="41">
        <v>1</v>
      </c>
      <c r="K13" s="41">
        <v>0</v>
      </c>
      <c r="L13" s="41"/>
      <c r="M13" s="42">
        <v>500</v>
      </c>
      <c r="N13" s="42">
        <v>500</v>
      </c>
      <c r="O13" s="43">
        <v>0</v>
      </c>
      <c r="P13" s="44">
        <v>500</v>
      </c>
      <c r="Q13" s="44">
        <v>500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500</v>
      </c>
      <c r="AB13" s="51">
        <f t="shared" si="8"/>
        <v>0</v>
      </c>
      <c r="AC13" s="44">
        <f t="shared" si="9"/>
        <v>468.16479400749063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2.2931087173322977</v>
      </c>
      <c r="AG13" s="44">
        <f t="shared" si="11"/>
        <v>0</v>
      </c>
      <c r="AH13" s="52">
        <f>HLOOKUP(I13,GasAvoidedCostsWOCC!$A$5:$Q$50,T13+1,FALSE)</f>
        <v>2.2931087173322977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>
        <f t="shared" si="17"/>
        <v>0</v>
      </c>
    </row>
    <row r="14" spans="1:42" ht="13.5" customHeight="1" x14ac:dyDescent="0.35">
      <c r="A14" s="55">
        <f>SUM(Y5:Y1000)</f>
        <v>17362</v>
      </c>
      <c r="B14" s="97" t="s">
        <v>106</v>
      </c>
      <c r="C14" s="98">
        <v>18230691</v>
      </c>
      <c r="D14" s="61" t="s">
        <v>107</v>
      </c>
      <c r="E14" s="38" t="s">
        <v>1230</v>
      </c>
      <c r="F14" s="39" t="s">
        <v>1231</v>
      </c>
      <c r="G14" s="39">
        <v>3</v>
      </c>
      <c r="H14" s="39"/>
      <c r="I14" s="40" t="s">
        <v>261</v>
      </c>
      <c r="J14" s="41">
        <v>1</v>
      </c>
      <c r="K14" s="41">
        <v>0</v>
      </c>
      <c r="L14" s="41"/>
      <c r="M14" s="42">
        <v>400</v>
      </c>
      <c r="N14" s="42">
        <v>400</v>
      </c>
      <c r="O14" s="43">
        <v>0</v>
      </c>
      <c r="P14" s="44">
        <v>400</v>
      </c>
      <c r="Q14" s="44">
        <v>400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</v>
      </c>
      <c r="AB14" s="51">
        <f t="shared" si="8"/>
        <v>0</v>
      </c>
      <c r="AC14" s="44">
        <f t="shared" si="9"/>
        <v>374.53183520599248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2.2931087173322977</v>
      </c>
      <c r="AG14" s="44">
        <f t="shared" si="11"/>
        <v>0</v>
      </c>
      <c r="AH14" s="52">
        <f>HLOOKUP(I14,GasAvoidedCostsWOCC!$A$5:$Q$50,T14+1,FALSE)</f>
        <v>2.2931087173322977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>
        <f t="shared" si="17"/>
        <v>0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3.0000000000000004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586420.55999999994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603782.55999999994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(SUM(AM5:AM110)/(SUM(AB5:AB110)))</f>
        <v>0.82145208806862524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(SUM(AN5:AN110)/SUM(AC5:AC110))</f>
        <v>0.87761400867260886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B1" zoomScale="85" zoomScaleNormal="85" workbookViewId="0">
      <selection activeCell="N9" sqref="N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18231039</v>
      </c>
      <c r="D2" s="20" t="s">
        <v>323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106</v>
      </c>
      <c r="C5" s="98">
        <v>18231039</v>
      </c>
      <c r="D5" s="61" t="s">
        <v>323</v>
      </c>
      <c r="E5" s="38" t="s">
        <v>1232</v>
      </c>
      <c r="F5" s="39" t="s">
        <v>1233</v>
      </c>
      <c r="G5" s="39">
        <v>20</v>
      </c>
      <c r="H5" s="39"/>
      <c r="I5" s="40" t="s">
        <v>261</v>
      </c>
      <c r="J5" s="41">
        <v>1</v>
      </c>
      <c r="K5" s="41">
        <v>7094</v>
      </c>
      <c r="L5" s="41"/>
      <c r="M5" s="42">
        <v>35470</v>
      </c>
      <c r="N5" s="42">
        <v>81581</v>
      </c>
      <c r="O5" s="43">
        <v>7094</v>
      </c>
      <c r="P5" s="44">
        <v>35470</v>
      </c>
      <c r="Q5" s="44">
        <v>81581</v>
      </c>
      <c r="R5" s="45"/>
      <c r="S5" s="46"/>
      <c r="T5" s="39">
        <f t="shared" ref="T5:T24" si="0">G5+H5</f>
        <v>20</v>
      </c>
      <c r="U5" s="47">
        <f t="shared" ref="U5:U24" si="1">(O5/$A$10)*T5</f>
        <v>20</v>
      </c>
      <c r="V5" s="48">
        <f t="shared" ref="V5:V24" si="2">N5-M5</f>
        <v>46111</v>
      </c>
      <c r="W5" s="49">
        <f t="shared" ref="W5:W24" si="3">(O5/A$10)</f>
        <v>1</v>
      </c>
      <c r="X5" s="44">
        <f t="shared" ref="X5:X24" si="4">W5*A$8</f>
        <v>9124.3300000000017</v>
      </c>
      <c r="Y5" s="44">
        <f t="shared" ref="Y5:Y24" si="5">Q5-P5</f>
        <v>46111</v>
      </c>
      <c r="Z5" s="44">
        <f t="shared" ref="Z5:Z24" si="6">X5+(A$6*W5)</f>
        <v>44594.33</v>
      </c>
      <c r="AA5" s="50">
        <f t="shared" ref="AA5:AA24" si="7">Q5+X5</f>
        <v>90705.33</v>
      </c>
      <c r="AB5" s="51">
        <f t="shared" ref="AB5:AB24" si="8">Z5/(1+GasDiscountRate)^1</f>
        <v>41754.990636704119</v>
      </c>
      <c r="AC5" s="44">
        <f t="shared" ref="AC5:AC24" si="9">AA5/(1+GasDiscountRate)^1</f>
        <v>84930.084269662912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12.636228791575714</v>
      </c>
      <c r="AG5" s="44">
        <f t="shared" ref="AG5:AG24" si="11">AF5*J5*K5</f>
        <v>89641.407047438115</v>
      </c>
      <c r="AH5" s="52">
        <f>HLOOKUP(I5,GasAvoidedCostsWOCC!$A$5:$Q$50,T5+1,FALSE)</f>
        <v>12.636228791575714</v>
      </c>
      <c r="AI5" s="44">
        <f t="shared" ref="AI5:AI24" si="12">AH5*J5*L5</f>
        <v>0</v>
      </c>
      <c r="AJ5" s="44">
        <f>AG5+AI5</f>
        <v>89641.407047438115</v>
      </c>
      <c r="AK5" s="44">
        <f>HLOOKUP(I5,GasAvoidedCostsWOCC!$A$5:$Q$50,G5+1,FALSE)*J5*L5</f>
        <v>0</v>
      </c>
      <c r="AL5" s="44">
        <f>AG5+AI5-AK5</f>
        <v>89641.407047438115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89641.407047438115</v>
      </c>
      <c r="AN5" s="48">
        <f>AM5*1.1+AD5+AE5</f>
        <v>98605.547752181941</v>
      </c>
      <c r="AO5" s="47">
        <f>IFERROR(AM5/AB5,0)</f>
        <v>2.1468429445327222</v>
      </c>
      <c r="AP5" s="47">
        <f>AN5/AC5</f>
        <v>1.1610202509525109</v>
      </c>
    </row>
    <row r="6" spans="1:42" ht="13.5" customHeight="1" x14ac:dyDescent="0.35">
      <c r="A6" s="53">
        <f>SUMIF('Program Costs'!D:D,C2,'Program Costs'!L:L)</f>
        <v>35470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9124.3300000000017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7094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35470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46111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20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44594.33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90705.33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(SUM(AM5:AM110)/(SUM(AB5:AB110)))</f>
        <v>2.1468429445327222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(SUM(AN5:AN110)/SUM(AC5:AC110))</f>
        <v>1.1610202509525109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88"/>
  <sheetViews>
    <sheetView zoomScale="85" zoomScaleNormal="85" workbookViewId="0">
      <selection activeCell="F14" sqref="F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18231027</v>
      </c>
      <c r="D2" s="20" t="s">
        <v>155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18231027</v>
      </c>
      <c r="D5" s="61" t="s">
        <v>155</v>
      </c>
      <c r="E5" s="38" t="s">
        <v>1306</v>
      </c>
      <c r="F5" s="39" t="s">
        <v>1307</v>
      </c>
      <c r="G5" s="39">
        <v>12</v>
      </c>
      <c r="H5" s="39"/>
      <c r="I5" s="40" t="s">
        <v>263</v>
      </c>
      <c r="J5" s="41">
        <v>1</v>
      </c>
      <c r="K5" s="41">
        <v>1434</v>
      </c>
      <c r="L5" s="41"/>
      <c r="M5" s="42">
        <v>3000</v>
      </c>
      <c r="N5" s="42">
        <v>3361</v>
      </c>
      <c r="O5" s="43">
        <v>1434</v>
      </c>
      <c r="P5" s="44">
        <v>3000</v>
      </c>
      <c r="Q5" s="44">
        <v>3361</v>
      </c>
      <c r="R5" s="45">
        <v>1972.32</v>
      </c>
      <c r="S5" s="46">
        <v>0</v>
      </c>
      <c r="T5" s="39">
        <f t="shared" ref="T5:T24" si="0">G5+H5</f>
        <v>12</v>
      </c>
      <c r="U5" s="47">
        <f t="shared" ref="U5:U24" si="1">(O5/$A$10)*T5</f>
        <v>9.959491815888305E-2</v>
      </c>
      <c r="V5" s="48">
        <f t="shared" ref="V5:V24" si="2">N5-M5</f>
        <v>361</v>
      </c>
      <c r="W5" s="49">
        <f t="shared" ref="W5:W24" si="3">(O5/A$10)</f>
        <v>8.2995765132402536E-3</v>
      </c>
      <c r="X5" s="44">
        <f t="shared" ref="X5:X24" si="4">W5*A$8</f>
        <v>2594.9477505195914</v>
      </c>
      <c r="Y5" s="44">
        <f t="shared" ref="Y5:Y24" si="5">Q5-P5</f>
        <v>361</v>
      </c>
      <c r="Z5" s="44">
        <f t="shared" ref="Z5:Z24" si="6">X5+(A$6*W5)</f>
        <v>9364.8208510364893</v>
      </c>
      <c r="AA5" s="50">
        <f t="shared" ref="AA5:AA24" si="7">Q5+X5</f>
        <v>5955.9477505195919</v>
      </c>
      <c r="AB5" s="51">
        <f t="shared" ref="AB5:AB24" si="8">Z5/(1+GasDiscountRate)^1</f>
        <v>8768.558849285102</v>
      </c>
      <c r="AC5" s="44">
        <f t="shared" ref="AC5:AC24" si="9">AA5/(1+GasDiscountRate)^1</f>
        <v>5576.7301034827633</v>
      </c>
      <c r="AD5" s="44">
        <f t="shared" ref="AD5:AD24" si="10">-PV(GasDiscountRate,T5,R5)*J5</f>
        <v>15833.867105546804</v>
      </c>
      <c r="AE5" s="44">
        <v>0</v>
      </c>
      <c r="AF5" s="52">
        <f>HLOOKUP(I5,GasAvoidedCostsWOCC!$A$5:$G$50,G5+1,FALSE)</f>
        <v>8.3277384738044908</v>
      </c>
      <c r="AG5" s="44">
        <f t="shared" ref="AG5:AG24" si="11">AF5*J5*K5</f>
        <v>11941.976971435641</v>
      </c>
      <c r="AH5" s="52">
        <f>HLOOKUP(I5,GasAvoidedCostsWOCC!$A$5:$Q$50,T5+1,FALSE)</f>
        <v>8.3277384738044908</v>
      </c>
      <c r="AI5" s="44">
        <f t="shared" ref="AI5:AI24" si="12">AH5*J5*L5</f>
        <v>0</v>
      </c>
      <c r="AJ5" s="44">
        <f>AG5+AI5</f>
        <v>11941.976971435641</v>
      </c>
      <c r="AK5" s="44">
        <f>HLOOKUP(I5,GasAvoidedCostsWOCC!$A$5:$Q$50,G5+1,FALSE)*J5*L5</f>
        <v>0</v>
      </c>
      <c r="AL5" s="44">
        <f>AG5+AI5-AK5</f>
        <v>11941.976971435641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11941.976971435641</v>
      </c>
      <c r="AN5" s="48">
        <f>AM5*1.1+AD5+AE5</f>
        <v>28970.04177412601</v>
      </c>
      <c r="AO5" s="47">
        <f>IFERROR(AM5/AB5,0)</f>
        <v>1.3619087442640891</v>
      </c>
      <c r="AP5" s="47">
        <f>AN5/AC5</f>
        <v>5.1948079316289171</v>
      </c>
    </row>
    <row r="6" spans="1:42" ht="13.5" customHeight="1" x14ac:dyDescent="0.35">
      <c r="A6" s="53">
        <f>SUMIF('Program Costs'!D:D,C2,'Program Costs'!L:L)</f>
        <v>815688.98</v>
      </c>
      <c r="B6" s="97" t="s">
        <v>31</v>
      </c>
      <c r="C6" s="98">
        <v>18231027</v>
      </c>
      <c r="D6" s="61" t="s">
        <v>155</v>
      </c>
      <c r="E6" s="38" t="s">
        <v>1308</v>
      </c>
      <c r="F6" s="39" t="s">
        <v>1309</v>
      </c>
      <c r="G6" s="39">
        <v>12</v>
      </c>
      <c r="H6" s="39"/>
      <c r="I6" s="40" t="s">
        <v>263</v>
      </c>
      <c r="J6" s="41">
        <v>84</v>
      </c>
      <c r="K6" s="41">
        <v>519</v>
      </c>
      <c r="L6" s="41"/>
      <c r="M6" s="42">
        <v>1000</v>
      </c>
      <c r="N6" s="42">
        <v>1192</v>
      </c>
      <c r="O6" s="43">
        <v>43596</v>
      </c>
      <c r="P6" s="44">
        <v>84000</v>
      </c>
      <c r="Q6" s="44">
        <v>100128</v>
      </c>
      <c r="R6" s="45">
        <v>1357</v>
      </c>
      <c r="S6" s="46">
        <v>0</v>
      </c>
      <c r="T6" s="39">
        <f t="shared" si="0"/>
        <v>12</v>
      </c>
      <c r="U6" s="47">
        <f t="shared" si="1"/>
        <v>3.0278521980855411</v>
      </c>
      <c r="V6" s="48">
        <f t="shared" si="2"/>
        <v>192</v>
      </c>
      <c r="W6" s="49">
        <f t="shared" si="3"/>
        <v>0.2523210165071284</v>
      </c>
      <c r="X6" s="44">
        <f t="shared" si="4"/>
        <v>78890.75462458306</v>
      </c>
      <c r="Y6" s="44">
        <f t="shared" si="5"/>
        <v>16128</v>
      </c>
      <c r="Z6" s="44">
        <f t="shared" si="6"/>
        <v>284706.22721184581</v>
      </c>
      <c r="AA6" s="50">
        <f t="shared" si="7"/>
        <v>179018.75462458306</v>
      </c>
      <c r="AB6" s="51">
        <f t="shared" si="8"/>
        <v>266578.86443056719</v>
      </c>
      <c r="AC6" s="44">
        <f t="shared" si="9"/>
        <v>167620.55676459087</v>
      </c>
      <c r="AD6" s="44">
        <f t="shared" si="10"/>
        <v>915100.41150881653</v>
      </c>
      <c r="AE6" s="44">
        <v>0</v>
      </c>
      <c r="AF6" s="52">
        <f>HLOOKUP(I6,GasAvoidedCostsWOCC!$A$5:$G$50,G6+1,FALSE)</f>
        <v>8.3277384738044908</v>
      </c>
      <c r="AG6" s="44">
        <f t="shared" si="11"/>
        <v>363056.08650398062</v>
      </c>
      <c r="AH6" s="52">
        <f>HLOOKUP(I6,GasAvoidedCostsWOCC!$A$5:$Q$50,T6+1,FALSE)</f>
        <v>8.3277384738044908</v>
      </c>
      <c r="AI6" s="44">
        <f t="shared" si="12"/>
        <v>0</v>
      </c>
      <c r="AJ6" s="44">
        <f t="shared" ref="AJ6:AJ24" si="13">AG6+AI6</f>
        <v>363056.08650398062</v>
      </c>
      <c r="AK6" s="44">
        <f>HLOOKUP(I6,GasAvoidedCostsWOCC!$A$5:$Q$50,G6+1,FALSE)*J6*L6</f>
        <v>0</v>
      </c>
      <c r="AL6" s="44">
        <f t="shared" ref="AL6:AL24" si="14">AG6+AI6-AK6</f>
        <v>363056.08650398062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363056.08650398056</v>
      </c>
      <c r="AN6" s="48">
        <f t="shared" ref="AN6:AN24" si="15">AM6*1.1+AD6+AE6</f>
        <v>1314462.1066631952</v>
      </c>
      <c r="AO6" s="47">
        <f t="shared" ref="AO6:AO24" si="16">IFERROR(AM6/AB6,0)</f>
        <v>1.3619087442640889</v>
      </c>
      <c r="AP6" s="47">
        <f t="shared" ref="AP6:AP24" si="17">AN6/AC6</f>
        <v>7.8418908279206345</v>
      </c>
    </row>
    <row r="7" spans="1:42" ht="13.5" customHeight="1" x14ac:dyDescent="0.35">
      <c r="A7" s="36" t="s">
        <v>240</v>
      </c>
      <c r="B7" s="97" t="s">
        <v>31</v>
      </c>
      <c r="C7" s="98">
        <v>18231027</v>
      </c>
      <c r="D7" s="61" t="s">
        <v>155</v>
      </c>
      <c r="E7" s="38" t="s">
        <v>1312</v>
      </c>
      <c r="F7" s="39" t="s">
        <v>1313</v>
      </c>
      <c r="G7" s="39">
        <v>15</v>
      </c>
      <c r="H7" s="39"/>
      <c r="I7" s="40" t="s">
        <v>266</v>
      </c>
      <c r="J7" s="41">
        <v>1</v>
      </c>
      <c r="K7" s="41">
        <v>366</v>
      </c>
      <c r="L7" s="41"/>
      <c r="M7" s="42">
        <v>1800</v>
      </c>
      <c r="N7" s="42">
        <v>2304.98</v>
      </c>
      <c r="O7" s="43">
        <v>366</v>
      </c>
      <c r="P7" s="44">
        <v>1800</v>
      </c>
      <c r="Q7" s="44">
        <v>2304.98</v>
      </c>
      <c r="R7" s="45">
        <v>0</v>
      </c>
      <c r="S7" s="46">
        <v>0</v>
      </c>
      <c r="T7" s="39">
        <f t="shared" si="0"/>
        <v>15</v>
      </c>
      <c r="U7" s="47">
        <f t="shared" si="1"/>
        <v>3.1774529328932356E-2</v>
      </c>
      <c r="V7" s="48">
        <f t="shared" si="2"/>
        <v>504.98</v>
      </c>
      <c r="W7" s="49">
        <f t="shared" si="3"/>
        <v>2.1183019552621571E-3</v>
      </c>
      <c r="X7" s="44">
        <f t="shared" si="4"/>
        <v>662.30884009077442</v>
      </c>
      <c r="Y7" s="44">
        <f t="shared" si="5"/>
        <v>504.98</v>
      </c>
      <c r="Z7" s="44">
        <f t="shared" si="6"/>
        <v>2390.1844013105688</v>
      </c>
      <c r="AA7" s="50">
        <f t="shared" si="7"/>
        <v>2967.2888400907746</v>
      </c>
      <c r="AB7" s="51">
        <f t="shared" si="8"/>
        <v>2238.0003757589593</v>
      </c>
      <c r="AC7" s="44">
        <f t="shared" si="9"/>
        <v>2778.3603371636464</v>
      </c>
      <c r="AD7" s="44">
        <f t="shared" si="10"/>
        <v>0</v>
      </c>
      <c r="AE7" s="44">
        <v>0</v>
      </c>
      <c r="AF7" s="52">
        <f>HLOOKUP(I7,GasAvoidedCostsWOCC!$A$5:$G$50,G7+1,FALSE)</f>
        <v>11.514104422634107</v>
      </c>
      <c r="AG7" s="44">
        <f t="shared" si="11"/>
        <v>4214.1622186840832</v>
      </c>
      <c r="AH7" s="52">
        <f>HLOOKUP(I7,GasAvoidedCostsWOCC!$A$5:$Q$50,T7+1,FALSE)</f>
        <v>11.514104422634107</v>
      </c>
      <c r="AI7" s="44">
        <f t="shared" si="12"/>
        <v>0</v>
      </c>
      <c r="AJ7" s="44">
        <f t="shared" si="13"/>
        <v>4214.1622186840832</v>
      </c>
      <c r="AK7" s="44">
        <f>HLOOKUP(I7,GasAvoidedCostsWOCC!$A$5:$Q$50,G7+1,FALSE)*J7*L7</f>
        <v>0</v>
      </c>
      <c r="AL7" s="44">
        <f t="shared" si="14"/>
        <v>4214.1622186840832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4214.1622186840832</v>
      </c>
      <c r="AN7" s="48">
        <f t="shared" si="15"/>
        <v>4635.5784405524919</v>
      </c>
      <c r="AO7" s="47">
        <f t="shared" si="16"/>
        <v>1.8830033561790445</v>
      </c>
      <c r="AP7" s="47">
        <f t="shared" si="17"/>
        <v>1.6684583272178546</v>
      </c>
    </row>
    <row r="8" spans="1:42" ht="13.5" customHeight="1" x14ac:dyDescent="0.35">
      <c r="A8" s="53">
        <f>SUMIF('Program Costs'!D:D,C2,'Program Costs'!O:O)</f>
        <v>312660.26</v>
      </c>
      <c r="B8" s="97" t="s">
        <v>31</v>
      </c>
      <c r="C8" s="98">
        <v>18231027</v>
      </c>
      <c r="D8" s="61" t="s">
        <v>155</v>
      </c>
      <c r="E8" s="38" t="s">
        <v>1314</v>
      </c>
      <c r="F8" s="39" t="s">
        <v>1315</v>
      </c>
      <c r="G8" s="39">
        <v>15</v>
      </c>
      <c r="H8" s="39"/>
      <c r="I8" s="40" t="s">
        <v>266</v>
      </c>
      <c r="J8" s="41">
        <v>1</v>
      </c>
      <c r="K8" s="41">
        <v>854</v>
      </c>
      <c r="L8" s="41"/>
      <c r="M8" s="42">
        <v>4200</v>
      </c>
      <c r="N8" s="42">
        <v>5378.29</v>
      </c>
      <c r="O8" s="43">
        <v>854</v>
      </c>
      <c r="P8" s="44">
        <v>4200</v>
      </c>
      <c r="Q8" s="44">
        <v>5378.29</v>
      </c>
      <c r="R8" s="45">
        <v>0</v>
      </c>
      <c r="S8" s="46">
        <v>0</v>
      </c>
      <c r="T8" s="39">
        <f t="shared" si="0"/>
        <v>15</v>
      </c>
      <c r="U8" s="47">
        <f t="shared" si="1"/>
        <v>7.4140568434175491E-2</v>
      </c>
      <c r="V8" s="48">
        <f t="shared" si="2"/>
        <v>1178.29</v>
      </c>
      <c r="W8" s="49">
        <f t="shared" si="3"/>
        <v>4.9427045622783662E-3</v>
      </c>
      <c r="X8" s="44">
        <f t="shared" si="4"/>
        <v>1545.3872935451402</v>
      </c>
      <c r="Y8" s="44">
        <f t="shared" si="5"/>
        <v>1178.29</v>
      </c>
      <c r="Z8" s="44">
        <f t="shared" si="6"/>
        <v>5577.0969363913273</v>
      </c>
      <c r="AA8" s="50">
        <f t="shared" si="7"/>
        <v>6923.6772935451399</v>
      </c>
      <c r="AB8" s="51">
        <f t="shared" si="8"/>
        <v>5222.0008767709051</v>
      </c>
      <c r="AC8" s="44">
        <f t="shared" si="9"/>
        <v>6482.8439078138008</v>
      </c>
      <c r="AD8" s="44">
        <f t="shared" si="10"/>
        <v>0</v>
      </c>
      <c r="AE8" s="44">
        <v>0</v>
      </c>
      <c r="AF8" s="52">
        <f>HLOOKUP(I8,GasAvoidedCostsWOCC!$A$5:$G$50,G8+1,FALSE)</f>
        <v>11.514104422634107</v>
      </c>
      <c r="AG8" s="44">
        <f t="shared" si="11"/>
        <v>9833.0451769295269</v>
      </c>
      <c r="AH8" s="52">
        <f>HLOOKUP(I8,GasAvoidedCostsWOCC!$A$5:$Q$50,T8+1,FALSE)</f>
        <v>11.514104422634107</v>
      </c>
      <c r="AI8" s="44">
        <f t="shared" si="12"/>
        <v>0</v>
      </c>
      <c r="AJ8" s="44">
        <f t="shared" si="13"/>
        <v>9833.0451769295269</v>
      </c>
      <c r="AK8" s="44">
        <f>HLOOKUP(I8,GasAvoidedCostsWOCC!$A$5:$Q$50,G8+1,FALSE)*J8*L8</f>
        <v>0</v>
      </c>
      <c r="AL8" s="44">
        <f t="shared" si="14"/>
        <v>9833.0451769295269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9833.0451769295269</v>
      </c>
      <c r="AN8" s="48">
        <f t="shared" si="15"/>
        <v>10816.34969462248</v>
      </c>
      <c r="AO8" s="47">
        <f t="shared" si="16"/>
        <v>1.8830033561790445</v>
      </c>
      <c r="AP8" s="47">
        <f t="shared" si="17"/>
        <v>1.6684575239557264</v>
      </c>
    </row>
    <row r="9" spans="1:42" ht="13.5" customHeight="1" x14ac:dyDescent="0.35">
      <c r="A9" s="36" t="s">
        <v>305</v>
      </c>
      <c r="B9" s="97" t="s">
        <v>31</v>
      </c>
      <c r="C9" s="98">
        <v>18231027</v>
      </c>
      <c r="D9" s="61" t="s">
        <v>155</v>
      </c>
      <c r="E9" s="38" t="s">
        <v>1316</v>
      </c>
      <c r="F9" s="39" t="s">
        <v>1317</v>
      </c>
      <c r="G9" s="39">
        <v>15</v>
      </c>
      <c r="H9" s="39"/>
      <c r="I9" s="40" t="s">
        <v>266</v>
      </c>
      <c r="J9" s="41">
        <v>1</v>
      </c>
      <c r="K9" s="41">
        <v>1830</v>
      </c>
      <c r="L9" s="41"/>
      <c r="M9" s="42">
        <v>9000</v>
      </c>
      <c r="N9" s="42">
        <v>11111.45</v>
      </c>
      <c r="O9" s="43">
        <v>1830</v>
      </c>
      <c r="P9" s="44">
        <v>9000</v>
      </c>
      <c r="Q9" s="44">
        <v>11111.45</v>
      </c>
      <c r="R9" s="45">
        <v>0</v>
      </c>
      <c r="S9" s="46">
        <v>0</v>
      </c>
      <c r="T9" s="39">
        <f t="shared" si="0"/>
        <v>15</v>
      </c>
      <c r="U9" s="47">
        <f t="shared" si="1"/>
        <v>0.15887264664466177</v>
      </c>
      <c r="V9" s="48">
        <f t="shared" si="2"/>
        <v>2111.4500000000007</v>
      </c>
      <c r="W9" s="49">
        <f t="shared" si="3"/>
        <v>1.0591509776310785E-2</v>
      </c>
      <c r="X9" s="44">
        <f t="shared" si="4"/>
        <v>3311.5442004538722</v>
      </c>
      <c r="Y9" s="44">
        <f t="shared" si="5"/>
        <v>2111.4500000000007</v>
      </c>
      <c r="Z9" s="44">
        <f t="shared" si="6"/>
        <v>11950.922006552844</v>
      </c>
      <c r="AA9" s="50">
        <f t="shared" si="7"/>
        <v>14422.994200453873</v>
      </c>
      <c r="AB9" s="51">
        <f t="shared" si="8"/>
        <v>11190.001878794797</v>
      </c>
      <c r="AC9" s="44">
        <f t="shared" si="9"/>
        <v>13504.676217653439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11.514104422634107</v>
      </c>
      <c r="AG9" s="44">
        <f t="shared" si="11"/>
        <v>21070.811093420416</v>
      </c>
      <c r="AH9" s="52">
        <f>HLOOKUP(I9,GasAvoidedCostsWOCC!$A$5:$Q$50,T9+1,FALSE)</f>
        <v>11.514104422634107</v>
      </c>
      <c r="AI9" s="44">
        <f t="shared" si="12"/>
        <v>0</v>
      </c>
      <c r="AJ9" s="44">
        <f t="shared" si="13"/>
        <v>21070.811093420416</v>
      </c>
      <c r="AK9" s="44">
        <f>HLOOKUP(I9,GasAvoidedCostsWOCC!$A$5:$Q$50,G9+1,FALSE)*J9*L9</f>
        <v>0</v>
      </c>
      <c r="AL9" s="44">
        <f t="shared" si="14"/>
        <v>21070.811093420416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21070.811093420416</v>
      </c>
      <c r="AN9" s="48">
        <f t="shared" si="15"/>
        <v>23177.892202762461</v>
      </c>
      <c r="AO9" s="47">
        <f t="shared" si="16"/>
        <v>1.8830033561790445</v>
      </c>
      <c r="AP9" s="47">
        <f t="shared" si="17"/>
        <v>1.7162864054796148</v>
      </c>
    </row>
    <row r="10" spans="1:42" ht="13.5" customHeight="1" x14ac:dyDescent="0.35">
      <c r="A10" s="54">
        <f>SUM(O5:O999)</f>
        <v>172779.90000000002</v>
      </c>
      <c r="B10" s="97" t="s">
        <v>31</v>
      </c>
      <c r="C10" s="98">
        <v>18231027</v>
      </c>
      <c r="D10" s="61" t="s">
        <v>155</v>
      </c>
      <c r="E10" s="38" t="s">
        <v>1318</v>
      </c>
      <c r="F10" s="39" t="s">
        <v>1319</v>
      </c>
      <c r="G10" s="39">
        <v>15</v>
      </c>
      <c r="H10" s="39"/>
      <c r="I10" s="40" t="s">
        <v>266</v>
      </c>
      <c r="J10" s="41">
        <v>1</v>
      </c>
      <c r="K10" s="41">
        <v>244</v>
      </c>
      <c r="L10" s="41"/>
      <c r="M10" s="42">
        <v>1200</v>
      </c>
      <c r="N10" s="42">
        <v>1536.65</v>
      </c>
      <c r="O10" s="43">
        <v>244</v>
      </c>
      <c r="P10" s="44">
        <v>1200</v>
      </c>
      <c r="Q10" s="44">
        <v>1536.65</v>
      </c>
      <c r="R10" s="45">
        <v>0</v>
      </c>
      <c r="S10" s="46">
        <v>0</v>
      </c>
      <c r="T10" s="39">
        <f t="shared" si="0"/>
        <v>15</v>
      </c>
      <c r="U10" s="47">
        <f t="shared" si="1"/>
        <v>2.1183019552621567E-2</v>
      </c>
      <c r="V10" s="48">
        <f t="shared" si="2"/>
        <v>336.65000000000009</v>
      </c>
      <c r="W10" s="49">
        <f t="shared" si="3"/>
        <v>1.4122013035081046E-3</v>
      </c>
      <c r="X10" s="44">
        <f t="shared" si="4"/>
        <v>441.53922672718289</v>
      </c>
      <c r="Y10" s="44">
        <f t="shared" si="5"/>
        <v>336.65000000000009</v>
      </c>
      <c r="Z10" s="44">
        <f t="shared" si="6"/>
        <v>1593.4562675403793</v>
      </c>
      <c r="AA10" s="50">
        <f t="shared" si="7"/>
        <v>1978.189226727183</v>
      </c>
      <c r="AB10" s="51">
        <f t="shared" si="8"/>
        <v>1492.0002505059731</v>
      </c>
      <c r="AC10" s="44">
        <f t="shared" si="9"/>
        <v>1852.2371036771376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11.514104422634107</v>
      </c>
      <c r="AG10" s="44">
        <f t="shared" si="11"/>
        <v>2809.4414791227223</v>
      </c>
      <c r="AH10" s="52">
        <f>HLOOKUP(I10,GasAvoidedCostsWOCC!$A$5:$Q$50,T10+1,FALSE)</f>
        <v>11.514104422634107</v>
      </c>
      <c r="AI10" s="44">
        <f t="shared" si="12"/>
        <v>0</v>
      </c>
      <c r="AJ10" s="44">
        <f t="shared" si="13"/>
        <v>2809.4414791227223</v>
      </c>
      <c r="AK10" s="44">
        <f>HLOOKUP(I10,GasAvoidedCostsWOCC!$A$5:$Q$50,G10+1,FALSE)*J10*L10</f>
        <v>0</v>
      </c>
      <c r="AL10" s="44">
        <f t="shared" si="14"/>
        <v>2809.4414791227223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2809.4414791227223</v>
      </c>
      <c r="AN10" s="48">
        <f t="shared" si="15"/>
        <v>3090.3856270349947</v>
      </c>
      <c r="AO10" s="47">
        <f t="shared" si="16"/>
        <v>1.8830033561790445</v>
      </c>
      <c r="AP10" s="47">
        <f t="shared" si="17"/>
        <v>1.6684611386413939</v>
      </c>
    </row>
    <row r="11" spans="1:42" ht="13.5" customHeight="1" x14ac:dyDescent="0.35">
      <c r="A11" s="36" t="s">
        <v>243</v>
      </c>
      <c r="B11" s="97" t="s">
        <v>31</v>
      </c>
      <c r="C11" s="98">
        <v>18231027</v>
      </c>
      <c r="D11" s="61" t="s">
        <v>155</v>
      </c>
      <c r="E11" s="38" t="s">
        <v>1320</v>
      </c>
      <c r="F11" s="39" t="s">
        <v>1321</v>
      </c>
      <c r="G11" s="39">
        <v>15</v>
      </c>
      <c r="H11" s="39"/>
      <c r="I11" s="40" t="s">
        <v>266</v>
      </c>
      <c r="J11" s="41">
        <v>1</v>
      </c>
      <c r="K11" s="41">
        <v>366</v>
      </c>
      <c r="L11" s="41"/>
      <c r="M11" s="42">
        <v>1800</v>
      </c>
      <c r="N11" s="42">
        <v>2304.98</v>
      </c>
      <c r="O11" s="43">
        <v>366</v>
      </c>
      <c r="P11" s="44">
        <v>1800</v>
      </c>
      <c r="Q11" s="44">
        <v>2304.98</v>
      </c>
      <c r="R11" s="45">
        <v>0</v>
      </c>
      <c r="S11" s="46">
        <v>0</v>
      </c>
      <c r="T11" s="39">
        <f t="shared" si="0"/>
        <v>15</v>
      </c>
      <c r="U11" s="47">
        <f t="shared" si="1"/>
        <v>3.1774529328932356E-2</v>
      </c>
      <c r="V11" s="48">
        <f t="shared" si="2"/>
        <v>504.98</v>
      </c>
      <c r="W11" s="49">
        <f t="shared" si="3"/>
        <v>2.1183019552621571E-3</v>
      </c>
      <c r="X11" s="44">
        <f t="shared" si="4"/>
        <v>662.30884009077442</v>
      </c>
      <c r="Y11" s="44">
        <f t="shared" si="5"/>
        <v>504.98</v>
      </c>
      <c r="Z11" s="44">
        <f t="shared" si="6"/>
        <v>2390.1844013105688</v>
      </c>
      <c r="AA11" s="50">
        <f t="shared" si="7"/>
        <v>2967.2888400907746</v>
      </c>
      <c r="AB11" s="51">
        <f t="shared" si="8"/>
        <v>2238.0003757589593</v>
      </c>
      <c r="AC11" s="44">
        <f t="shared" si="9"/>
        <v>2778.3603371636464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11.514104422634107</v>
      </c>
      <c r="AG11" s="44">
        <f t="shared" si="11"/>
        <v>4214.1622186840832</v>
      </c>
      <c r="AH11" s="52">
        <f>HLOOKUP(I11,GasAvoidedCostsWOCC!$A$5:$Q$50,T11+1,FALSE)</f>
        <v>11.514104422634107</v>
      </c>
      <c r="AI11" s="44">
        <f t="shared" si="12"/>
        <v>0</v>
      </c>
      <c r="AJ11" s="44">
        <f t="shared" si="13"/>
        <v>4214.1622186840832</v>
      </c>
      <c r="AK11" s="44">
        <f>HLOOKUP(I11,GasAvoidedCostsWOCC!$A$5:$Q$50,G11+1,FALSE)*J11*L11</f>
        <v>0</v>
      </c>
      <c r="AL11" s="44">
        <f t="shared" si="14"/>
        <v>4214.1622186840832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4214.1622186840832</v>
      </c>
      <c r="AN11" s="48">
        <f t="shared" si="15"/>
        <v>4635.5784405524919</v>
      </c>
      <c r="AO11" s="47">
        <f t="shared" si="16"/>
        <v>1.8830033561790445</v>
      </c>
      <c r="AP11" s="47">
        <f t="shared" si="17"/>
        <v>1.6684583272178546</v>
      </c>
    </row>
    <row r="12" spans="1:42" ht="13.5" customHeight="1" x14ac:dyDescent="0.35">
      <c r="A12" s="55">
        <f>SUM(P5:P1000)</f>
        <v>551730</v>
      </c>
      <c r="B12" s="97" t="s">
        <v>31</v>
      </c>
      <c r="C12" s="98">
        <v>18231027</v>
      </c>
      <c r="D12" s="61" t="s">
        <v>155</v>
      </c>
      <c r="E12" s="38" t="s">
        <v>1322</v>
      </c>
      <c r="F12" s="39" t="s">
        <v>1323</v>
      </c>
      <c r="G12" s="39">
        <v>15</v>
      </c>
      <c r="H12" s="39"/>
      <c r="I12" s="40" t="s">
        <v>266</v>
      </c>
      <c r="J12" s="41">
        <v>2</v>
      </c>
      <c r="K12" s="41">
        <v>488</v>
      </c>
      <c r="L12" s="41"/>
      <c r="M12" s="42">
        <v>2400</v>
      </c>
      <c r="N12" s="42">
        <v>3073.31</v>
      </c>
      <c r="O12" s="43">
        <v>976</v>
      </c>
      <c r="P12" s="44">
        <v>4800</v>
      </c>
      <c r="Q12" s="44">
        <v>6146.62</v>
      </c>
      <c r="R12" s="45">
        <v>0</v>
      </c>
      <c r="S12" s="46">
        <v>0</v>
      </c>
      <c r="T12" s="39">
        <f t="shared" si="0"/>
        <v>15</v>
      </c>
      <c r="U12" s="47">
        <f t="shared" si="1"/>
        <v>8.473207821048627E-2</v>
      </c>
      <c r="V12" s="48">
        <f t="shared" si="2"/>
        <v>673.31</v>
      </c>
      <c r="W12" s="49">
        <f t="shared" si="3"/>
        <v>5.6488052140324183E-3</v>
      </c>
      <c r="X12" s="44">
        <f t="shared" si="4"/>
        <v>1766.1569069087316</v>
      </c>
      <c r="Y12" s="44">
        <f t="shared" si="5"/>
        <v>1346.62</v>
      </c>
      <c r="Z12" s="44">
        <f t="shared" si="6"/>
        <v>6373.825070161517</v>
      </c>
      <c r="AA12" s="50">
        <f t="shared" si="7"/>
        <v>7912.7769069087317</v>
      </c>
      <c r="AB12" s="51">
        <f t="shared" si="8"/>
        <v>5968.0010020238924</v>
      </c>
      <c r="AC12" s="44">
        <f t="shared" si="9"/>
        <v>7408.9671413003098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11.514104422634107</v>
      </c>
      <c r="AG12" s="44">
        <f t="shared" si="11"/>
        <v>11237.765916490889</v>
      </c>
      <c r="AH12" s="52">
        <f>HLOOKUP(I12,GasAvoidedCostsWOCC!$A$5:$Q$50,T12+1,FALSE)</f>
        <v>11.514104422634107</v>
      </c>
      <c r="AI12" s="44">
        <f t="shared" si="12"/>
        <v>0</v>
      </c>
      <c r="AJ12" s="44">
        <f t="shared" si="13"/>
        <v>11237.765916490889</v>
      </c>
      <c r="AK12" s="44">
        <f>HLOOKUP(I12,GasAvoidedCostsWOCC!$A$5:$Q$50,G12+1,FALSE)*J12*L12</f>
        <v>0</v>
      </c>
      <c r="AL12" s="44">
        <f t="shared" si="14"/>
        <v>11237.765916490889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11237.765916490889</v>
      </c>
      <c r="AN12" s="48">
        <f t="shared" si="15"/>
        <v>12361.542508139979</v>
      </c>
      <c r="AO12" s="47">
        <f t="shared" si="16"/>
        <v>1.8830033561790445</v>
      </c>
      <c r="AP12" s="47">
        <f t="shared" si="17"/>
        <v>1.6684569215096381</v>
      </c>
    </row>
    <row r="13" spans="1:42" ht="13.5" customHeight="1" x14ac:dyDescent="0.35">
      <c r="A13" s="56" t="s">
        <v>246</v>
      </c>
      <c r="B13" s="97" t="s">
        <v>31</v>
      </c>
      <c r="C13" s="98">
        <v>18231027</v>
      </c>
      <c r="D13" s="61" t="s">
        <v>155</v>
      </c>
      <c r="E13" s="38" t="s">
        <v>1324</v>
      </c>
      <c r="F13" s="39" t="s">
        <v>1325</v>
      </c>
      <c r="G13" s="39">
        <v>15</v>
      </c>
      <c r="H13" s="39"/>
      <c r="I13" s="40" t="s">
        <v>266</v>
      </c>
      <c r="J13" s="41">
        <v>1</v>
      </c>
      <c r="K13" s="41">
        <v>1220</v>
      </c>
      <c r="L13" s="41"/>
      <c r="M13" s="42">
        <v>6000</v>
      </c>
      <c r="N13" s="42">
        <v>7683.27</v>
      </c>
      <c r="O13" s="43">
        <v>1220</v>
      </c>
      <c r="P13" s="44">
        <v>6000</v>
      </c>
      <c r="Q13" s="44">
        <v>7683.27</v>
      </c>
      <c r="R13" s="45">
        <v>0</v>
      </c>
      <c r="S13" s="46">
        <v>0</v>
      </c>
      <c r="T13" s="39">
        <f t="shared" si="0"/>
        <v>15</v>
      </c>
      <c r="U13" s="47">
        <f t="shared" si="1"/>
        <v>0.10591509776310785</v>
      </c>
      <c r="V13" s="48">
        <f t="shared" si="2"/>
        <v>1683.2700000000004</v>
      </c>
      <c r="W13" s="49">
        <f t="shared" si="3"/>
        <v>7.0610065175405233E-3</v>
      </c>
      <c r="X13" s="44">
        <f t="shared" si="4"/>
        <v>2207.6961336359145</v>
      </c>
      <c r="Y13" s="44">
        <f t="shared" si="5"/>
        <v>1683.2700000000004</v>
      </c>
      <c r="Z13" s="44">
        <f t="shared" si="6"/>
        <v>7967.2813377018956</v>
      </c>
      <c r="AA13" s="50">
        <f t="shared" si="7"/>
        <v>9890.966133635915</v>
      </c>
      <c r="AB13" s="51">
        <f t="shared" si="8"/>
        <v>7460.0012525298644</v>
      </c>
      <c r="AC13" s="44">
        <f t="shared" si="9"/>
        <v>9261.2042449774472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11.514104422634107</v>
      </c>
      <c r="AG13" s="44">
        <f t="shared" si="11"/>
        <v>14047.20739561361</v>
      </c>
      <c r="AH13" s="52">
        <f>HLOOKUP(I13,GasAvoidedCostsWOCC!$A$5:$Q$50,T13+1,FALSE)</f>
        <v>11.514104422634107</v>
      </c>
      <c r="AI13" s="44">
        <f t="shared" si="12"/>
        <v>0</v>
      </c>
      <c r="AJ13" s="44">
        <f t="shared" si="13"/>
        <v>14047.20739561361</v>
      </c>
      <c r="AK13" s="44">
        <f>HLOOKUP(I13,GasAvoidedCostsWOCC!$A$5:$Q$50,G13+1,FALSE)*J13*L13</f>
        <v>0</v>
      </c>
      <c r="AL13" s="44">
        <f t="shared" si="14"/>
        <v>14047.20739561361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14047.20739561361</v>
      </c>
      <c r="AN13" s="48">
        <f t="shared" si="15"/>
        <v>15451.928135174972</v>
      </c>
      <c r="AO13" s="47">
        <f t="shared" si="16"/>
        <v>1.8830033561790445</v>
      </c>
      <c r="AP13" s="47">
        <f t="shared" si="17"/>
        <v>1.6684577649342838</v>
      </c>
    </row>
    <row r="14" spans="1:42" ht="13.5" customHeight="1" x14ac:dyDescent="0.35">
      <c r="A14" s="55">
        <f>SUM(Y5:Y1000)</f>
        <v>-33684.76</v>
      </c>
      <c r="B14" s="97" t="s">
        <v>31</v>
      </c>
      <c r="C14" s="98">
        <v>18231027</v>
      </c>
      <c r="D14" s="61" t="s">
        <v>155</v>
      </c>
      <c r="E14" s="38" t="s">
        <v>1326</v>
      </c>
      <c r="F14" s="39" t="s">
        <v>1327</v>
      </c>
      <c r="G14" s="39">
        <v>15</v>
      </c>
      <c r="H14" s="39"/>
      <c r="I14" s="40" t="s">
        <v>266</v>
      </c>
      <c r="J14" s="41">
        <v>1</v>
      </c>
      <c r="K14" s="41">
        <v>3416</v>
      </c>
      <c r="L14" s="41"/>
      <c r="M14" s="42">
        <v>16800</v>
      </c>
      <c r="N14" s="42">
        <v>21513.16</v>
      </c>
      <c r="O14" s="43">
        <v>3416</v>
      </c>
      <c r="P14" s="44">
        <v>16800</v>
      </c>
      <c r="Q14" s="44">
        <v>21513.16</v>
      </c>
      <c r="R14" s="45">
        <v>0</v>
      </c>
      <c r="S14" s="46">
        <v>0</v>
      </c>
      <c r="T14" s="39">
        <f t="shared" si="0"/>
        <v>15</v>
      </c>
      <c r="U14" s="47">
        <f t="shared" si="1"/>
        <v>0.29656227373670196</v>
      </c>
      <c r="V14" s="48">
        <f t="shared" si="2"/>
        <v>4713.16</v>
      </c>
      <c r="W14" s="49">
        <f t="shared" si="3"/>
        <v>1.9770818249113465E-2</v>
      </c>
      <c r="X14" s="44">
        <f t="shared" si="4"/>
        <v>6181.5491741805608</v>
      </c>
      <c r="Y14" s="44">
        <f t="shared" si="5"/>
        <v>4713.16</v>
      </c>
      <c r="Z14" s="44">
        <f t="shared" si="6"/>
        <v>22308.387745565309</v>
      </c>
      <c r="AA14" s="50">
        <f t="shared" si="7"/>
        <v>27694.70917418056</v>
      </c>
      <c r="AB14" s="51">
        <f t="shared" si="8"/>
        <v>20888.00350708362</v>
      </c>
      <c r="AC14" s="44">
        <f t="shared" si="9"/>
        <v>25931.375631255203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11.514104422634107</v>
      </c>
      <c r="AG14" s="44">
        <f t="shared" si="11"/>
        <v>39332.180707718107</v>
      </c>
      <c r="AH14" s="52">
        <f>HLOOKUP(I14,GasAvoidedCostsWOCC!$A$5:$Q$50,T14+1,FALSE)</f>
        <v>11.514104422634107</v>
      </c>
      <c r="AI14" s="44">
        <f t="shared" si="12"/>
        <v>0</v>
      </c>
      <c r="AJ14" s="44">
        <f t="shared" si="13"/>
        <v>39332.180707718107</v>
      </c>
      <c r="AK14" s="44">
        <f>HLOOKUP(I14,GasAvoidedCostsWOCC!$A$5:$Q$50,G14+1,FALSE)*J14*L14</f>
        <v>0</v>
      </c>
      <c r="AL14" s="44">
        <f t="shared" si="14"/>
        <v>39332.180707718107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39332.180707718107</v>
      </c>
      <c r="AN14" s="48">
        <f t="shared" si="15"/>
        <v>43265.398778489922</v>
      </c>
      <c r="AO14" s="47">
        <f t="shared" si="16"/>
        <v>1.8830033561790445</v>
      </c>
      <c r="AP14" s="47">
        <f t="shared" si="17"/>
        <v>1.6684575239557264</v>
      </c>
    </row>
    <row r="15" spans="1:42" ht="13.5" customHeight="1" x14ac:dyDescent="0.35">
      <c r="A15" s="57" t="s">
        <v>249</v>
      </c>
      <c r="B15" s="97" t="s">
        <v>31</v>
      </c>
      <c r="C15" s="98">
        <v>18231027</v>
      </c>
      <c r="D15" s="61" t="s">
        <v>155</v>
      </c>
      <c r="E15" s="38" t="s">
        <v>1328</v>
      </c>
      <c r="F15" s="39" t="s">
        <v>1329</v>
      </c>
      <c r="G15" s="39">
        <v>12</v>
      </c>
      <c r="H15" s="39"/>
      <c r="I15" s="40" t="s">
        <v>263</v>
      </c>
      <c r="J15" s="41">
        <v>3</v>
      </c>
      <c r="K15" s="41">
        <v>422</v>
      </c>
      <c r="L15" s="41"/>
      <c r="M15" s="42">
        <v>2200</v>
      </c>
      <c r="N15" s="42">
        <v>2230</v>
      </c>
      <c r="O15" s="43">
        <v>1266</v>
      </c>
      <c r="P15" s="44">
        <v>6600</v>
      </c>
      <c r="Q15" s="44">
        <v>6690</v>
      </c>
      <c r="R15" s="45">
        <v>0</v>
      </c>
      <c r="S15" s="46">
        <v>0</v>
      </c>
      <c r="T15" s="39">
        <f t="shared" si="0"/>
        <v>12</v>
      </c>
      <c r="U15" s="47">
        <f t="shared" si="1"/>
        <v>8.7926894274160353E-2</v>
      </c>
      <c r="V15" s="48">
        <f t="shared" si="2"/>
        <v>30</v>
      </c>
      <c r="W15" s="49">
        <f t="shared" si="3"/>
        <v>7.3272411895133624E-3</v>
      </c>
      <c r="X15" s="44">
        <f t="shared" si="4"/>
        <v>2290.9371353959573</v>
      </c>
      <c r="Y15" s="44">
        <f t="shared" si="5"/>
        <v>90</v>
      </c>
      <c r="Z15" s="44">
        <f t="shared" si="6"/>
        <v>8267.6870274840985</v>
      </c>
      <c r="AA15" s="50">
        <f t="shared" si="7"/>
        <v>8980.9371353959577</v>
      </c>
      <c r="AB15" s="51">
        <f t="shared" si="8"/>
        <v>7741.2799882809904</v>
      </c>
      <c r="AC15" s="44">
        <f t="shared" si="9"/>
        <v>8409.1171679737436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8.3277384738044908</v>
      </c>
      <c r="AG15" s="44">
        <f t="shared" si="11"/>
        <v>10542.916907836485</v>
      </c>
      <c r="AH15" s="52">
        <f>HLOOKUP(I15,GasAvoidedCostsWOCC!$A$5:$Q$50,T15+1,FALSE)</f>
        <v>8.3277384738044908</v>
      </c>
      <c r="AI15" s="44">
        <f t="shared" si="12"/>
        <v>0</v>
      </c>
      <c r="AJ15" s="44">
        <f t="shared" si="13"/>
        <v>10542.916907836485</v>
      </c>
      <c r="AK15" s="44">
        <f>HLOOKUP(I15,GasAvoidedCostsWOCC!$A$5:$Q$50,G15+1,FALSE)*J15*L15</f>
        <v>0</v>
      </c>
      <c r="AL15" s="44">
        <f t="shared" si="14"/>
        <v>10542.916907836485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10542.916907836485</v>
      </c>
      <c r="AN15" s="48">
        <f t="shared" si="15"/>
        <v>11597.208598620135</v>
      </c>
      <c r="AO15" s="47">
        <f t="shared" si="16"/>
        <v>1.3619087442640889</v>
      </c>
      <c r="AP15" s="47">
        <f t="shared" si="17"/>
        <v>1.3791232024674704</v>
      </c>
    </row>
    <row r="16" spans="1:42" ht="13.5" customHeight="1" x14ac:dyDescent="0.35">
      <c r="A16" s="54">
        <f>SUM(U5:U999)</f>
        <v>12.398568583498427</v>
      </c>
      <c r="B16" s="97" t="s">
        <v>31</v>
      </c>
      <c r="C16" s="98">
        <v>18231027</v>
      </c>
      <c r="D16" s="61" t="s">
        <v>155</v>
      </c>
      <c r="E16" s="38" t="s">
        <v>1334</v>
      </c>
      <c r="F16" s="39" t="s">
        <v>1335</v>
      </c>
      <c r="G16" s="39"/>
      <c r="H16" s="39"/>
      <c r="I16" s="40"/>
      <c r="J16" s="41">
        <v>6</v>
      </c>
      <c r="K16" s="41">
        <v>0</v>
      </c>
      <c r="L16" s="41"/>
      <c r="M16" s="42">
        <v>25</v>
      </c>
      <c r="N16" s="42">
        <v>0</v>
      </c>
      <c r="O16" s="43">
        <v>0</v>
      </c>
      <c r="P16" s="44">
        <v>150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-25</v>
      </c>
      <c r="W16" s="49">
        <f t="shared" si="3"/>
        <v>0</v>
      </c>
      <c r="X16" s="44">
        <f t="shared" si="4"/>
        <v>0</v>
      </c>
      <c r="Y16" s="44">
        <f t="shared" si="5"/>
        <v>-150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97" t="s">
        <v>31</v>
      </c>
      <c r="C17" s="98">
        <v>18231027</v>
      </c>
      <c r="D17" s="61" t="s">
        <v>155</v>
      </c>
      <c r="E17" s="38" t="s">
        <v>1338</v>
      </c>
      <c r="F17" s="39" t="s">
        <v>1339</v>
      </c>
      <c r="G17" s="39"/>
      <c r="H17" s="39"/>
      <c r="I17" s="40"/>
      <c r="J17" s="41">
        <v>3</v>
      </c>
      <c r="K17" s="41">
        <v>0</v>
      </c>
      <c r="L17" s="41"/>
      <c r="M17" s="42">
        <v>50</v>
      </c>
      <c r="N17" s="42">
        <v>0</v>
      </c>
      <c r="O17" s="43">
        <v>0</v>
      </c>
      <c r="P17" s="44">
        <v>150</v>
      </c>
      <c r="Q17" s="44">
        <v>0</v>
      </c>
      <c r="R17" s="45">
        <v>0</v>
      </c>
      <c r="S17" s="46">
        <v>0</v>
      </c>
      <c r="T17" s="39">
        <f t="shared" si="0"/>
        <v>0</v>
      </c>
      <c r="U17" s="47">
        <f t="shared" si="1"/>
        <v>0</v>
      </c>
      <c r="V17" s="48">
        <f t="shared" si="2"/>
        <v>-50</v>
      </c>
      <c r="W17" s="49">
        <f t="shared" si="3"/>
        <v>0</v>
      </c>
      <c r="X17" s="44">
        <f t="shared" si="4"/>
        <v>0</v>
      </c>
      <c r="Y17" s="44">
        <f t="shared" si="5"/>
        <v>-150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1128349.24</v>
      </c>
      <c r="B18" s="97" t="s">
        <v>31</v>
      </c>
      <c r="C18" s="98">
        <v>18231027</v>
      </c>
      <c r="D18" s="61" t="s">
        <v>155</v>
      </c>
      <c r="E18" s="38" t="s">
        <v>1340</v>
      </c>
      <c r="F18" s="39" t="s">
        <v>1341</v>
      </c>
      <c r="G18" s="39"/>
      <c r="H18" s="39"/>
      <c r="I18" s="40"/>
      <c r="J18" s="41">
        <v>3</v>
      </c>
      <c r="K18" s="41">
        <v>0</v>
      </c>
      <c r="L18" s="41"/>
      <c r="M18" s="42">
        <v>25</v>
      </c>
      <c r="N18" s="42">
        <v>0</v>
      </c>
      <c r="O18" s="43">
        <v>0</v>
      </c>
      <c r="P18" s="44">
        <v>75</v>
      </c>
      <c r="Q18" s="44">
        <v>0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-25</v>
      </c>
      <c r="W18" s="49">
        <f t="shared" si="3"/>
        <v>0</v>
      </c>
      <c r="X18" s="44">
        <f t="shared" si="4"/>
        <v>0</v>
      </c>
      <c r="Y18" s="44">
        <f t="shared" si="5"/>
        <v>-75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97" t="s">
        <v>31</v>
      </c>
      <c r="C19" s="98">
        <v>18231027</v>
      </c>
      <c r="D19" s="61" t="s">
        <v>155</v>
      </c>
      <c r="E19" s="38" t="s">
        <v>1344</v>
      </c>
      <c r="F19" s="39" t="s">
        <v>1345</v>
      </c>
      <c r="G19" s="39"/>
      <c r="H19" s="39"/>
      <c r="I19" s="40"/>
      <c r="J19" s="41">
        <v>2</v>
      </c>
      <c r="K19" s="41">
        <v>0</v>
      </c>
      <c r="L19" s="41"/>
      <c r="M19" s="42">
        <v>50</v>
      </c>
      <c r="N19" s="42">
        <v>0</v>
      </c>
      <c r="O19" s="43">
        <v>0</v>
      </c>
      <c r="P19" s="44">
        <v>100</v>
      </c>
      <c r="Q19" s="44">
        <v>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-50</v>
      </c>
      <c r="W19" s="49">
        <f t="shared" si="3"/>
        <v>0</v>
      </c>
      <c r="X19" s="44">
        <f t="shared" si="4"/>
        <v>0</v>
      </c>
      <c r="Y19" s="44">
        <f t="shared" si="5"/>
        <v>-100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830705.5</v>
      </c>
      <c r="B20" s="97" t="s">
        <v>31</v>
      </c>
      <c r="C20" s="98">
        <v>18231027</v>
      </c>
      <c r="D20" s="61" t="s">
        <v>155</v>
      </c>
      <c r="E20" s="38" t="s">
        <v>1346</v>
      </c>
      <c r="F20" s="39" t="s">
        <v>1347</v>
      </c>
      <c r="G20" s="39"/>
      <c r="H20" s="39"/>
      <c r="I20" s="40"/>
      <c r="J20" s="41">
        <v>67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3350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-3350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97" t="s">
        <v>31</v>
      </c>
      <c r="C21" s="98">
        <v>18231027</v>
      </c>
      <c r="D21" s="61" t="s">
        <v>155</v>
      </c>
      <c r="E21" s="38" t="s">
        <v>1348</v>
      </c>
      <c r="F21" s="39" t="s">
        <v>1349</v>
      </c>
      <c r="G21" s="39"/>
      <c r="H21" s="39"/>
      <c r="I21" s="40"/>
      <c r="J21" s="41">
        <v>1</v>
      </c>
      <c r="K21" s="41">
        <v>0</v>
      </c>
      <c r="L21" s="41"/>
      <c r="M21" s="42">
        <v>50</v>
      </c>
      <c r="N21" s="42">
        <v>0</v>
      </c>
      <c r="O21" s="43">
        <v>0</v>
      </c>
      <c r="P21" s="44">
        <v>50</v>
      </c>
      <c r="Q21" s="44">
        <v>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-50</v>
      </c>
      <c r="W21" s="49">
        <f t="shared" si="3"/>
        <v>0</v>
      </c>
      <c r="X21" s="44">
        <f t="shared" si="4"/>
        <v>0</v>
      </c>
      <c r="Y21" s="44">
        <f t="shared" si="5"/>
        <v>-50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1.4230028973225497</v>
      </c>
      <c r="B22" s="97" t="s">
        <v>31</v>
      </c>
      <c r="C22" s="98">
        <v>18231027</v>
      </c>
      <c r="D22" s="61" t="s">
        <v>155</v>
      </c>
      <c r="E22" s="38" t="s">
        <v>1354</v>
      </c>
      <c r="F22" s="39" t="s">
        <v>1355</v>
      </c>
      <c r="G22" s="39"/>
      <c r="H22" s="39"/>
      <c r="I22" s="40"/>
      <c r="J22" s="41">
        <v>30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1500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-1500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97" t="s">
        <v>31</v>
      </c>
      <c r="C23" s="98">
        <v>18231027</v>
      </c>
      <c r="D23" s="61" t="s">
        <v>155</v>
      </c>
      <c r="E23" s="38" t="s">
        <v>1362</v>
      </c>
      <c r="F23" s="39" t="s">
        <v>1363</v>
      </c>
      <c r="G23" s="39">
        <v>12</v>
      </c>
      <c r="H23" s="39"/>
      <c r="I23" s="40" t="s">
        <v>263</v>
      </c>
      <c r="J23" s="41">
        <v>1</v>
      </c>
      <c r="K23" s="41">
        <v>505.72</v>
      </c>
      <c r="L23" s="41"/>
      <c r="M23" s="42">
        <v>1500</v>
      </c>
      <c r="N23" s="42">
        <v>1794.78</v>
      </c>
      <c r="O23" s="43">
        <v>505.72</v>
      </c>
      <c r="P23" s="44">
        <v>1500</v>
      </c>
      <c r="Q23" s="44">
        <v>1794.78</v>
      </c>
      <c r="R23" s="45">
        <v>0</v>
      </c>
      <c r="S23" s="46">
        <v>0</v>
      </c>
      <c r="T23" s="39">
        <f t="shared" si="0"/>
        <v>12</v>
      </c>
      <c r="U23" s="47">
        <f t="shared" si="1"/>
        <v>3.5123529993940264E-2</v>
      </c>
      <c r="V23" s="48">
        <f t="shared" si="2"/>
        <v>294.77999999999997</v>
      </c>
      <c r="W23" s="49">
        <f t="shared" si="3"/>
        <v>2.9269608328283555E-3</v>
      </c>
      <c r="X23" s="44">
        <f t="shared" si="4"/>
        <v>915.14433500193013</v>
      </c>
      <c r="Y23" s="44">
        <f t="shared" si="5"/>
        <v>294.77999999999997</v>
      </c>
      <c r="Z23" s="44">
        <f t="shared" si="6"/>
        <v>3302.6340312316415</v>
      </c>
      <c r="AA23" s="50">
        <f t="shared" si="7"/>
        <v>2709.9243350019301</v>
      </c>
      <c r="AB23" s="51">
        <f t="shared" si="8"/>
        <v>3092.3539618273794</v>
      </c>
      <c r="AC23" s="44">
        <f t="shared" si="9"/>
        <v>2537.3823361441291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8.3277384738044908</v>
      </c>
      <c r="AG23" s="44">
        <f t="shared" si="11"/>
        <v>4211.5039009724069</v>
      </c>
      <c r="AH23" s="52">
        <f>HLOOKUP(I23,GasAvoidedCostsWOCC!$A$5:$Q$50,T23+1,FALSE)</f>
        <v>8.3277384738044908</v>
      </c>
      <c r="AI23" s="44">
        <f t="shared" si="12"/>
        <v>0</v>
      </c>
      <c r="AJ23" s="44">
        <f t="shared" si="13"/>
        <v>4211.5039009724069</v>
      </c>
      <c r="AK23" s="44">
        <f>HLOOKUP(I23,GasAvoidedCostsWOCC!$A$5:$Q$50,G23+1,FALSE)*J23*L23</f>
        <v>0</v>
      </c>
      <c r="AL23" s="44">
        <f t="shared" si="14"/>
        <v>4211.5039009724069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4211.5039009724069</v>
      </c>
      <c r="AN23" s="48">
        <f t="shared" si="15"/>
        <v>4632.654291069648</v>
      </c>
      <c r="AO23" s="47">
        <f t="shared" si="16"/>
        <v>1.3619087442640889</v>
      </c>
      <c r="AP23" s="47">
        <f t="shared" si="17"/>
        <v>1.8257612284436202</v>
      </c>
    </row>
    <row r="24" spans="1:42" ht="13.5" customHeight="1" x14ac:dyDescent="0.35">
      <c r="A24" s="60">
        <f>(SUM(AN5:AN1000)/SUM(AC5:AC1000))</f>
        <v>5.3834270872290428</v>
      </c>
      <c r="B24" s="97" t="s">
        <v>31</v>
      </c>
      <c r="C24" s="98">
        <v>18231027</v>
      </c>
      <c r="D24" s="61" t="s">
        <v>155</v>
      </c>
      <c r="E24" s="38" t="s">
        <v>1366</v>
      </c>
      <c r="F24" s="39" t="s">
        <v>1367</v>
      </c>
      <c r="G24" s="39">
        <v>12</v>
      </c>
      <c r="H24" s="39"/>
      <c r="I24" s="40" t="s">
        <v>263</v>
      </c>
      <c r="J24" s="41">
        <v>10</v>
      </c>
      <c r="K24" s="41">
        <v>812</v>
      </c>
      <c r="L24" s="41"/>
      <c r="M24" s="42">
        <v>2000</v>
      </c>
      <c r="N24" s="42">
        <v>2648</v>
      </c>
      <c r="O24" s="43">
        <v>8120</v>
      </c>
      <c r="P24" s="44">
        <v>20000</v>
      </c>
      <c r="Q24" s="44">
        <v>26480</v>
      </c>
      <c r="R24" s="45">
        <v>0</v>
      </c>
      <c r="S24" s="46">
        <v>0</v>
      </c>
      <c r="T24" s="39">
        <f t="shared" si="0"/>
        <v>12</v>
      </c>
      <c r="U24" s="47">
        <f t="shared" si="1"/>
        <v>0.56395448776159718</v>
      </c>
      <c r="V24" s="48">
        <f t="shared" si="2"/>
        <v>648</v>
      </c>
      <c r="W24" s="49">
        <f t="shared" si="3"/>
        <v>4.6996207313466432E-2</v>
      </c>
      <c r="X24" s="44">
        <f t="shared" si="4"/>
        <v>14693.846397642317</v>
      </c>
      <c r="Y24" s="44">
        <f t="shared" si="5"/>
        <v>6480</v>
      </c>
      <c r="Z24" s="44">
        <f t="shared" si="6"/>
        <v>53028.134805032285</v>
      </c>
      <c r="AA24" s="50">
        <f t="shared" si="7"/>
        <v>41173.846397642315</v>
      </c>
      <c r="AB24" s="51">
        <f t="shared" si="8"/>
        <v>49651.811615198763</v>
      </c>
      <c r="AC24" s="44">
        <f t="shared" si="9"/>
        <v>38552.290634496545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8.3277384738044908</v>
      </c>
      <c r="AG24" s="44">
        <f t="shared" si="11"/>
        <v>67621.236407292454</v>
      </c>
      <c r="AH24" s="52">
        <f>HLOOKUP(I24,GasAvoidedCostsWOCC!$A$5:$Q$50,T24+1,FALSE)</f>
        <v>8.3277384738044908</v>
      </c>
      <c r="AI24" s="44">
        <f t="shared" si="12"/>
        <v>0</v>
      </c>
      <c r="AJ24" s="44">
        <f t="shared" si="13"/>
        <v>67621.236407292454</v>
      </c>
      <c r="AK24" s="44">
        <f>HLOOKUP(I24,GasAvoidedCostsWOCC!$A$5:$Q$50,G24+1,FALSE)*J24*L24</f>
        <v>0</v>
      </c>
      <c r="AL24" s="44">
        <f t="shared" si="14"/>
        <v>67621.236407292454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67621.236407292468</v>
      </c>
      <c r="AN24" s="48">
        <f t="shared" si="15"/>
        <v>74383.360048021728</v>
      </c>
      <c r="AO24" s="47">
        <f t="shared" si="16"/>
        <v>1.3619087442640891</v>
      </c>
      <c r="AP24" s="47">
        <f t="shared" si="17"/>
        <v>1.9294147980266465</v>
      </c>
    </row>
    <row r="25" spans="1:42" ht="13.5" customHeight="1" x14ac:dyDescent="0.35">
      <c r="B25" s="97" t="s">
        <v>31</v>
      </c>
      <c r="C25" s="98">
        <v>18231027</v>
      </c>
      <c r="D25" s="61" t="s">
        <v>155</v>
      </c>
      <c r="E25" s="38" t="s">
        <v>1370</v>
      </c>
      <c r="F25" s="39" t="s">
        <v>1371</v>
      </c>
      <c r="G25" s="39">
        <v>12</v>
      </c>
      <c r="H25" s="39"/>
      <c r="I25" s="40" t="s">
        <v>263</v>
      </c>
      <c r="J25" s="41">
        <v>26</v>
      </c>
      <c r="K25" s="41">
        <v>406</v>
      </c>
      <c r="L25" s="41"/>
      <c r="M25" s="42">
        <v>1000</v>
      </c>
      <c r="N25" s="42">
        <v>1324</v>
      </c>
      <c r="O25" s="43">
        <v>10556</v>
      </c>
      <c r="P25" s="44">
        <v>26000</v>
      </c>
      <c r="Q25" s="44">
        <v>34424</v>
      </c>
      <c r="R25" s="45">
        <v>0</v>
      </c>
      <c r="S25" s="46">
        <v>0</v>
      </c>
      <c r="T25" s="39">
        <f t="shared" ref="T25:T48" si="19">G25+H25</f>
        <v>12</v>
      </c>
      <c r="U25" s="47">
        <f t="shared" ref="U25:U48" si="20">(O25/$A$10)*T25</f>
        <v>0.73314083409007635</v>
      </c>
      <c r="V25" s="48">
        <f t="shared" ref="V25:V48" si="21">N25-M25</f>
        <v>324</v>
      </c>
      <c r="W25" s="49">
        <f t="shared" ref="W25:W48" si="22">(O25/A$10)</f>
        <v>6.1095069507506365E-2</v>
      </c>
      <c r="X25" s="44">
        <f t="shared" ref="X25:X48" si="23">W25*A$8</f>
        <v>19102.000316935013</v>
      </c>
      <c r="Y25" s="44">
        <f t="shared" ref="Y25:Y48" si="24">Q25-P25</f>
        <v>8424</v>
      </c>
      <c r="Z25" s="44">
        <f t="shared" ref="Z25:Z48" si="25">X25+(A$6*W25)</f>
        <v>68936.575246541979</v>
      </c>
      <c r="AA25" s="50">
        <f t="shared" ref="AA25:AA48" si="26">Q25+X25</f>
        <v>53526.000316935009</v>
      </c>
      <c r="AB25" s="51">
        <f t="shared" ref="AB25:AB48" si="27">Z25/(1+GasDiscountRate)^1</f>
        <v>64547.355099758403</v>
      </c>
      <c r="AC25" s="44">
        <f t="shared" ref="AC25:AC48" si="28">AA25/(1+GasDiscountRate)^1</f>
        <v>50117.977824845511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>
        <f>HLOOKUP(I25,GasAvoidedCostsWOCC!$A$5:$G$50,G25+1,FALSE)</f>
        <v>8.3277384738044908</v>
      </c>
      <c r="AG25" s="44">
        <f t="shared" ref="AG25:AG48" si="31">AF25*J25*K25</f>
        <v>87907.607329480204</v>
      </c>
      <c r="AH25" s="52">
        <f>HLOOKUP(I25,GasAvoidedCostsWOCC!$A$5:$Q$50,T25+1,FALSE)</f>
        <v>8.3277384738044908</v>
      </c>
      <c r="AI25" s="44">
        <f t="shared" ref="AI25:AI48" si="32">AH25*J25*L25</f>
        <v>0</v>
      </c>
      <c r="AJ25" s="44">
        <f t="shared" ref="AJ25:AJ48" si="33">AG25+AI25</f>
        <v>87907.607329480204</v>
      </c>
      <c r="AK25" s="44">
        <f>HLOOKUP(I25,GasAvoidedCostsWOCC!$A$5:$Q$50,G25+1,FALSE)*J25*L25</f>
        <v>0</v>
      </c>
      <c r="AL25" s="44">
        <f t="shared" ref="AL25:AL48" si="34">AG25+AI25-AK25</f>
        <v>87907.607329480204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87907.607329480204</v>
      </c>
      <c r="AN25" s="48">
        <f t="shared" ref="AN25:AN48" si="35">AM25*1.1+AD25+AE25</f>
        <v>96698.368062428228</v>
      </c>
      <c r="AO25" s="47">
        <f t="shared" ref="AO25:AO48" si="36">IFERROR(AM25/AB25,0)</f>
        <v>1.3619087442640889</v>
      </c>
      <c r="AP25" s="47">
        <f t="shared" ref="AP25:AP48" si="37">AN25/AC25</f>
        <v>1.9294147980266461</v>
      </c>
    </row>
    <row r="26" spans="1:42" ht="13.5" customHeight="1" x14ac:dyDescent="0.35">
      <c r="B26" s="97" t="s">
        <v>31</v>
      </c>
      <c r="C26" s="98">
        <v>18231027</v>
      </c>
      <c r="D26" s="61" t="s">
        <v>155</v>
      </c>
      <c r="E26" s="38" t="s">
        <v>1372</v>
      </c>
      <c r="F26" s="39" t="s">
        <v>1373</v>
      </c>
      <c r="G26" s="39">
        <v>12</v>
      </c>
      <c r="H26" s="39"/>
      <c r="I26" s="40" t="s">
        <v>263</v>
      </c>
      <c r="J26" s="41">
        <v>3</v>
      </c>
      <c r="K26" s="41">
        <v>719</v>
      </c>
      <c r="L26" s="41"/>
      <c r="M26" s="42">
        <v>4000</v>
      </c>
      <c r="N26" s="42">
        <v>4128</v>
      </c>
      <c r="O26" s="43">
        <v>2157</v>
      </c>
      <c r="P26" s="44">
        <v>12000</v>
      </c>
      <c r="Q26" s="44">
        <v>12384</v>
      </c>
      <c r="R26" s="45">
        <v>0</v>
      </c>
      <c r="S26" s="46">
        <v>0</v>
      </c>
      <c r="T26" s="39">
        <f t="shared" si="19"/>
        <v>12</v>
      </c>
      <c r="U26" s="47">
        <f t="shared" si="20"/>
        <v>0.14980909237706469</v>
      </c>
      <c r="V26" s="48">
        <f t="shared" si="21"/>
        <v>128</v>
      </c>
      <c r="W26" s="49">
        <f t="shared" si="22"/>
        <v>1.2484091031422057E-2</v>
      </c>
      <c r="X26" s="44">
        <f t="shared" si="23"/>
        <v>3903.2791477480887</v>
      </c>
      <c r="Y26" s="44">
        <f t="shared" si="24"/>
        <v>384</v>
      </c>
      <c r="Z26" s="44">
        <f t="shared" si="25"/>
        <v>14086.414627395894</v>
      </c>
      <c r="AA26" s="50">
        <f t="shared" si="26"/>
        <v>16287.27914774809</v>
      </c>
      <c r="AB26" s="51">
        <f t="shared" si="27"/>
        <v>13189.526804677802</v>
      </c>
      <c r="AC26" s="44">
        <f t="shared" si="28"/>
        <v>15250.261374295964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8.3277384738044908</v>
      </c>
      <c r="AG26" s="44">
        <f t="shared" si="31"/>
        <v>17962.931887996288</v>
      </c>
      <c r="AH26" s="52">
        <f>HLOOKUP(I26,GasAvoidedCostsWOCC!$A$5:$Q$50,T26+1,FALSE)</f>
        <v>8.3277384738044908</v>
      </c>
      <c r="AI26" s="44">
        <f t="shared" si="32"/>
        <v>0</v>
      </c>
      <c r="AJ26" s="44">
        <f t="shared" si="33"/>
        <v>17962.931887996288</v>
      </c>
      <c r="AK26" s="44">
        <f>HLOOKUP(I26,GasAvoidedCostsWOCC!$A$5:$Q$50,G26+1,FALSE)*J26*L26</f>
        <v>0</v>
      </c>
      <c r="AL26" s="44">
        <f t="shared" si="34"/>
        <v>17962.931887996288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17962.931887996288</v>
      </c>
      <c r="AN26" s="48">
        <f t="shared" si="35"/>
        <v>19759.225076795919</v>
      </c>
      <c r="AO26" s="47">
        <f t="shared" si="36"/>
        <v>1.3619087442640891</v>
      </c>
      <c r="AP26" s="47">
        <f t="shared" si="37"/>
        <v>1.2956646834984566</v>
      </c>
    </row>
    <row r="27" spans="1:42" ht="13.5" customHeight="1" x14ac:dyDescent="0.35">
      <c r="B27" s="97" t="s">
        <v>31</v>
      </c>
      <c r="C27" s="98">
        <v>18231027</v>
      </c>
      <c r="D27" s="61" t="s">
        <v>155</v>
      </c>
      <c r="E27" s="38" t="s">
        <v>1380</v>
      </c>
      <c r="F27" s="39" t="s">
        <v>1381</v>
      </c>
      <c r="G27" s="39"/>
      <c r="H27" s="39"/>
      <c r="I27" s="40"/>
      <c r="J27" s="41">
        <v>5</v>
      </c>
      <c r="K27" s="41">
        <v>0</v>
      </c>
      <c r="L27" s="41"/>
      <c r="M27" s="42">
        <v>100</v>
      </c>
      <c r="N27" s="42">
        <v>0</v>
      </c>
      <c r="O27" s="43">
        <v>0</v>
      </c>
      <c r="P27" s="44">
        <v>500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-100</v>
      </c>
      <c r="W27" s="49">
        <f t="shared" si="22"/>
        <v>0</v>
      </c>
      <c r="X27" s="44">
        <f t="shared" si="23"/>
        <v>0</v>
      </c>
      <c r="Y27" s="44">
        <f t="shared" si="24"/>
        <v>-500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31</v>
      </c>
      <c r="C28" s="98">
        <v>18231027</v>
      </c>
      <c r="D28" s="61" t="s">
        <v>155</v>
      </c>
      <c r="E28" s="38" t="s">
        <v>1384</v>
      </c>
      <c r="F28" s="39" t="s">
        <v>1385</v>
      </c>
      <c r="G28" s="39">
        <v>15</v>
      </c>
      <c r="H28" s="39"/>
      <c r="I28" s="40" t="s">
        <v>263</v>
      </c>
      <c r="J28" s="41">
        <v>3</v>
      </c>
      <c r="K28" s="41">
        <v>264.26</v>
      </c>
      <c r="L28" s="41"/>
      <c r="M28" s="42">
        <v>250</v>
      </c>
      <c r="N28" s="42">
        <v>258.51</v>
      </c>
      <c r="O28" s="43">
        <v>792.78</v>
      </c>
      <c r="P28" s="44">
        <v>750</v>
      </c>
      <c r="Q28" s="44">
        <v>775.53</v>
      </c>
      <c r="R28" s="45">
        <v>763.14</v>
      </c>
      <c r="S28" s="46">
        <v>0</v>
      </c>
      <c r="T28" s="39">
        <f t="shared" si="19"/>
        <v>15</v>
      </c>
      <c r="U28" s="47">
        <f t="shared" si="20"/>
        <v>6.8825714102161178E-2</v>
      </c>
      <c r="V28" s="48">
        <f t="shared" si="21"/>
        <v>8.5099999999999909</v>
      </c>
      <c r="W28" s="49">
        <f t="shared" si="22"/>
        <v>4.5883809401440784E-3</v>
      </c>
      <c r="X28" s="44">
        <f t="shared" si="23"/>
        <v>1434.604377724492</v>
      </c>
      <c r="Y28" s="44">
        <f t="shared" si="24"/>
        <v>25.529999999999973</v>
      </c>
      <c r="Z28" s="44">
        <f t="shared" si="25"/>
        <v>5177.2961466420566</v>
      </c>
      <c r="AA28" s="50">
        <f t="shared" si="26"/>
        <v>2210.134377724492</v>
      </c>
      <c r="AB28" s="51">
        <f t="shared" si="27"/>
        <v>4847.6555680169067</v>
      </c>
      <c r="AC28" s="44">
        <f t="shared" si="28"/>
        <v>2069.4142113525204</v>
      </c>
      <c r="AD28" s="44">
        <f t="shared" si="29"/>
        <v>21117.824328704712</v>
      </c>
      <c r="AE28" s="44">
        <f t="shared" si="30"/>
        <v>0</v>
      </c>
      <c r="AF28" s="52">
        <f>HLOOKUP(I28,GasAvoidedCostsWOCC!$A$5:$G$50,G28+1,FALSE)</f>
        <v>10.0979972195621</v>
      </c>
      <c r="AG28" s="44">
        <f t="shared" si="31"/>
        <v>8005.4902357244409</v>
      </c>
      <c r="AH28" s="52">
        <f>HLOOKUP(I28,GasAvoidedCostsWOCC!$A$5:$Q$50,T28+1,FALSE)</f>
        <v>10.0979972195621</v>
      </c>
      <c r="AI28" s="44">
        <f t="shared" si="32"/>
        <v>0</v>
      </c>
      <c r="AJ28" s="44">
        <f t="shared" si="33"/>
        <v>8005.4902357244409</v>
      </c>
      <c r="AK28" s="44">
        <f>HLOOKUP(I28,GasAvoidedCostsWOCC!$A$5:$Q$50,G28+1,FALSE)*J28*L28</f>
        <v>0</v>
      </c>
      <c r="AL28" s="44">
        <f t="shared" si="34"/>
        <v>8005.4902357244409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8005.4902357244409</v>
      </c>
      <c r="AN28" s="48">
        <f t="shared" si="35"/>
        <v>29923.863588001597</v>
      </c>
      <c r="AO28" s="47">
        <f t="shared" si="36"/>
        <v>1.6514148176165393</v>
      </c>
      <c r="AP28" s="47">
        <f t="shared" si="37"/>
        <v>14.460064797005558</v>
      </c>
    </row>
    <row r="29" spans="1:42" x14ac:dyDescent="0.35">
      <c r="B29" s="97" t="s">
        <v>31</v>
      </c>
      <c r="C29" s="98">
        <v>18231027</v>
      </c>
      <c r="D29" s="61" t="s">
        <v>155</v>
      </c>
      <c r="E29" s="38" t="s">
        <v>1386</v>
      </c>
      <c r="F29" s="39" t="s">
        <v>1387</v>
      </c>
      <c r="G29" s="39">
        <v>15</v>
      </c>
      <c r="H29" s="39"/>
      <c r="I29" s="40" t="s">
        <v>263</v>
      </c>
      <c r="J29" s="41">
        <v>1</v>
      </c>
      <c r="K29" s="41">
        <v>264</v>
      </c>
      <c r="L29" s="41"/>
      <c r="M29" s="42">
        <v>200</v>
      </c>
      <c r="N29" s="42">
        <v>259.14</v>
      </c>
      <c r="O29" s="43">
        <v>264</v>
      </c>
      <c r="P29" s="44">
        <v>200</v>
      </c>
      <c r="Q29" s="44">
        <v>259.14</v>
      </c>
      <c r="R29" s="45">
        <v>74.375600000000006</v>
      </c>
      <c r="S29" s="46">
        <v>0</v>
      </c>
      <c r="T29" s="39">
        <f t="shared" si="19"/>
        <v>15</v>
      </c>
      <c r="U29" s="47">
        <f t="shared" si="20"/>
        <v>2.2919332630705305E-2</v>
      </c>
      <c r="V29" s="48">
        <f t="shared" si="21"/>
        <v>59.139999999999986</v>
      </c>
      <c r="W29" s="49">
        <f t="shared" si="22"/>
        <v>1.527955508713687E-3</v>
      </c>
      <c r="X29" s="44">
        <f t="shared" si="23"/>
        <v>477.73096662285366</v>
      </c>
      <c r="Y29" s="44">
        <f t="shared" si="24"/>
        <v>59.139999999999986</v>
      </c>
      <c r="Z29" s="44">
        <f t="shared" si="25"/>
        <v>1724.067437010902</v>
      </c>
      <c r="AA29" s="50">
        <f t="shared" si="26"/>
        <v>736.87096662285364</v>
      </c>
      <c r="AB29" s="51">
        <f t="shared" si="27"/>
        <v>1614.2953530064624</v>
      </c>
      <c r="AC29" s="44">
        <f t="shared" si="28"/>
        <v>689.95408859817758</v>
      </c>
      <c r="AD29" s="44">
        <f t="shared" si="29"/>
        <v>686.04749462397035</v>
      </c>
      <c r="AE29" s="44">
        <f t="shared" si="30"/>
        <v>0</v>
      </c>
      <c r="AF29" s="52">
        <f>HLOOKUP(I29,GasAvoidedCostsWOCC!$A$5:$G$50,G29+1,FALSE)</f>
        <v>10.0979972195621</v>
      </c>
      <c r="AG29" s="44">
        <f t="shared" si="31"/>
        <v>2665.8712659643943</v>
      </c>
      <c r="AH29" s="52">
        <f>HLOOKUP(I29,GasAvoidedCostsWOCC!$A$5:$Q$50,T29+1,FALSE)</f>
        <v>10.0979972195621</v>
      </c>
      <c r="AI29" s="44">
        <f t="shared" si="32"/>
        <v>0</v>
      </c>
      <c r="AJ29" s="44">
        <f t="shared" si="33"/>
        <v>2665.8712659643943</v>
      </c>
      <c r="AK29" s="44">
        <f>HLOOKUP(I29,GasAvoidedCostsWOCC!$A$5:$Q$50,G29+1,FALSE)*J29*L29</f>
        <v>0</v>
      </c>
      <c r="AL29" s="44">
        <f t="shared" si="34"/>
        <v>2665.8712659643943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2665.8712659643943</v>
      </c>
      <c r="AN29" s="48">
        <f t="shared" si="35"/>
        <v>3618.5058871848041</v>
      </c>
      <c r="AO29" s="47">
        <f t="shared" si="36"/>
        <v>1.6514148176165395</v>
      </c>
      <c r="AP29" s="47">
        <f t="shared" si="37"/>
        <v>5.2445603946441519</v>
      </c>
    </row>
    <row r="30" spans="1:42" x14ac:dyDescent="0.35">
      <c r="B30" s="97" t="s">
        <v>31</v>
      </c>
      <c r="C30" s="98">
        <v>18231027</v>
      </c>
      <c r="D30" s="61" t="s">
        <v>155</v>
      </c>
      <c r="E30" s="38" t="s">
        <v>1391</v>
      </c>
      <c r="F30" s="39" t="s">
        <v>1392</v>
      </c>
      <c r="G30" s="39">
        <v>15</v>
      </c>
      <c r="H30" s="39"/>
      <c r="I30" s="40" t="s">
        <v>263</v>
      </c>
      <c r="J30" s="41">
        <v>2</v>
      </c>
      <c r="K30" s="41">
        <v>607.79</v>
      </c>
      <c r="L30" s="41"/>
      <c r="M30" s="42">
        <v>2650</v>
      </c>
      <c r="N30" s="42">
        <v>2659</v>
      </c>
      <c r="O30" s="43">
        <v>1215.58</v>
      </c>
      <c r="P30" s="44">
        <v>5300</v>
      </c>
      <c r="Q30" s="44">
        <v>5318</v>
      </c>
      <c r="R30" s="45">
        <v>1755.23</v>
      </c>
      <c r="S30" s="46">
        <v>0</v>
      </c>
      <c r="T30" s="39">
        <f t="shared" si="19"/>
        <v>15</v>
      </c>
      <c r="U30" s="47">
        <f t="shared" si="20"/>
        <v>0.10553137257285133</v>
      </c>
      <c r="V30" s="48">
        <f t="shared" si="21"/>
        <v>9</v>
      </c>
      <c r="W30" s="49">
        <f t="shared" si="22"/>
        <v>7.0354248381900887E-3</v>
      </c>
      <c r="X30" s="44">
        <f t="shared" si="23"/>
        <v>2199.6977591189711</v>
      </c>
      <c r="Y30" s="44">
        <f t="shared" si="24"/>
        <v>18</v>
      </c>
      <c r="Z30" s="44">
        <f t="shared" si="25"/>
        <v>7938.4162692489099</v>
      </c>
      <c r="AA30" s="50">
        <f t="shared" si="26"/>
        <v>7517.6977591189716</v>
      </c>
      <c r="AB30" s="51">
        <f t="shared" si="27"/>
        <v>7432.9740348772557</v>
      </c>
      <c r="AC30" s="44">
        <f t="shared" si="28"/>
        <v>7039.0428456170139</v>
      </c>
      <c r="AD30" s="44">
        <f t="shared" si="29"/>
        <v>32380.811556177872</v>
      </c>
      <c r="AE30" s="44">
        <f t="shared" si="30"/>
        <v>0</v>
      </c>
      <c r="AF30" s="52">
        <f>HLOOKUP(I30,GasAvoidedCostsWOCC!$A$5:$G$50,G30+1,FALSE)</f>
        <v>10.0979972195621</v>
      </c>
      <c r="AG30" s="44">
        <f t="shared" si="31"/>
        <v>12274.923460155296</v>
      </c>
      <c r="AH30" s="52">
        <f>HLOOKUP(I30,GasAvoidedCostsWOCC!$A$5:$Q$50,T30+1,FALSE)</f>
        <v>10.0979972195621</v>
      </c>
      <c r="AI30" s="44">
        <f t="shared" si="32"/>
        <v>0</v>
      </c>
      <c r="AJ30" s="44">
        <f t="shared" si="33"/>
        <v>12274.923460155296</v>
      </c>
      <c r="AK30" s="44">
        <f>HLOOKUP(I30,GasAvoidedCostsWOCC!$A$5:$Q$50,G30+1,FALSE)*J30*L30</f>
        <v>0</v>
      </c>
      <c r="AL30" s="44">
        <f t="shared" si="34"/>
        <v>12274.923460155296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12274.923460155296</v>
      </c>
      <c r="AN30" s="48">
        <f t="shared" si="35"/>
        <v>45883.227362348698</v>
      </c>
      <c r="AO30" s="47">
        <f t="shared" si="36"/>
        <v>1.6514148176165393</v>
      </c>
      <c r="AP30" s="47">
        <f t="shared" si="37"/>
        <v>6.5183901232990378</v>
      </c>
    </row>
    <row r="31" spans="1:42" x14ac:dyDescent="0.35">
      <c r="B31" s="97" t="s">
        <v>31</v>
      </c>
      <c r="C31" s="98">
        <v>18231027</v>
      </c>
      <c r="D31" s="61" t="s">
        <v>155</v>
      </c>
      <c r="E31" s="38" t="s">
        <v>1395</v>
      </c>
      <c r="F31" s="39" t="s">
        <v>1396</v>
      </c>
      <c r="G31" s="39">
        <v>20</v>
      </c>
      <c r="H31" s="39"/>
      <c r="I31" s="40" t="s">
        <v>263</v>
      </c>
      <c r="J31" s="41">
        <v>2</v>
      </c>
      <c r="K31" s="41">
        <v>160.44</v>
      </c>
      <c r="L31" s="41"/>
      <c r="M31" s="42">
        <v>2300</v>
      </c>
      <c r="N31" s="42">
        <v>2298.5700000000002</v>
      </c>
      <c r="O31" s="43">
        <v>320.88</v>
      </c>
      <c r="P31" s="44">
        <v>4600</v>
      </c>
      <c r="Q31" s="44">
        <v>4597.1400000000003</v>
      </c>
      <c r="R31" s="45">
        <v>4683.4399999999996</v>
      </c>
      <c r="S31" s="46">
        <v>0</v>
      </c>
      <c r="T31" s="39">
        <f t="shared" si="19"/>
        <v>20</v>
      </c>
      <c r="U31" s="47">
        <f t="shared" si="20"/>
        <v>3.7143209366367259E-2</v>
      </c>
      <c r="V31" s="48">
        <f t="shared" si="21"/>
        <v>-1.4299999999998363</v>
      </c>
      <c r="W31" s="49">
        <f t="shared" si="22"/>
        <v>1.8571604683183631E-3</v>
      </c>
      <c r="X31" s="44">
        <f t="shared" si="23"/>
        <v>580.66027488614122</v>
      </c>
      <c r="Y31" s="44">
        <f t="shared" si="24"/>
        <v>-2.8599999999996726</v>
      </c>
      <c r="Z31" s="44">
        <f t="shared" si="25"/>
        <v>2095.5256029850689</v>
      </c>
      <c r="AA31" s="50">
        <f t="shared" si="26"/>
        <v>5177.8002748861418</v>
      </c>
      <c r="AB31" s="51">
        <f t="shared" si="27"/>
        <v>1962.1026245178546</v>
      </c>
      <c r="AC31" s="44">
        <f t="shared" si="28"/>
        <v>4848.1275982079978</v>
      </c>
      <c r="AD31" s="44">
        <f t="shared" si="29"/>
        <v>100794.27482283156</v>
      </c>
      <c r="AE31" s="44">
        <f t="shared" si="30"/>
        <v>0</v>
      </c>
      <c r="AF31" s="52">
        <f>HLOOKUP(I31,GasAvoidedCostsWOCC!$A$5:$G$50,G31+1,FALSE)</f>
        <v>12.750269409405735</v>
      </c>
      <c r="AG31" s="44">
        <f t="shared" si="31"/>
        <v>4091.3064480901121</v>
      </c>
      <c r="AH31" s="52">
        <f>HLOOKUP(I31,GasAvoidedCostsWOCC!$A$5:$Q$50,T31+1,FALSE)</f>
        <v>12.750269409405735</v>
      </c>
      <c r="AI31" s="44">
        <f t="shared" si="32"/>
        <v>0</v>
      </c>
      <c r="AJ31" s="44">
        <f t="shared" si="33"/>
        <v>4091.3064480901121</v>
      </c>
      <c r="AK31" s="44">
        <f>HLOOKUP(I31,GasAvoidedCostsWOCC!$A$5:$Q$50,G31+1,FALSE)*J31*L31</f>
        <v>0</v>
      </c>
      <c r="AL31" s="44">
        <f t="shared" si="34"/>
        <v>4091.3064480901121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4091.3064480901121</v>
      </c>
      <c r="AN31" s="48">
        <f t="shared" si="35"/>
        <v>105294.71191573069</v>
      </c>
      <c r="AO31" s="47">
        <f t="shared" si="36"/>
        <v>2.0851643522445542</v>
      </c>
      <c r="AP31" s="47">
        <f t="shared" si="37"/>
        <v>21.71863462394235</v>
      </c>
    </row>
    <row r="32" spans="1:42" x14ac:dyDescent="0.35">
      <c r="B32" s="97" t="s">
        <v>31</v>
      </c>
      <c r="C32" s="98">
        <v>18231027</v>
      </c>
      <c r="D32" s="61" t="s">
        <v>155</v>
      </c>
      <c r="E32" s="38" t="s">
        <v>1400</v>
      </c>
      <c r="F32" s="39" t="s">
        <v>1401</v>
      </c>
      <c r="G32" s="39"/>
      <c r="H32" s="39"/>
      <c r="I32" s="40"/>
      <c r="J32" s="41">
        <v>4</v>
      </c>
      <c r="K32" s="41">
        <v>0</v>
      </c>
      <c r="L32" s="41"/>
      <c r="M32" s="42">
        <v>100</v>
      </c>
      <c r="N32" s="42">
        <v>0</v>
      </c>
      <c r="O32" s="43">
        <v>0</v>
      </c>
      <c r="P32" s="44">
        <v>400</v>
      </c>
      <c r="Q32" s="44">
        <v>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-100</v>
      </c>
      <c r="W32" s="49">
        <f t="shared" si="22"/>
        <v>0</v>
      </c>
      <c r="X32" s="44">
        <f t="shared" si="23"/>
        <v>0</v>
      </c>
      <c r="Y32" s="44">
        <f t="shared" si="24"/>
        <v>-400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31</v>
      </c>
      <c r="C33" s="98">
        <v>18231027</v>
      </c>
      <c r="D33" s="61" t="s">
        <v>155</v>
      </c>
      <c r="E33" s="38" t="s">
        <v>1404</v>
      </c>
      <c r="F33" s="39" t="s">
        <v>1405</v>
      </c>
      <c r="G33" s="39">
        <v>12</v>
      </c>
      <c r="H33" s="39"/>
      <c r="I33" s="40" t="s">
        <v>263</v>
      </c>
      <c r="J33" s="41">
        <v>2</v>
      </c>
      <c r="K33" s="41">
        <v>1021</v>
      </c>
      <c r="L33" s="41"/>
      <c r="M33" s="42">
        <v>2500</v>
      </c>
      <c r="N33" s="42">
        <v>2531</v>
      </c>
      <c r="O33" s="43">
        <v>2042</v>
      </c>
      <c r="P33" s="44">
        <v>5000</v>
      </c>
      <c r="Q33" s="44">
        <v>5062</v>
      </c>
      <c r="R33" s="45">
        <v>1183.3900000000001</v>
      </c>
      <c r="S33" s="46">
        <v>0</v>
      </c>
      <c r="T33" s="39">
        <f t="shared" si="19"/>
        <v>12</v>
      </c>
      <c r="U33" s="47">
        <f t="shared" si="20"/>
        <v>0.1418220522178795</v>
      </c>
      <c r="V33" s="48">
        <f t="shared" si="21"/>
        <v>31</v>
      </c>
      <c r="W33" s="49">
        <f t="shared" si="22"/>
        <v>1.1818504351489957E-2</v>
      </c>
      <c r="X33" s="44">
        <f t="shared" si="23"/>
        <v>3695.1766433479816</v>
      </c>
      <c r="Y33" s="44">
        <f t="shared" si="24"/>
        <v>62</v>
      </c>
      <c r="Z33" s="44">
        <f t="shared" si="25"/>
        <v>13335.400402940388</v>
      </c>
      <c r="AA33" s="50">
        <f t="shared" si="26"/>
        <v>8757.1766433479825</v>
      </c>
      <c r="AB33" s="51">
        <f t="shared" si="27"/>
        <v>12486.329965299989</v>
      </c>
      <c r="AC33" s="44">
        <f t="shared" si="28"/>
        <v>8199.6035986404331</v>
      </c>
      <c r="AD33" s="44">
        <f t="shared" si="29"/>
        <v>19000.608414489572</v>
      </c>
      <c r="AE33" s="44">
        <f t="shared" si="30"/>
        <v>0</v>
      </c>
      <c r="AF33" s="52">
        <f>HLOOKUP(I33,GasAvoidedCostsWOCC!$A$5:$G$50,G33+1,FALSE)</f>
        <v>8.3277384738044908</v>
      </c>
      <c r="AG33" s="44">
        <f t="shared" si="31"/>
        <v>17005.241963508772</v>
      </c>
      <c r="AH33" s="52">
        <f>HLOOKUP(I33,GasAvoidedCostsWOCC!$A$5:$Q$50,T33+1,FALSE)</f>
        <v>8.3277384738044908</v>
      </c>
      <c r="AI33" s="44">
        <f t="shared" si="32"/>
        <v>0</v>
      </c>
      <c r="AJ33" s="44">
        <f t="shared" si="33"/>
        <v>17005.241963508772</v>
      </c>
      <c r="AK33" s="44">
        <f>HLOOKUP(I33,GasAvoidedCostsWOCC!$A$5:$Q$50,G33+1,FALSE)*J33*L33</f>
        <v>0</v>
      </c>
      <c r="AL33" s="44">
        <f t="shared" si="34"/>
        <v>17005.241963508772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17005.241963508772</v>
      </c>
      <c r="AN33" s="48">
        <f t="shared" si="35"/>
        <v>37706.374574349218</v>
      </c>
      <c r="AO33" s="47">
        <f t="shared" si="36"/>
        <v>1.3619087442640889</v>
      </c>
      <c r="AP33" s="47">
        <f t="shared" si="37"/>
        <v>4.5985606646400896</v>
      </c>
    </row>
    <row r="34" spans="2:42" x14ac:dyDescent="0.35">
      <c r="B34" s="97" t="s">
        <v>31</v>
      </c>
      <c r="C34" s="98">
        <v>18231027</v>
      </c>
      <c r="D34" s="61" t="s">
        <v>155</v>
      </c>
      <c r="E34" s="38" t="s">
        <v>1406</v>
      </c>
      <c r="F34" s="39" t="s">
        <v>1407</v>
      </c>
      <c r="G34" s="39">
        <v>12</v>
      </c>
      <c r="H34" s="39"/>
      <c r="I34" s="40" t="s">
        <v>263</v>
      </c>
      <c r="J34" s="41">
        <v>1</v>
      </c>
      <c r="K34" s="41">
        <v>1971</v>
      </c>
      <c r="L34" s="41"/>
      <c r="M34" s="42">
        <v>7000</v>
      </c>
      <c r="N34" s="42">
        <v>7890</v>
      </c>
      <c r="O34" s="43">
        <v>1971</v>
      </c>
      <c r="P34" s="44">
        <v>7000</v>
      </c>
      <c r="Q34" s="44">
        <v>7890</v>
      </c>
      <c r="R34" s="45">
        <v>3944.64</v>
      </c>
      <c r="S34" s="46">
        <v>0</v>
      </c>
      <c r="T34" s="39">
        <f t="shared" si="19"/>
        <v>12</v>
      </c>
      <c r="U34" s="47">
        <f t="shared" si="20"/>
        <v>0.13689092307612166</v>
      </c>
      <c r="V34" s="48">
        <f t="shared" si="21"/>
        <v>890</v>
      </c>
      <c r="W34" s="49">
        <f t="shared" si="22"/>
        <v>1.140757692301014E-2</v>
      </c>
      <c r="X34" s="44">
        <f t="shared" si="23"/>
        <v>3566.6959667183505</v>
      </c>
      <c r="Y34" s="44">
        <f t="shared" si="24"/>
        <v>890</v>
      </c>
      <c r="Z34" s="44">
        <f t="shared" si="25"/>
        <v>12871.73075132003</v>
      </c>
      <c r="AA34" s="50">
        <f t="shared" si="26"/>
        <v>11456.695966718351</v>
      </c>
      <c r="AB34" s="51">
        <f t="shared" si="27"/>
        <v>12052.182351423249</v>
      </c>
      <c r="AC34" s="44">
        <f t="shared" si="28"/>
        <v>10727.24341453029</v>
      </c>
      <c r="AD34" s="44">
        <f t="shared" si="29"/>
        <v>31667.734211093608</v>
      </c>
      <c r="AE34" s="44">
        <f t="shared" si="30"/>
        <v>0</v>
      </c>
      <c r="AF34" s="52">
        <f>HLOOKUP(I34,GasAvoidedCostsWOCC!$A$5:$G$50,G34+1,FALSE)</f>
        <v>8.3277384738044908</v>
      </c>
      <c r="AG34" s="44">
        <f t="shared" si="31"/>
        <v>16413.972531868651</v>
      </c>
      <c r="AH34" s="52">
        <f>HLOOKUP(I34,GasAvoidedCostsWOCC!$A$5:$Q$50,T34+1,FALSE)</f>
        <v>8.3277384738044908</v>
      </c>
      <c r="AI34" s="44">
        <f t="shared" si="32"/>
        <v>0</v>
      </c>
      <c r="AJ34" s="44">
        <f t="shared" si="33"/>
        <v>16413.972531868651</v>
      </c>
      <c r="AK34" s="44">
        <f>HLOOKUP(I34,GasAvoidedCostsWOCC!$A$5:$Q$50,G34+1,FALSE)*J34*L34</f>
        <v>0</v>
      </c>
      <c r="AL34" s="44">
        <f t="shared" si="34"/>
        <v>16413.972531868651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16413.972531868651</v>
      </c>
      <c r="AN34" s="48">
        <f t="shared" si="35"/>
        <v>49723.103996149126</v>
      </c>
      <c r="AO34" s="47">
        <f t="shared" si="36"/>
        <v>1.3619087442640889</v>
      </c>
      <c r="AP34" s="47">
        <f t="shared" si="37"/>
        <v>4.6352172757446777</v>
      </c>
    </row>
    <row r="35" spans="2:42" x14ac:dyDescent="0.35">
      <c r="B35" s="97" t="s">
        <v>31</v>
      </c>
      <c r="C35" s="98">
        <v>18231027</v>
      </c>
      <c r="D35" s="61" t="s">
        <v>155</v>
      </c>
      <c r="E35" s="38" t="s">
        <v>1408</v>
      </c>
      <c r="F35" s="39" t="s">
        <v>1409</v>
      </c>
      <c r="G35" s="39">
        <v>12</v>
      </c>
      <c r="H35" s="39"/>
      <c r="I35" s="40" t="s">
        <v>263</v>
      </c>
      <c r="J35" s="41">
        <v>2</v>
      </c>
      <c r="K35" s="41">
        <v>1434</v>
      </c>
      <c r="L35" s="41"/>
      <c r="M35" s="42">
        <v>3000</v>
      </c>
      <c r="N35" s="42">
        <v>3361</v>
      </c>
      <c r="O35" s="43">
        <v>2868</v>
      </c>
      <c r="P35" s="44">
        <v>6000</v>
      </c>
      <c r="Q35" s="44">
        <v>6722</v>
      </c>
      <c r="R35" s="45">
        <v>1972.32</v>
      </c>
      <c r="S35" s="46">
        <v>0</v>
      </c>
      <c r="T35" s="39">
        <f t="shared" si="19"/>
        <v>12</v>
      </c>
      <c r="U35" s="47">
        <f t="shared" si="20"/>
        <v>0.1991898363177661</v>
      </c>
      <c r="V35" s="48">
        <f t="shared" si="21"/>
        <v>361</v>
      </c>
      <c r="W35" s="49">
        <f t="shared" si="22"/>
        <v>1.6599153026480507E-2</v>
      </c>
      <c r="X35" s="44">
        <f t="shared" si="23"/>
        <v>5189.8955010391828</v>
      </c>
      <c r="Y35" s="44">
        <f t="shared" si="24"/>
        <v>722</v>
      </c>
      <c r="Z35" s="44">
        <f t="shared" si="25"/>
        <v>18729.641702072979</v>
      </c>
      <c r="AA35" s="50">
        <f t="shared" si="26"/>
        <v>11911.895501039184</v>
      </c>
      <c r="AB35" s="51">
        <f t="shared" si="27"/>
        <v>17537.117698570204</v>
      </c>
      <c r="AC35" s="44">
        <f t="shared" si="28"/>
        <v>11153.460206965527</v>
      </c>
      <c r="AD35" s="44">
        <f t="shared" si="29"/>
        <v>31667.734211093608</v>
      </c>
      <c r="AE35" s="44">
        <f t="shared" si="30"/>
        <v>0</v>
      </c>
      <c r="AF35" s="52">
        <f>HLOOKUP(I35,GasAvoidedCostsWOCC!$A$5:$G$50,G35+1,FALSE)</f>
        <v>8.3277384738044908</v>
      </c>
      <c r="AG35" s="44">
        <f t="shared" si="31"/>
        <v>23883.953942871281</v>
      </c>
      <c r="AH35" s="52">
        <f>HLOOKUP(I35,GasAvoidedCostsWOCC!$A$5:$Q$50,T35+1,FALSE)</f>
        <v>8.3277384738044908</v>
      </c>
      <c r="AI35" s="44">
        <f t="shared" si="32"/>
        <v>0</v>
      </c>
      <c r="AJ35" s="44">
        <f t="shared" si="33"/>
        <v>23883.953942871281</v>
      </c>
      <c r="AK35" s="44">
        <f>HLOOKUP(I35,GasAvoidedCostsWOCC!$A$5:$Q$50,G35+1,FALSE)*J35*L35</f>
        <v>0</v>
      </c>
      <c r="AL35" s="44">
        <f t="shared" si="34"/>
        <v>23883.953942871281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23883.953942871281</v>
      </c>
      <c r="AN35" s="48">
        <f t="shared" si="35"/>
        <v>57940.08354825202</v>
      </c>
      <c r="AO35" s="47">
        <f t="shared" si="36"/>
        <v>1.3619087442640891</v>
      </c>
      <c r="AP35" s="47">
        <f t="shared" si="37"/>
        <v>5.1948079316289171</v>
      </c>
    </row>
    <row r="36" spans="2:42" x14ac:dyDescent="0.35">
      <c r="B36" s="97" t="s">
        <v>31</v>
      </c>
      <c r="C36" s="98">
        <v>18231027</v>
      </c>
      <c r="D36" s="61" t="s">
        <v>155</v>
      </c>
      <c r="E36" s="38" t="s">
        <v>1410</v>
      </c>
      <c r="F36" s="39" t="s">
        <v>1411</v>
      </c>
      <c r="G36" s="39">
        <v>12</v>
      </c>
      <c r="H36" s="39"/>
      <c r="I36" s="40" t="s">
        <v>263</v>
      </c>
      <c r="J36" s="41">
        <v>110</v>
      </c>
      <c r="K36" s="41">
        <v>519</v>
      </c>
      <c r="L36" s="41"/>
      <c r="M36" s="42">
        <v>1500</v>
      </c>
      <c r="N36" s="42">
        <v>1192</v>
      </c>
      <c r="O36" s="43">
        <v>57090</v>
      </c>
      <c r="P36" s="44">
        <v>165000</v>
      </c>
      <c r="Q36" s="44">
        <v>131120</v>
      </c>
      <c r="R36" s="45">
        <v>1357</v>
      </c>
      <c r="S36" s="46">
        <v>0</v>
      </c>
      <c r="T36" s="39">
        <f t="shared" si="19"/>
        <v>12</v>
      </c>
      <c r="U36" s="47">
        <f t="shared" si="20"/>
        <v>3.965044545112018</v>
      </c>
      <c r="V36" s="48">
        <f t="shared" si="21"/>
        <v>-308</v>
      </c>
      <c r="W36" s="49">
        <f t="shared" si="22"/>
        <v>0.33042037875933483</v>
      </c>
      <c r="X36" s="44">
        <f t="shared" si="23"/>
        <v>103309.32153219212</v>
      </c>
      <c r="Y36" s="44">
        <f t="shared" si="24"/>
        <v>-33880</v>
      </c>
      <c r="Z36" s="44">
        <f t="shared" si="25"/>
        <v>372829.58325360762</v>
      </c>
      <c r="AA36" s="50">
        <f t="shared" si="26"/>
        <v>234429.32153219212</v>
      </c>
      <c r="AB36" s="51">
        <f t="shared" si="27"/>
        <v>349091.37008764758</v>
      </c>
      <c r="AC36" s="44">
        <f t="shared" si="28"/>
        <v>219503.11004886901</v>
      </c>
      <c r="AD36" s="44">
        <f t="shared" si="29"/>
        <v>1198345.7769758312</v>
      </c>
      <c r="AE36" s="44">
        <f t="shared" si="30"/>
        <v>0</v>
      </c>
      <c r="AF36" s="52">
        <f>HLOOKUP(I36,GasAvoidedCostsWOCC!$A$5:$G$50,G36+1,FALSE)</f>
        <v>8.3277384738044908</v>
      </c>
      <c r="AG36" s="44">
        <f t="shared" si="31"/>
        <v>475430.58946949837</v>
      </c>
      <c r="AH36" s="52">
        <f>HLOOKUP(I36,GasAvoidedCostsWOCC!$A$5:$Q$50,T36+1,FALSE)</f>
        <v>8.3277384738044908</v>
      </c>
      <c r="AI36" s="44">
        <f t="shared" si="32"/>
        <v>0</v>
      </c>
      <c r="AJ36" s="44">
        <f t="shared" si="33"/>
        <v>475430.58946949837</v>
      </c>
      <c r="AK36" s="44">
        <f>HLOOKUP(I36,GasAvoidedCostsWOCC!$A$5:$Q$50,G36+1,FALSE)*J36*L36</f>
        <v>0</v>
      </c>
      <c r="AL36" s="44">
        <f t="shared" si="34"/>
        <v>475430.58946949837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475430.58946949837</v>
      </c>
      <c r="AN36" s="48">
        <f t="shared" si="35"/>
        <v>1721319.4253922794</v>
      </c>
      <c r="AO36" s="47">
        <f t="shared" si="36"/>
        <v>1.3619087442640887</v>
      </c>
      <c r="AP36" s="47">
        <f t="shared" si="37"/>
        <v>7.8418908279206336</v>
      </c>
    </row>
    <row r="37" spans="2:42" x14ac:dyDescent="0.35">
      <c r="B37" s="97" t="s">
        <v>31</v>
      </c>
      <c r="C37" s="98">
        <v>18231027</v>
      </c>
      <c r="D37" s="61" t="s">
        <v>155</v>
      </c>
      <c r="E37" s="38" t="s">
        <v>1422</v>
      </c>
      <c r="F37" s="39" t="s">
        <v>1423</v>
      </c>
      <c r="G37" s="39"/>
      <c r="H37" s="39"/>
      <c r="I37" s="40"/>
      <c r="J37" s="41">
        <v>1</v>
      </c>
      <c r="K37" s="41">
        <v>0</v>
      </c>
      <c r="L37" s="41"/>
      <c r="M37" s="42">
        <v>50</v>
      </c>
      <c r="N37" s="42">
        <v>0</v>
      </c>
      <c r="O37" s="43">
        <v>0</v>
      </c>
      <c r="P37" s="44">
        <v>50</v>
      </c>
      <c r="Q37" s="44">
        <v>0</v>
      </c>
      <c r="R37" s="45">
        <v>0</v>
      </c>
      <c r="S37" s="46">
        <v>0</v>
      </c>
      <c r="T37" s="39">
        <f t="shared" si="19"/>
        <v>0</v>
      </c>
      <c r="U37" s="47">
        <f t="shared" si="20"/>
        <v>0</v>
      </c>
      <c r="V37" s="48">
        <f t="shared" si="21"/>
        <v>-50</v>
      </c>
      <c r="W37" s="49">
        <f t="shared" si="22"/>
        <v>0</v>
      </c>
      <c r="X37" s="44">
        <f t="shared" si="23"/>
        <v>0</v>
      </c>
      <c r="Y37" s="44">
        <f t="shared" si="24"/>
        <v>-50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97" t="s">
        <v>31</v>
      </c>
      <c r="C38" s="98">
        <v>18231027</v>
      </c>
      <c r="D38" s="61" t="s">
        <v>155</v>
      </c>
      <c r="E38" s="38" t="s">
        <v>1424</v>
      </c>
      <c r="F38" s="39" t="s">
        <v>1425</v>
      </c>
      <c r="G38" s="39"/>
      <c r="H38" s="39"/>
      <c r="I38" s="40"/>
      <c r="J38" s="41">
        <v>2</v>
      </c>
      <c r="K38" s="41">
        <v>0</v>
      </c>
      <c r="L38" s="41"/>
      <c r="M38" s="42">
        <v>100</v>
      </c>
      <c r="N38" s="42">
        <v>0</v>
      </c>
      <c r="O38" s="43">
        <v>0</v>
      </c>
      <c r="P38" s="44">
        <v>200</v>
      </c>
      <c r="Q38" s="44">
        <v>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-100</v>
      </c>
      <c r="W38" s="49">
        <f t="shared" si="22"/>
        <v>0</v>
      </c>
      <c r="X38" s="44">
        <f t="shared" si="23"/>
        <v>0</v>
      </c>
      <c r="Y38" s="44">
        <f t="shared" si="24"/>
        <v>-200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97" t="s">
        <v>31</v>
      </c>
      <c r="C39" s="98">
        <v>18231027</v>
      </c>
      <c r="D39" s="61" t="s">
        <v>155</v>
      </c>
      <c r="E39" s="38" t="s">
        <v>1426</v>
      </c>
      <c r="F39" s="39" t="s">
        <v>1427</v>
      </c>
      <c r="G39" s="39"/>
      <c r="H39" s="39"/>
      <c r="I39" s="40"/>
      <c r="J39" s="41">
        <v>3</v>
      </c>
      <c r="K39" s="41">
        <v>0</v>
      </c>
      <c r="L39" s="41"/>
      <c r="M39" s="42">
        <v>50</v>
      </c>
      <c r="N39" s="42">
        <v>0</v>
      </c>
      <c r="O39" s="43">
        <v>0</v>
      </c>
      <c r="P39" s="44">
        <v>150</v>
      </c>
      <c r="Q39" s="44">
        <v>0</v>
      </c>
      <c r="R39" s="45">
        <v>0</v>
      </c>
      <c r="S39" s="46">
        <v>0</v>
      </c>
      <c r="T39" s="39">
        <f t="shared" si="19"/>
        <v>0</v>
      </c>
      <c r="U39" s="47">
        <f t="shared" si="20"/>
        <v>0</v>
      </c>
      <c r="V39" s="48">
        <f t="shared" si="21"/>
        <v>-50</v>
      </c>
      <c r="W39" s="49">
        <f t="shared" si="22"/>
        <v>0</v>
      </c>
      <c r="X39" s="44">
        <f t="shared" si="23"/>
        <v>0</v>
      </c>
      <c r="Y39" s="44">
        <f t="shared" si="24"/>
        <v>-150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97" t="s">
        <v>31</v>
      </c>
      <c r="C40" s="98">
        <v>18231027</v>
      </c>
      <c r="D40" s="61" t="s">
        <v>155</v>
      </c>
      <c r="E40" s="38" t="s">
        <v>1430</v>
      </c>
      <c r="F40" s="39" t="s">
        <v>1431</v>
      </c>
      <c r="G40" s="39"/>
      <c r="H40" s="39"/>
      <c r="I40" s="40"/>
      <c r="J40" s="41">
        <v>5</v>
      </c>
      <c r="K40" s="41">
        <v>0</v>
      </c>
      <c r="L40" s="41"/>
      <c r="M40" s="42">
        <v>100</v>
      </c>
      <c r="N40" s="42">
        <v>0</v>
      </c>
      <c r="O40" s="43">
        <v>0</v>
      </c>
      <c r="P40" s="44">
        <v>500</v>
      </c>
      <c r="Q40" s="44">
        <v>0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-100</v>
      </c>
      <c r="W40" s="49">
        <f t="shared" si="22"/>
        <v>0</v>
      </c>
      <c r="X40" s="44">
        <f t="shared" si="23"/>
        <v>0</v>
      </c>
      <c r="Y40" s="44">
        <f t="shared" si="24"/>
        <v>-500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97" t="s">
        <v>31</v>
      </c>
      <c r="C41" s="98">
        <v>18231027</v>
      </c>
      <c r="D41" s="61" t="s">
        <v>155</v>
      </c>
      <c r="E41" s="38" t="s">
        <v>1432</v>
      </c>
      <c r="F41" s="39" t="s">
        <v>1433</v>
      </c>
      <c r="G41" s="39"/>
      <c r="H41" s="39"/>
      <c r="I41" s="40"/>
      <c r="J41" s="41">
        <v>105</v>
      </c>
      <c r="K41" s="41">
        <v>0</v>
      </c>
      <c r="L41" s="41"/>
      <c r="M41" s="42">
        <v>100</v>
      </c>
      <c r="N41" s="42">
        <v>0</v>
      </c>
      <c r="O41" s="43">
        <v>0</v>
      </c>
      <c r="P41" s="44">
        <v>11000</v>
      </c>
      <c r="Q41" s="44">
        <v>0</v>
      </c>
      <c r="R41" s="45">
        <v>0</v>
      </c>
      <c r="S41" s="46">
        <v>0</v>
      </c>
      <c r="T41" s="39">
        <f t="shared" si="19"/>
        <v>0</v>
      </c>
      <c r="U41" s="47">
        <f t="shared" si="20"/>
        <v>0</v>
      </c>
      <c r="V41" s="48">
        <f t="shared" si="21"/>
        <v>-100</v>
      </c>
      <c r="W41" s="49">
        <f t="shared" si="22"/>
        <v>0</v>
      </c>
      <c r="X41" s="44">
        <f t="shared" si="23"/>
        <v>0</v>
      </c>
      <c r="Y41" s="44">
        <f t="shared" si="24"/>
        <v>-11000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97" t="s">
        <v>31</v>
      </c>
      <c r="C42" s="98">
        <v>18231027</v>
      </c>
      <c r="D42" s="61" t="s">
        <v>155</v>
      </c>
      <c r="E42" s="38" t="s">
        <v>1438</v>
      </c>
      <c r="F42" s="39" t="s">
        <v>1439</v>
      </c>
      <c r="G42" s="39"/>
      <c r="H42" s="39"/>
      <c r="I42" s="40"/>
      <c r="J42" s="41">
        <v>17</v>
      </c>
      <c r="K42" s="41">
        <v>0</v>
      </c>
      <c r="L42" s="41"/>
      <c r="M42" s="42">
        <v>100</v>
      </c>
      <c r="N42" s="42">
        <v>0</v>
      </c>
      <c r="O42" s="43">
        <v>0</v>
      </c>
      <c r="P42" s="44">
        <v>1700</v>
      </c>
      <c r="Q42" s="44">
        <v>0</v>
      </c>
      <c r="R42" s="45">
        <v>0</v>
      </c>
      <c r="S42" s="46">
        <v>0</v>
      </c>
      <c r="T42" s="39">
        <f t="shared" si="19"/>
        <v>0</v>
      </c>
      <c r="U42" s="47">
        <f t="shared" si="20"/>
        <v>0</v>
      </c>
      <c r="V42" s="48">
        <f t="shared" si="21"/>
        <v>-100</v>
      </c>
      <c r="W42" s="49">
        <f t="shared" si="22"/>
        <v>0</v>
      </c>
      <c r="X42" s="44">
        <f t="shared" si="23"/>
        <v>0</v>
      </c>
      <c r="Y42" s="44">
        <f t="shared" si="24"/>
        <v>-1700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97" t="s">
        <v>31</v>
      </c>
      <c r="C43" s="98">
        <v>18231027</v>
      </c>
      <c r="D43" s="61" t="s">
        <v>155</v>
      </c>
      <c r="E43" s="38" t="s">
        <v>1446</v>
      </c>
      <c r="F43" s="39" t="s">
        <v>1447</v>
      </c>
      <c r="G43" s="39"/>
      <c r="H43" s="39"/>
      <c r="I43" s="40"/>
      <c r="J43" s="41">
        <v>9</v>
      </c>
      <c r="K43" s="41">
        <v>0</v>
      </c>
      <c r="L43" s="41"/>
      <c r="M43" s="42">
        <v>200</v>
      </c>
      <c r="N43" s="42">
        <v>0</v>
      </c>
      <c r="O43" s="43">
        <v>0</v>
      </c>
      <c r="P43" s="44">
        <v>1800</v>
      </c>
      <c r="Q43" s="44">
        <v>0</v>
      </c>
      <c r="R43" s="45">
        <v>0</v>
      </c>
      <c r="S43" s="46">
        <v>0</v>
      </c>
      <c r="T43" s="39">
        <f t="shared" si="19"/>
        <v>0</v>
      </c>
      <c r="U43" s="47">
        <f t="shared" si="20"/>
        <v>0</v>
      </c>
      <c r="V43" s="48">
        <f t="shared" si="21"/>
        <v>-200</v>
      </c>
      <c r="W43" s="49">
        <f t="shared" si="22"/>
        <v>0</v>
      </c>
      <c r="X43" s="44">
        <f t="shared" si="23"/>
        <v>0</v>
      </c>
      <c r="Y43" s="44">
        <f t="shared" si="24"/>
        <v>-1800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97" t="s">
        <v>31</v>
      </c>
      <c r="C44" s="98">
        <v>18231027</v>
      </c>
      <c r="D44" s="61" t="s">
        <v>155</v>
      </c>
      <c r="E44" s="38" t="s">
        <v>1450</v>
      </c>
      <c r="F44" s="39" t="s">
        <v>1451</v>
      </c>
      <c r="G44" s="39">
        <v>15</v>
      </c>
      <c r="H44" s="39"/>
      <c r="I44" s="40" t="s">
        <v>263</v>
      </c>
      <c r="J44" s="41">
        <v>2</v>
      </c>
      <c r="K44" s="41">
        <v>264.26</v>
      </c>
      <c r="L44" s="41"/>
      <c r="M44" s="42">
        <v>375</v>
      </c>
      <c r="N44" s="42">
        <v>258.51</v>
      </c>
      <c r="O44" s="43">
        <v>528.52</v>
      </c>
      <c r="P44" s="44">
        <v>750</v>
      </c>
      <c r="Q44" s="44">
        <v>517.02</v>
      </c>
      <c r="R44" s="45">
        <v>763.14</v>
      </c>
      <c r="S44" s="46">
        <v>0</v>
      </c>
      <c r="T44" s="39">
        <f t="shared" si="19"/>
        <v>15</v>
      </c>
      <c r="U44" s="47">
        <f t="shared" si="20"/>
        <v>4.5883809401440788E-2</v>
      </c>
      <c r="V44" s="48">
        <f t="shared" si="21"/>
        <v>-116.49000000000001</v>
      </c>
      <c r="W44" s="49">
        <f t="shared" si="22"/>
        <v>3.0589206267627191E-3</v>
      </c>
      <c r="X44" s="44">
        <f t="shared" si="23"/>
        <v>956.40291848299478</v>
      </c>
      <c r="Y44" s="44">
        <f t="shared" si="24"/>
        <v>-232.98000000000002</v>
      </c>
      <c r="Z44" s="44">
        <f t="shared" si="25"/>
        <v>3451.5307644280379</v>
      </c>
      <c r="AA44" s="50">
        <f t="shared" si="26"/>
        <v>1473.4229184829946</v>
      </c>
      <c r="AB44" s="51">
        <f t="shared" si="27"/>
        <v>3231.770378677938</v>
      </c>
      <c r="AC44" s="44">
        <f t="shared" si="28"/>
        <v>1379.6094742350135</v>
      </c>
      <c r="AD44" s="44">
        <f t="shared" si="29"/>
        <v>14078.549552469807</v>
      </c>
      <c r="AE44" s="44">
        <f t="shared" si="30"/>
        <v>0</v>
      </c>
      <c r="AF44" s="52">
        <f>HLOOKUP(I44,GasAvoidedCostsWOCC!$A$5:$G$50,G44+1,FALSE)</f>
        <v>10.0979972195621</v>
      </c>
      <c r="AG44" s="44">
        <f t="shared" si="31"/>
        <v>5336.9934904829606</v>
      </c>
      <c r="AH44" s="52">
        <f>HLOOKUP(I44,GasAvoidedCostsWOCC!$A$5:$Q$50,T44+1,FALSE)</f>
        <v>10.0979972195621</v>
      </c>
      <c r="AI44" s="44">
        <f t="shared" si="32"/>
        <v>0</v>
      </c>
      <c r="AJ44" s="44">
        <f t="shared" si="33"/>
        <v>5336.9934904829606</v>
      </c>
      <c r="AK44" s="44">
        <f>HLOOKUP(I44,GasAvoidedCostsWOCC!$A$5:$Q$50,G44+1,FALSE)*J44*L44</f>
        <v>0</v>
      </c>
      <c r="AL44" s="44">
        <f t="shared" si="34"/>
        <v>5336.9934904829606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5336.9934904829606</v>
      </c>
      <c r="AN44" s="48">
        <f t="shared" si="35"/>
        <v>19949.242392001062</v>
      </c>
      <c r="AO44" s="47">
        <f t="shared" si="36"/>
        <v>1.6514148176165391</v>
      </c>
      <c r="AP44" s="47">
        <f t="shared" si="37"/>
        <v>14.460064797005556</v>
      </c>
    </row>
    <row r="45" spans="2:42" x14ac:dyDescent="0.35">
      <c r="B45" s="97" t="s">
        <v>31</v>
      </c>
      <c r="C45" s="98">
        <v>18231027</v>
      </c>
      <c r="D45" s="61" t="s">
        <v>155</v>
      </c>
      <c r="E45" s="38" t="s">
        <v>1454</v>
      </c>
      <c r="F45" s="39" t="s">
        <v>1455</v>
      </c>
      <c r="G45" s="39">
        <v>15</v>
      </c>
      <c r="H45" s="39"/>
      <c r="I45" s="40" t="s">
        <v>263</v>
      </c>
      <c r="J45" s="41">
        <v>4</v>
      </c>
      <c r="K45" s="41">
        <v>607.79</v>
      </c>
      <c r="L45" s="41"/>
      <c r="M45" s="42">
        <v>3975</v>
      </c>
      <c r="N45" s="42">
        <v>2659</v>
      </c>
      <c r="O45" s="43">
        <v>2431.16</v>
      </c>
      <c r="P45" s="44">
        <v>15900</v>
      </c>
      <c r="Q45" s="44">
        <v>10636</v>
      </c>
      <c r="R45" s="45">
        <v>1755.23</v>
      </c>
      <c r="S45" s="46">
        <v>0</v>
      </c>
      <c r="T45" s="39">
        <f t="shared" si="19"/>
        <v>15</v>
      </c>
      <c r="U45" s="47">
        <f t="shared" si="20"/>
        <v>0.21106274514570267</v>
      </c>
      <c r="V45" s="48">
        <f t="shared" si="21"/>
        <v>-1316</v>
      </c>
      <c r="W45" s="49">
        <f t="shared" si="22"/>
        <v>1.4070849676380177E-2</v>
      </c>
      <c r="X45" s="44">
        <f t="shared" si="23"/>
        <v>4399.3955182379423</v>
      </c>
      <c r="Y45" s="44">
        <f t="shared" si="24"/>
        <v>-5264</v>
      </c>
      <c r="Z45" s="44">
        <f t="shared" si="25"/>
        <v>15876.83253849782</v>
      </c>
      <c r="AA45" s="50">
        <f t="shared" si="26"/>
        <v>15035.395518237943</v>
      </c>
      <c r="AB45" s="51">
        <f t="shared" si="27"/>
        <v>14865.948069754511</v>
      </c>
      <c r="AC45" s="44">
        <f t="shared" si="28"/>
        <v>14078.085691234028</v>
      </c>
      <c r="AD45" s="44">
        <f t="shared" si="29"/>
        <v>64761.623112355745</v>
      </c>
      <c r="AE45" s="44">
        <f t="shared" si="30"/>
        <v>0</v>
      </c>
      <c r="AF45" s="52">
        <f>HLOOKUP(I45,GasAvoidedCostsWOCC!$A$5:$G$50,G45+1,FALSE)</f>
        <v>10.0979972195621</v>
      </c>
      <c r="AG45" s="44">
        <f t="shared" si="31"/>
        <v>24549.846920310592</v>
      </c>
      <c r="AH45" s="52">
        <f>HLOOKUP(I45,GasAvoidedCostsWOCC!$A$5:$Q$50,T45+1,FALSE)</f>
        <v>10.0979972195621</v>
      </c>
      <c r="AI45" s="44">
        <f t="shared" si="32"/>
        <v>0</v>
      </c>
      <c r="AJ45" s="44">
        <f t="shared" si="33"/>
        <v>24549.846920310592</v>
      </c>
      <c r="AK45" s="44">
        <f>HLOOKUP(I45,GasAvoidedCostsWOCC!$A$5:$Q$50,G45+1,FALSE)*J45*L45</f>
        <v>0</v>
      </c>
      <c r="AL45" s="44">
        <f t="shared" si="34"/>
        <v>24549.846920310592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24549.846920310592</v>
      </c>
      <c r="AN45" s="48">
        <f t="shared" si="35"/>
        <v>91766.454724697396</v>
      </c>
      <c r="AO45" s="47">
        <f t="shared" si="36"/>
        <v>1.6514148176165393</v>
      </c>
      <c r="AP45" s="47">
        <f t="shared" si="37"/>
        <v>6.5183901232990378</v>
      </c>
    </row>
    <row r="46" spans="2:42" x14ac:dyDescent="0.35">
      <c r="B46" s="97" t="s">
        <v>31</v>
      </c>
      <c r="C46" s="98">
        <v>18231027</v>
      </c>
      <c r="D46" s="61" t="s">
        <v>155</v>
      </c>
      <c r="E46" s="38" t="s">
        <v>1458</v>
      </c>
      <c r="F46" s="39" t="s">
        <v>1459</v>
      </c>
      <c r="G46" s="39">
        <v>10</v>
      </c>
      <c r="H46" s="39"/>
      <c r="I46" s="40" t="s">
        <v>263</v>
      </c>
      <c r="J46" s="41">
        <v>1</v>
      </c>
      <c r="K46" s="41">
        <v>40.700000000000003</v>
      </c>
      <c r="L46" s="41"/>
      <c r="M46" s="42">
        <v>60</v>
      </c>
      <c r="N46" s="42">
        <v>39.630000000000003</v>
      </c>
      <c r="O46" s="43">
        <v>40.700000000000003</v>
      </c>
      <c r="P46" s="44">
        <v>60</v>
      </c>
      <c r="Q46" s="44">
        <v>39.630000000000003</v>
      </c>
      <c r="R46" s="45">
        <v>110.15</v>
      </c>
      <c r="S46" s="46">
        <v>0</v>
      </c>
      <c r="T46" s="39">
        <f t="shared" si="19"/>
        <v>10</v>
      </c>
      <c r="U46" s="47">
        <f t="shared" si="20"/>
        <v>2.355598075933601E-3</v>
      </c>
      <c r="V46" s="48">
        <f t="shared" si="21"/>
        <v>-20.369999999999997</v>
      </c>
      <c r="W46" s="49">
        <f t="shared" si="22"/>
        <v>2.3555980759336009E-4</v>
      </c>
      <c r="X46" s="44">
        <f t="shared" si="23"/>
        <v>73.650190687689943</v>
      </c>
      <c r="Y46" s="44">
        <f t="shared" si="24"/>
        <v>-20.369999999999997</v>
      </c>
      <c r="Z46" s="44">
        <f t="shared" si="25"/>
        <v>265.79372987251406</v>
      </c>
      <c r="AA46" s="50">
        <f t="shared" si="26"/>
        <v>113.28019068768995</v>
      </c>
      <c r="AB46" s="51">
        <f t="shared" si="27"/>
        <v>248.8705335884963</v>
      </c>
      <c r="AC46" s="44">
        <f t="shared" si="28"/>
        <v>106.06759427686325</v>
      </c>
      <c r="AD46" s="44">
        <f t="shared" si="29"/>
        <v>780.85081413497983</v>
      </c>
      <c r="AE46" s="44">
        <f t="shared" si="30"/>
        <v>0</v>
      </c>
      <c r="AF46" s="52">
        <f>HLOOKUP(I46,GasAvoidedCostsWOCC!$A$5:$G$50,G46+1,FALSE)</f>
        <v>7.0861915055606612</v>
      </c>
      <c r="AG46" s="44">
        <f t="shared" si="31"/>
        <v>288.40799427631896</v>
      </c>
      <c r="AH46" s="52">
        <f>HLOOKUP(I46,GasAvoidedCostsWOCC!$A$5:$Q$50,T46+1,FALSE)</f>
        <v>7.0861915055606612</v>
      </c>
      <c r="AI46" s="44">
        <f t="shared" si="32"/>
        <v>0</v>
      </c>
      <c r="AJ46" s="44">
        <f t="shared" si="33"/>
        <v>288.40799427631896</v>
      </c>
      <c r="AK46" s="44">
        <f>HLOOKUP(I46,GasAvoidedCostsWOCC!$A$5:$Q$50,G46+1,FALSE)*J46*L46</f>
        <v>0</v>
      </c>
      <c r="AL46" s="44">
        <f t="shared" si="34"/>
        <v>288.40799427631896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288.40799427631896</v>
      </c>
      <c r="AN46" s="48">
        <f t="shared" si="35"/>
        <v>1098.0996078389308</v>
      </c>
      <c r="AO46" s="47">
        <f t="shared" si="36"/>
        <v>1.1588675851565347</v>
      </c>
      <c r="AP46" s="47">
        <f t="shared" si="37"/>
        <v>10.352828451757029</v>
      </c>
    </row>
    <row r="47" spans="2:42" x14ac:dyDescent="0.35">
      <c r="B47" s="97" t="s">
        <v>31</v>
      </c>
      <c r="C47" s="98">
        <v>18231027</v>
      </c>
      <c r="D47" s="61" t="s">
        <v>155</v>
      </c>
      <c r="E47" s="38" t="s">
        <v>1460</v>
      </c>
      <c r="F47" s="39" t="s">
        <v>1461</v>
      </c>
      <c r="G47" s="39">
        <v>10</v>
      </c>
      <c r="H47" s="39"/>
      <c r="I47" s="40" t="s">
        <v>263</v>
      </c>
      <c r="J47" s="41">
        <v>1</v>
      </c>
      <c r="K47" s="41">
        <v>95.56</v>
      </c>
      <c r="L47" s="41"/>
      <c r="M47" s="42">
        <v>345</v>
      </c>
      <c r="N47" s="42">
        <v>232</v>
      </c>
      <c r="O47" s="43">
        <v>95.56</v>
      </c>
      <c r="P47" s="44">
        <v>345</v>
      </c>
      <c r="Q47" s="44">
        <v>232</v>
      </c>
      <c r="R47" s="45">
        <v>258.63</v>
      </c>
      <c r="S47" s="46">
        <v>0</v>
      </c>
      <c r="T47" s="39">
        <f t="shared" si="19"/>
        <v>10</v>
      </c>
      <c r="U47" s="47">
        <f t="shared" si="20"/>
        <v>5.5307359247227248E-3</v>
      </c>
      <c r="V47" s="48">
        <f t="shared" si="21"/>
        <v>-113</v>
      </c>
      <c r="W47" s="49">
        <f t="shared" si="22"/>
        <v>5.5307359247227248E-4</v>
      </c>
      <c r="X47" s="44">
        <f t="shared" si="23"/>
        <v>172.92413322151475</v>
      </c>
      <c r="Y47" s="44">
        <f t="shared" si="24"/>
        <v>-113</v>
      </c>
      <c r="Z47" s="44">
        <f t="shared" si="25"/>
        <v>624.06016773015835</v>
      </c>
      <c r="AA47" s="50">
        <f t="shared" si="26"/>
        <v>404.92413322151475</v>
      </c>
      <c r="AB47" s="51">
        <f t="shared" si="27"/>
        <v>584.32599974733921</v>
      </c>
      <c r="AC47" s="44">
        <f t="shared" si="28"/>
        <v>379.14244683662429</v>
      </c>
      <c r="AD47" s="44">
        <f t="shared" si="29"/>
        <v>1833.4221158395808</v>
      </c>
      <c r="AE47" s="44">
        <f t="shared" si="30"/>
        <v>0</v>
      </c>
      <c r="AF47" s="52">
        <f>HLOOKUP(I47,GasAvoidedCostsWOCC!$A$5:$G$50,G47+1,FALSE)</f>
        <v>7.0861915055606612</v>
      </c>
      <c r="AG47" s="44">
        <f t="shared" si="31"/>
        <v>677.15646027137677</v>
      </c>
      <c r="AH47" s="52">
        <f>HLOOKUP(I47,GasAvoidedCostsWOCC!$A$5:$Q$50,T47+1,FALSE)</f>
        <v>7.0861915055606612</v>
      </c>
      <c r="AI47" s="44">
        <f t="shared" si="32"/>
        <v>0</v>
      </c>
      <c r="AJ47" s="44">
        <f t="shared" si="33"/>
        <v>677.15646027137677</v>
      </c>
      <c r="AK47" s="44">
        <f>HLOOKUP(I47,GasAvoidedCostsWOCC!$A$5:$Q$50,G47+1,FALSE)*J47*L47</f>
        <v>0</v>
      </c>
      <c r="AL47" s="44">
        <f t="shared" si="34"/>
        <v>677.15646027137677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677.15646027137677</v>
      </c>
      <c r="AN47" s="48">
        <f t="shared" si="35"/>
        <v>2578.2942221380954</v>
      </c>
      <c r="AO47" s="47">
        <f t="shared" si="36"/>
        <v>1.1588675851565344</v>
      </c>
      <c r="AP47" s="47">
        <f t="shared" si="37"/>
        <v>6.8003312307817234</v>
      </c>
    </row>
    <row r="48" spans="2:42" x14ac:dyDescent="0.35">
      <c r="B48" s="97" t="s">
        <v>31</v>
      </c>
      <c r="C48" s="98">
        <v>18231027</v>
      </c>
      <c r="D48" s="61" t="s">
        <v>155</v>
      </c>
      <c r="E48" s="38" t="s">
        <v>1466</v>
      </c>
      <c r="F48" s="39" t="s">
        <v>1467</v>
      </c>
      <c r="G48" s="39">
        <v>12</v>
      </c>
      <c r="H48" s="39"/>
      <c r="I48" s="40" t="s">
        <v>263</v>
      </c>
      <c r="J48" s="41">
        <v>6</v>
      </c>
      <c r="K48" s="41">
        <v>812</v>
      </c>
      <c r="L48" s="41"/>
      <c r="M48" s="42">
        <v>3000</v>
      </c>
      <c r="N48" s="42">
        <v>2648</v>
      </c>
      <c r="O48" s="43">
        <v>4872</v>
      </c>
      <c r="P48" s="44">
        <v>18000</v>
      </c>
      <c r="Q48" s="44">
        <v>15888</v>
      </c>
      <c r="R48" s="45">
        <v>0</v>
      </c>
      <c r="S48" s="46">
        <v>0</v>
      </c>
      <c r="T48" s="39">
        <f t="shared" si="19"/>
        <v>12</v>
      </c>
      <c r="U48" s="47">
        <f t="shared" si="20"/>
        <v>0.33837269265695835</v>
      </c>
      <c r="V48" s="48">
        <f t="shared" si="21"/>
        <v>-352</v>
      </c>
      <c r="W48" s="49">
        <f t="shared" si="22"/>
        <v>2.819772438807986E-2</v>
      </c>
      <c r="X48" s="44">
        <f t="shared" si="23"/>
        <v>8816.3078385853896</v>
      </c>
      <c r="Y48" s="44">
        <f t="shared" si="24"/>
        <v>-2112</v>
      </c>
      <c r="Z48" s="44">
        <f t="shared" si="25"/>
        <v>31816.880883019374</v>
      </c>
      <c r="AA48" s="50">
        <f t="shared" si="26"/>
        <v>24704.307838585388</v>
      </c>
      <c r="AB48" s="51">
        <f t="shared" si="27"/>
        <v>29791.086969119264</v>
      </c>
      <c r="AC48" s="44">
        <f t="shared" si="28"/>
        <v>23131.374380697929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8.3277384738044908</v>
      </c>
      <c r="AG48" s="44">
        <f t="shared" si="31"/>
        <v>40572.74184437548</v>
      </c>
      <c r="AH48" s="52">
        <f>HLOOKUP(I48,GasAvoidedCostsWOCC!$A$5:$Q$50,T48+1,FALSE)</f>
        <v>8.3277384738044908</v>
      </c>
      <c r="AI48" s="44">
        <f t="shared" si="32"/>
        <v>0</v>
      </c>
      <c r="AJ48" s="44">
        <f t="shared" si="33"/>
        <v>40572.74184437548</v>
      </c>
      <c r="AK48" s="44">
        <f>HLOOKUP(I48,GasAvoidedCostsWOCC!$A$5:$Q$50,G48+1,FALSE)*J48*L48</f>
        <v>0</v>
      </c>
      <c r="AL48" s="44">
        <f t="shared" si="34"/>
        <v>40572.74184437548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40572.74184437548</v>
      </c>
      <c r="AN48" s="48">
        <f t="shared" si="35"/>
        <v>44630.016028813028</v>
      </c>
      <c r="AO48" s="47">
        <f t="shared" si="36"/>
        <v>1.3619087442640889</v>
      </c>
      <c r="AP48" s="47">
        <f t="shared" si="37"/>
        <v>1.9294147980266461</v>
      </c>
    </row>
    <row r="49" spans="2:42" x14ac:dyDescent="0.35">
      <c r="B49" s="97" t="s">
        <v>31</v>
      </c>
      <c r="C49" s="98">
        <v>18231027</v>
      </c>
      <c r="D49" s="61" t="s">
        <v>155</v>
      </c>
      <c r="E49" s="38" t="s">
        <v>1470</v>
      </c>
      <c r="F49" s="39" t="s">
        <v>1471</v>
      </c>
      <c r="G49" s="39">
        <v>12</v>
      </c>
      <c r="H49" s="39"/>
      <c r="I49" s="40" t="s">
        <v>263</v>
      </c>
      <c r="J49" s="41">
        <v>11</v>
      </c>
      <c r="K49" s="41">
        <v>406</v>
      </c>
      <c r="L49" s="41"/>
      <c r="M49" s="42">
        <v>1500</v>
      </c>
      <c r="N49" s="42">
        <v>1324</v>
      </c>
      <c r="O49" s="43">
        <v>4466</v>
      </c>
      <c r="P49" s="44">
        <v>16500</v>
      </c>
      <c r="Q49" s="44">
        <v>14564</v>
      </c>
      <c r="R49" s="45">
        <v>0</v>
      </c>
      <c r="S49" s="46">
        <v>0</v>
      </c>
      <c r="T49" s="39">
        <f t="shared" ref="T49:T88" si="38">G49+H49</f>
        <v>12</v>
      </c>
      <c r="U49" s="47">
        <f t="shared" ref="U49:U88" si="39">(O49/$A$10)*T49</f>
        <v>0.31017496826887847</v>
      </c>
      <c r="V49" s="48">
        <f t="shared" ref="V49:V88" si="40">N49-M49</f>
        <v>-176</v>
      </c>
      <c r="W49" s="49">
        <f t="shared" ref="W49:W88" si="41">(O49/A$10)</f>
        <v>2.5847914022406538E-2</v>
      </c>
      <c r="X49" s="44">
        <f t="shared" ref="X49:X88" si="42">W49*A$8</f>
        <v>8081.6155187032746</v>
      </c>
      <c r="Y49" s="44">
        <f t="shared" ref="Y49:Y88" si="43">Q49-P49</f>
        <v>-1936</v>
      </c>
      <c r="Z49" s="44">
        <f t="shared" ref="Z49:Z88" si="44">X49+(A$6*W49)</f>
        <v>29165.474142767762</v>
      </c>
      <c r="AA49" s="50">
        <f t="shared" ref="AA49:AA88" si="45">Q49+X49</f>
        <v>22645.615518703275</v>
      </c>
      <c r="AB49" s="51">
        <f t="shared" ref="AB49:AB88" si="46">Z49/(1+GasDiscountRate)^1</f>
        <v>27308.496388359326</v>
      </c>
      <c r="AC49" s="44">
        <f t="shared" ref="AC49:AC88" si="47">AA49/(1+GasDiscountRate)^1</f>
        <v>21203.759848973103</v>
      </c>
      <c r="AD49" s="44">
        <f t="shared" ref="AD49:AD88" si="48">-PV(GasDiscountRate,T49,R49)*J49</f>
        <v>0</v>
      </c>
      <c r="AE49" s="44">
        <f t="shared" ref="AE49:AE88" si="49">-PV(GasDiscountRate,T49,S49)*J49</f>
        <v>0</v>
      </c>
      <c r="AF49" s="52">
        <f>HLOOKUP(I49,GasAvoidedCostsWOCC!$A$5:$G$50,G49+1,FALSE)</f>
        <v>8.3277384738044908</v>
      </c>
      <c r="AG49" s="44">
        <f t="shared" ref="AG49:AG88" si="50">AF49*J49*K49</f>
        <v>37191.680024010857</v>
      </c>
      <c r="AH49" s="52">
        <f>HLOOKUP(I49,GasAvoidedCostsWOCC!$A$5:$Q$50,T49+1,FALSE)</f>
        <v>8.3277384738044908</v>
      </c>
      <c r="AI49" s="44">
        <f t="shared" ref="AI49:AI88" si="51">AH49*J49*L49</f>
        <v>0</v>
      </c>
      <c r="AJ49" s="44">
        <f t="shared" ref="AJ49:AJ88" si="52">AG49+AI49</f>
        <v>37191.680024010857</v>
      </c>
      <c r="AK49" s="44">
        <f>HLOOKUP(I49,GasAvoidedCostsWOCC!$A$5:$Q$50,G49+1,FALSE)*J49*L49</f>
        <v>0</v>
      </c>
      <c r="AL49" s="44">
        <f t="shared" ref="AL49:AL88" si="53">AG49+AI49-AK49</f>
        <v>37191.680024010857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37191.680024010857</v>
      </c>
      <c r="AN49" s="48">
        <f t="shared" ref="AN49:AN88" si="54">AM49*1.1+AD49+AE49</f>
        <v>40910.848026411943</v>
      </c>
      <c r="AO49" s="47">
        <f t="shared" ref="AO49:AO88" si="55">IFERROR(AM49/AB49,0)</f>
        <v>1.3619087442640889</v>
      </c>
      <c r="AP49" s="47">
        <f t="shared" ref="AP49:AP88" si="56">AN49/AC49</f>
        <v>1.9294147980266458</v>
      </c>
    </row>
    <row r="50" spans="2:42" x14ac:dyDescent="0.35">
      <c r="B50" s="97" t="s">
        <v>31</v>
      </c>
      <c r="C50" s="98">
        <v>18231027</v>
      </c>
      <c r="D50" s="61" t="s">
        <v>155</v>
      </c>
      <c r="E50" s="38" t="s">
        <v>1474</v>
      </c>
      <c r="F50" s="39" t="s">
        <v>1475</v>
      </c>
      <c r="G50" s="39">
        <v>12</v>
      </c>
      <c r="H50" s="39"/>
      <c r="I50" s="40" t="s">
        <v>263</v>
      </c>
      <c r="J50" s="41">
        <v>9</v>
      </c>
      <c r="K50" s="41">
        <v>1021</v>
      </c>
      <c r="L50" s="41"/>
      <c r="M50" s="42">
        <v>3750</v>
      </c>
      <c r="N50" s="42">
        <v>2531</v>
      </c>
      <c r="O50" s="43">
        <v>9189</v>
      </c>
      <c r="P50" s="44">
        <v>33750</v>
      </c>
      <c r="Q50" s="44">
        <v>22779</v>
      </c>
      <c r="R50" s="45">
        <v>1183.3900000000001</v>
      </c>
      <c r="S50" s="46">
        <v>0</v>
      </c>
      <c r="T50" s="39">
        <f t="shared" si="38"/>
        <v>12</v>
      </c>
      <c r="U50" s="47">
        <f t="shared" si="39"/>
        <v>0.63819923498045772</v>
      </c>
      <c r="V50" s="48">
        <f t="shared" si="40"/>
        <v>-1219</v>
      </c>
      <c r="W50" s="49">
        <f t="shared" si="41"/>
        <v>5.3183269581704808E-2</v>
      </c>
      <c r="X50" s="44">
        <f t="shared" si="42"/>
        <v>16628.294895065916</v>
      </c>
      <c r="Y50" s="44">
        <f t="shared" si="43"/>
        <v>-10971</v>
      </c>
      <c r="Z50" s="44">
        <f t="shared" si="44"/>
        <v>60009.301813231737</v>
      </c>
      <c r="AA50" s="50">
        <f t="shared" si="45"/>
        <v>39407.294895065919</v>
      </c>
      <c r="AB50" s="51">
        <f t="shared" si="46"/>
        <v>56188.484843849939</v>
      </c>
      <c r="AC50" s="44">
        <f t="shared" si="47"/>
        <v>36898.216193881948</v>
      </c>
      <c r="AD50" s="44">
        <f t="shared" si="48"/>
        <v>85502.737865203075</v>
      </c>
      <c r="AE50" s="44">
        <f t="shared" si="49"/>
        <v>0</v>
      </c>
      <c r="AF50" s="52">
        <f>HLOOKUP(I50,GasAvoidedCostsWOCC!$A$5:$G$50,G50+1,FALSE)</f>
        <v>8.3277384738044908</v>
      </c>
      <c r="AG50" s="44">
        <f t="shared" si="50"/>
        <v>76523.588835789458</v>
      </c>
      <c r="AH50" s="52">
        <f>HLOOKUP(I50,GasAvoidedCostsWOCC!$A$5:$Q$50,T50+1,FALSE)</f>
        <v>8.3277384738044908</v>
      </c>
      <c r="AI50" s="44">
        <f t="shared" si="51"/>
        <v>0</v>
      </c>
      <c r="AJ50" s="44">
        <f t="shared" si="52"/>
        <v>76523.588835789458</v>
      </c>
      <c r="AK50" s="44">
        <f>HLOOKUP(I50,GasAvoidedCostsWOCC!$A$5:$Q$50,G50+1,FALSE)*J50*L50</f>
        <v>0</v>
      </c>
      <c r="AL50" s="44">
        <f t="shared" si="53"/>
        <v>76523.588835789458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76523.588835789473</v>
      </c>
      <c r="AN50" s="48">
        <f t="shared" si="54"/>
        <v>169678.6855845715</v>
      </c>
      <c r="AO50" s="47">
        <f t="shared" si="55"/>
        <v>1.3619087442640891</v>
      </c>
      <c r="AP50" s="47">
        <f t="shared" si="56"/>
        <v>4.5985606646400896</v>
      </c>
    </row>
    <row r="51" spans="2:42" x14ac:dyDescent="0.35">
      <c r="B51" s="97" t="s">
        <v>31</v>
      </c>
      <c r="C51" s="98">
        <v>18231027</v>
      </c>
      <c r="D51" s="61" t="s">
        <v>155</v>
      </c>
      <c r="E51" s="38" t="s">
        <v>1476</v>
      </c>
      <c r="F51" s="39" t="s">
        <v>1477</v>
      </c>
      <c r="G51" s="39">
        <v>15</v>
      </c>
      <c r="H51" s="39"/>
      <c r="I51" s="40" t="s">
        <v>266</v>
      </c>
      <c r="J51" s="41">
        <v>1</v>
      </c>
      <c r="K51" s="41">
        <v>1586</v>
      </c>
      <c r="L51" s="41"/>
      <c r="M51" s="42">
        <v>11700</v>
      </c>
      <c r="N51" s="42">
        <v>9988.25</v>
      </c>
      <c r="O51" s="43">
        <v>1586</v>
      </c>
      <c r="P51" s="44">
        <v>11700</v>
      </c>
      <c r="Q51" s="44">
        <v>9988.25</v>
      </c>
      <c r="R51" s="45">
        <v>0</v>
      </c>
      <c r="S51" s="46">
        <v>0</v>
      </c>
      <c r="T51" s="39">
        <f t="shared" si="38"/>
        <v>15</v>
      </c>
      <c r="U51" s="47">
        <f t="shared" si="39"/>
        <v>0.13768962709204019</v>
      </c>
      <c r="V51" s="48">
        <f t="shared" si="40"/>
        <v>-1711.75</v>
      </c>
      <c r="W51" s="49">
        <f t="shared" si="41"/>
        <v>9.1793084728026796E-3</v>
      </c>
      <c r="X51" s="44">
        <f t="shared" si="42"/>
        <v>2870.0049737266886</v>
      </c>
      <c r="Y51" s="44">
        <f t="shared" si="43"/>
        <v>-1711.75</v>
      </c>
      <c r="Z51" s="44">
        <f t="shared" si="44"/>
        <v>10357.465739012463</v>
      </c>
      <c r="AA51" s="50">
        <f t="shared" si="45"/>
        <v>12858.254973726689</v>
      </c>
      <c r="AB51" s="51">
        <f t="shared" si="46"/>
        <v>9698.0016282888228</v>
      </c>
      <c r="AC51" s="44">
        <f t="shared" si="47"/>
        <v>12039.564582141094</v>
      </c>
      <c r="AD51" s="44">
        <f t="shared" si="48"/>
        <v>0</v>
      </c>
      <c r="AE51" s="44">
        <f t="shared" si="49"/>
        <v>0</v>
      </c>
      <c r="AF51" s="52">
        <f>HLOOKUP(I51,GasAvoidedCostsWOCC!$A$5:$G$50,G51+1,FALSE)</f>
        <v>11.514104422634107</v>
      </c>
      <c r="AG51" s="44">
        <f t="shared" si="50"/>
        <v>18261.369614297695</v>
      </c>
      <c r="AH51" s="52">
        <f>HLOOKUP(I51,GasAvoidedCostsWOCC!$A$5:$Q$50,T51+1,FALSE)</f>
        <v>11.514104422634107</v>
      </c>
      <c r="AI51" s="44">
        <f t="shared" si="51"/>
        <v>0</v>
      </c>
      <c r="AJ51" s="44">
        <f t="shared" si="52"/>
        <v>18261.369614297695</v>
      </c>
      <c r="AK51" s="44">
        <f>HLOOKUP(I51,GasAvoidedCostsWOCC!$A$5:$Q$50,G51+1,FALSE)*J51*L51</f>
        <v>0</v>
      </c>
      <c r="AL51" s="44">
        <f t="shared" si="53"/>
        <v>18261.369614297695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18261.369614297695</v>
      </c>
      <c r="AN51" s="48">
        <f t="shared" si="54"/>
        <v>20087.506575727468</v>
      </c>
      <c r="AO51" s="47">
        <f t="shared" si="55"/>
        <v>1.8830033561790449</v>
      </c>
      <c r="AP51" s="47">
        <f t="shared" si="56"/>
        <v>1.6684578946919975</v>
      </c>
    </row>
    <row r="52" spans="2:42" x14ac:dyDescent="0.35">
      <c r="B52" s="97" t="s">
        <v>31</v>
      </c>
      <c r="C52" s="98">
        <v>18231027</v>
      </c>
      <c r="D52" s="61" t="s">
        <v>155</v>
      </c>
      <c r="E52" s="38" t="s">
        <v>1478</v>
      </c>
      <c r="F52" s="39" t="s">
        <v>1479</v>
      </c>
      <c r="G52" s="39">
        <v>15</v>
      </c>
      <c r="H52" s="39"/>
      <c r="I52" s="40" t="s">
        <v>266</v>
      </c>
      <c r="J52" s="41">
        <v>1</v>
      </c>
      <c r="K52" s="41">
        <v>3660</v>
      </c>
      <c r="L52" s="41"/>
      <c r="M52" s="42">
        <v>27000</v>
      </c>
      <c r="N52" s="42">
        <v>23049.81</v>
      </c>
      <c r="O52" s="43">
        <v>3660</v>
      </c>
      <c r="P52" s="44">
        <v>27000</v>
      </c>
      <c r="Q52" s="44">
        <v>23049.81</v>
      </c>
      <c r="R52" s="45">
        <v>0</v>
      </c>
      <c r="S52" s="46">
        <v>0</v>
      </c>
      <c r="T52" s="39">
        <f t="shared" si="38"/>
        <v>15</v>
      </c>
      <c r="U52" s="47">
        <f t="shared" si="39"/>
        <v>0.31774529328932355</v>
      </c>
      <c r="V52" s="48">
        <f t="shared" si="40"/>
        <v>-3950.1899999999987</v>
      </c>
      <c r="W52" s="49">
        <f t="shared" si="41"/>
        <v>2.1183019552621571E-2</v>
      </c>
      <c r="X52" s="44">
        <f t="shared" si="42"/>
        <v>6623.0884009077445</v>
      </c>
      <c r="Y52" s="44">
        <f t="shared" si="43"/>
        <v>-3950.1899999999987</v>
      </c>
      <c r="Z52" s="44">
        <f t="shared" si="44"/>
        <v>23901.844013105689</v>
      </c>
      <c r="AA52" s="50">
        <f t="shared" si="45"/>
        <v>29672.898400907747</v>
      </c>
      <c r="AB52" s="51">
        <f t="shared" si="46"/>
        <v>22380.003757589595</v>
      </c>
      <c r="AC52" s="44">
        <f t="shared" si="47"/>
        <v>27783.612734932347</v>
      </c>
      <c r="AD52" s="44">
        <f t="shared" si="48"/>
        <v>0</v>
      </c>
      <c r="AE52" s="44">
        <f t="shared" si="49"/>
        <v>0</v>
      </c>
      <c r="AF52" s="52">
        <f>HLOOKUP(I52,GasAvoidedCostsWOCC!$A$5:$G$50,G52+1,FALSE)</f>
        <v>11.514104422634107</v>
      </c>
      <c r="AG52" s="44">
        <f t="shared" si="50"/>
        <v>42141.622186840832</v>
      </c>
      <c r="AH52" s="52">
        <f>HLOOKUP(I52,GasAvoidedCostsWOCC!$A$5:$Q$50,T52+1,FALSE)</f>
        <v>11.514104422634107</v>
      </c>
      <c r="AI52" s="44">
        <f t="shared" si="51"/>
        <v>0</v>
      </c>
      <c r="AJ52" s="44">
        <f t="shared" si="52"/>
        <v>42141.622186840832</v>
      </c>
      <c r="AK52" s="44">
        <f>HLOOKUP(I52,GasAvoidedCostsWOCC!$A$5:$Q$50,G52+1,FALSE)*J52*L52</f>
        <v>0</v>
      </c>
      <c r="AL52" s="44">
        <f t="shared" si="53"/>
        <v>42141.622186840832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42141.622186840832</v>
      </c>
      <c r="AN52" s="48">
        <f t="shared" si="54"/>
        <v>46355.784405524922</v>
      </c>
      <c r="AO52" s="47">
        <f t="shared" si="55"/>
        <v>1.8830033561790445</v>
      </c>
      <c r="AP52" s="47">
        <f t="shared" si="56"/>
        <v>1.6684577649342835</v>
      </c>
    </row>
    <row r="53" spans="2:42" x14ac:dyDescent="0.35">
      <c r="B53" s="97" t="s">
        <v>31</v>
      </c>
      <c r="C53" s="98">
        <v>18231027</v>
      </c>
      <c r="D53" s="61" t="s">
        <v>155</v>
      </c>
      <c r="E53" s="38" t="s">
        <v>1480</v>
      </c>
      <c r="F53" s="39" t="s">
        <v>1481</v>
      </c>
      <c r="G53" s="39">
        <v>15</v>
      </c>
      <c r="H53" s="39"/>
      <c r="I53" s="40" t="s">
        <v>266</v>
      </c>
      <c r="J53" s="41">
        <v>1</v>
      </c>
      <c r="K53" s="41">
        <v>2440</v>
      </c>
      <c r="L53" s="41"/>
      <c r="M53" s="42">
        <v>18000</v>
      </c>
      <c r="N53" s="42">
        <v>15366.54</v>
      </c>
      <c r="O53" s="43">
        <v>2440</v>
      </c>
      <c r="P53" s="44">
        <v>13500</v>
      </c>
      <c r="Q53" s="44">
        <v>15366.54</v>
      </c>
      <c r="R53" s="45">
        <v>0</v>
      </c>
      <c r="S53" s="46">
        <v>0</v>
      </c>
      <c r="T53" s="39">
        <f t="shared" si="38"/>
        <v>15</v>
      </c>
      <c r="U53" s="47">
        <f t="shared" si="39"/>
        <v>0.21183019552621571</v>
      </c>
      <c r="V53" s="48">
        <f t="shared" si="40"/>
        <v>-2633.4599999999991</v>
      </c>
      <c r="W53" s="49">
        <f t="shared" si="41"/>
        <v>1.4122013035081047E-2</v>
      </c>
      <c r="X53" s="44">
        <f t="shared" si="42"/>
        <v>4415.392267271829</v>
      </c>
      <c r="Y53" s="44">
        <f t="shared" si="43"/>
        <v>1866.5400000000009</v>
      </c>
      <c r="Z53" s="44">
        <f t="shared" si="44"/>
        <v>15934.562675403791</v>
      </c>
      <c r="AA53" s="50">
        <f t="shared" si="45"/>
        <v>19781.93226727183</v>
      </c>
      <c r="AB53" s="51">
        <f t="shared" si="46"/>
        <v>14920.002505059729</v>
      </c>
      <c r="AC53" s="44">
        <f t="shared" si="47"/>
        <v>18522.408489954894</v>
      </c>
      <c r="AD53" s="44">
        <f t="shared" si="48"/>
        <v>0</v>
      </c>
      <c r="AE53" s="44">
        <f t="shared" si="49"/>
        <v>0</v>
      </c>
      <c r="AF53" s="52">
        <f>HLOOKUP(I53,GasAvoidedCostsWOCC!$A$5:$G$50,G53+1,FALSE)</f>
        <v>11.514104422634107</v>
      </c>
      <c r="AG53" s="44">
        <f t="shared" si="50"/>
        <v>28094.41479122722</v>
      </c>
      <c r="AH53" s="52">
        <f>HLOOKUP(I53,GasAvoidedCostsWOCC!$A$5:$Q$50,T53+1,FALSE)</f>
        <v>11.514104422634107</v>
      </c>
      <c r="AI53" s="44">
        <f t="shared" si="51"/>
        <v>0</v>
      </c>
      <c r="AJ53" s="44">
        <f t="shared" si="52"/>
        <v>28094.41479122722</v>
      </c>
      <c r="AK53" s="44">
        <f>HLOOKUP(I53,GasAvoidedCostsWOCC!$A$5:$Q$50,G53+1,FALSE)*J53*L53</f>
        <v>0</v>
      </c>
      <c r="AL53" s="44">
        <f t="shared" si="53"/>
        <v>28094.41479122722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28094.41479122722</v>
      </c>
      <c r="AN53" s="48">
        <f t="shared" si="54"/>
        <v>30903.856270349945</v>
      </c>
      <c r="AO53" s="47">
        <f t="shared" si="55"/>
        <v>1.8830033561790445</v>
      </c>
      <c r="AP53" s="47">
        <f t="shared" si="56"/>
        <v>1.6684577649342838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38"/>
        <v>0</v>
      </c>
      <c r="U54" s="47">
        <f t="shared" si="39"/>
        <v>0</v>
      </c>
      <c r="V54" s="48">
        <f t="shared" si="40"/>
        <v>0</v>
      </c>
      <c r="W54" s="49">
        <f t="shared" si="41"/>
        <v>0</v>
      </c>
      <c r="X54" s="44">
        <f t="shared" si="42"/>
        <v>0</v>
      </c>
      <c r="Y54" s="44">
        <f t="shared" si="43"/>
        <v>0</v>
      </c>
      <c r="Z54" s="44">
        <f t="shared" si="44"/>
        <v>0</v>
      </c>
      <c r="AA54" s="50">
        <f t="shared" si="45"/>
        <v>0</v>
      </c>
      <c r="AB54" s="51">
        <f t="shared" si="46"/>
        <v>0</v>
      </c>
      <c r="AC54" s="44">
        <f t="shared" si="47"/>
        <v>0</v>
      </c>
      <c r="AD54" s="44">
        <f t="shared" si="48"/>
        <v>0</v>
      </c>
      <c r="AE54" s="44">
        <f t="shared" si="49"/>
        <v>0</v>
      </c>
      <c r="AF54" s="52" t="e">
        <f>HLOOKUP(I54,GasAvoidedCostsWOCC!$A$5:$G$50,G54+1,FALSE)</f>
        <v>#N/A</v>
      </c>
      <c r="AG54" s="44" t="e">
        <f t="shared" si="50"/>
        <v>#N/A</v>
      </c>
      <c r="AH54" s="52" t="e">
        <f>HLOOKUP(I54,GasAvoidedCostsWOCC!$A$5:$Q$50,T54+1,FALSE)</f>
        <v>#N/A</v>
      </c>
      <c r="AI54" s="44" t="e">
        <f t="shared" si="51"/>
        <v>#N/A</v>
      </c>
      <c r="AJ54" s="44" t="e">
        <f t="shared" si="52"/>
        <v>#N/A</v>
      </c>
      <c r="AK54" s="44" t="e">
        <f>HLOOKUP(I54,GasAvoidedCostsWOCC!$A$5:$Q$50,G54+1,FALSE)*J54*L54</f>
        <v>#N/A</v>
      </c>
      <c r="AL54" s="44" t="e">
        <f t="shared" si="5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54"/>
        <v>0</v>
      </c>
      <c r="AO54" s="47">
        <f t="shared" si="55"/>
        <v>0</v>
      </c>
      <c r="AP54" s="47" t="e">
        <f t="shared" si="5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38"/>
        <v>0</v>
      </c>
      <c r="U55" s="47">
        <f t="shared" si="39"/>
        <v>0</v>
      </c>
      <c r="V55" s="48">
        <f t="shared" si="40"/>
        <v>0</v>
      </c>
      <c r="W55" s="49">
        <f t="shared" si="41"/>
        <v>0</v>
      </c>
      <c r="X55" s="44">
        <f t="shared" si="42"/>
        <v>0</v>
      </c>
      <c r="Y55" s="44">
        <f t="shared" si="43"/>
        <v>0</v>
      </c>
      <c r="Z55" s="44">
        <f t="shared" si="44"/>
        <v>0</v>
      </c>
      <c r="AA55" s="50">
        <f t="shared" si="45"/>
        <v>0</v>
      </c>
      <c r="AB55" s="51">
        <f t="shared" si="46"/>
        <v>0</v>
      </c>
      <c r="AC55" s="44">
        <f t="shared" si="47"/>
        <v>0</v>
      </c>
      <c r="AD55" s="44">
        <f t="shared" si="48"/>
        <v>0</v>
      </c>
      <c r="AE55" s="44">
        <f t="shared" si="49"/>
        <v>0</v>
      </c>
      <c r="AF55" s="52" t="e">
        <f>HLOOKUP(I55,GasAvoidedCostsWOCC!$A$5:$G$50,G55+1,FALSE)</f>
        <v>#N/A</v>
      </c>
      <c r="AG55" s="44" t="e">
        <f t="shared" si="50"/>
        <v>#N/A</v>
      </c>
      <c r="AH55" s="52" t="e">
        <f>HLOOKUP(I55,GasAvoidedCostsWOCC!$A$5:$Q$50,T55+1,FALSE)</f>
        <v>#N/A</v>
      </c>
      <c r="AI55" s="44" t="e">
        <f t="shared" si="51"/>
        <v>#N/A</v>
      </c>
      <c r="AJ55" s="44" t="e">
        <f t="shared" si="52"/>
        <v>#N/A</v>
      </c>
      <c r="AK55" s="44" t="e">
        <f>HLOOKUP(I55,GasAvoidedCostsWOCC!$A$5:$Q$50,G55+1,FALSE)*J55*L55</f>
        <v>#N/A</v>
      </c>
      <c r="AL55" s="44" t="e">
        <f t="shared" si="5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54"/>
        <v>0</v>
      </c>
      <c r="AO55" s="47">
        <f t="shared" si="55"/>
        <v>0</v>
      </c>
      <c r="AP55" s="47" t="e">
        <f t="shared" si="5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HLOOKUP(I56,GasAvoidedCostsWOCC!$A$5:$G$50,G56+1,FALSE)</f>
        <v>#N/A</v>
      </c>
      <c r="AG56" s="44" t="e">
        <f t="shared" si="50"/>
        <v>#N/A</v>
      </c>
      <c r="AH56" s="52" t="e">
        <f>HLOOKUP(I56,GasAvoidedCostsWOCC!$A$5:$Q$50,T56+1,FALSE)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HLOOKUP(I56,GasAvoidedCostsWOCC!$A$5:$Q$50,G56+1,FALSE)*J56*L56</f>
        <v>#N/A</v>
      </c>
      <c r="AL56" s="44" t="e">
        <f t="shared" si="5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HLOOKUP(I57,GasAvoidedCostsWOCC!$A$5:$G$50,G57+1,FALSE)</f>
        <v>#N/A</v>
      </c>
      <c r="AG57" s="44" t="e">
        <f t="shared" si="50"/>
        <v>#N/A</v>
      </c>
      <c r="AH57" s="52" t="e">
        <f>HLOOKUP(I57,GasAvoidedCostsWOCC!$A$5:$Q$50,T57+1,FALSE)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HLOOKUP(I57,GasAvoidedCostsWOCC!$A$5:$Q$50,G57+1,FALSE)*J57*L57</f>
        <v>#N/A</v>
      </c>
      <c r="AL57" s="44" t="e">
        <f t="shared" si="5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HLOOKUP(I58,GasAvoidedCostsWOCC!$A$5:$G$50,G58+1,FALSE)</f>
        <v>#N/A</v>
      </c>
      <c r="AG58" s="44" t="e">
        <f t="shared" si="50"/>
        <v>#N/A</v>
      </c>
      <c r="AH58" s="52" t="e">
        <f>HLOOKUP(I58,GasAvoidedCostsWOCC!$A$5:$Q$50,T58+1,FALSE)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HLOOKUP(I58,GasAvoidedCostsWOCC!$A$5:$Q$50,G58+1,FALSE)*J58*L58</f>
        <v>#N/A</v>
      </c>
      <c r="AL58" s="44" t="e">
        <f t="shared" si="5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HLOOKUP(I59,GasAvoidedCostsWOCC!$A$5:$G$50,G59+1,FALSE)</f>
        <v>#N/A</v>
      </c>
      <c r="AG59" s="44" t="e">
        <f t="shared" si="50"/>
        <v>#N/A</v>
      </c>
      <c r="AH59" s="52" t="e">
        <f>HLOOKUP(I59,GasAvoidedCostsWOCC!$A$5:$Q$50,T59+1,FALSE)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HLOOKUP(I59,GasAvoidedCostsWOCC!$A$5:$Q$50,G59+1,FALSE)*J59*L59</f>
        <v>#N/A</v>
      </c>
      <c r="AL59" s="44" t="e">
        <f t="shared" si="5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HLOOKUP(I60,GasAvoidedCostsWOCC!$A$5:$G$50,G60+1,FALSE)</f>
        <v>#N/A</v>
      </c>
      <c r="AG60" s="44" t="e">
        <f t="shared" si="50"/>
        <v>#N/A</v>
      </c>
      <c r="AH60" s="52" t="e">
        <f>HLOOKUP(I60,GasAvoidedCostsWOCC!$A$5:$Q$50,T60+1,FALSE)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HLOOKUP(I60,GasAvoidedCostsWOCC!$A$5:$Q$50,G60+1,FALSE)*J60*L60</f>
        <v>#N/A</v>
      </c>
      <c r="AL60" s="44" t="e">
        <f t="shared" si="5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HLOOKUP(I61,GasAvoidedCostsWOCC!$A$5:$G$50,G61+1,FALSE)</f>
        <v>#N/A</v>
      </c>
      <c r="AG61" s="44" t="e">
        <f t="shared" si="50"/>
        <v>#N/A</v>
      </c>
      <c r="AH61" s="52" t="e">
        <f>HLOOKUP(I61,GasAvoidedCostsWOCC!$A$5:$Q$50,T61+1,FALSE)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HLOOKUP(I61,GasAvoidedCostsWOCC!$A$5:$Q$50,G61+1,FALSE)*J61*L61</f>
        <v>#N/A</v>
      </c>
      <c r="AL61" s="44" t="e">
        <f t="shared" si="5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HLOOKUP(I62,GasAvoidedCostsWOCC!$A$5:$G$50,G62+1,FALSE)</f>
        <v>#N/A</v>
      </c>
      <c r="AG62" s="44" t="e">
        <f t="shared" si="50"/>
        <v>#N/A</v>
      </c>
      <c r="AH62" s="52" t="e">
        <f>HLOOKUP(I62,GasAvoidedCostsWOCC!$A$5:$Q$50,T62+1,FALSE)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HLOOKUP(I62,GasAvoidedCostsWOCC!$A$5:$Q$50,G62+1,FALSE)*J62*L62</f>
        <v>#N/A</v>
      </c>
      <c r="AL62" s="44" t="e">
        <f t="shared" si="5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HLOOKUP(I63,GasAvoidedCostsWOCC!$A$5:$G$50,G63+1,FALSE)</f>
        <v>#N/A</v>
      </c>
      <c r="AG63" s="44" t="e">
        <f t="shared" si="50"/>
        <v>#N/A</v>
      </c>
      <c r="AH63" s="52" t="e">
        <f>HLOOKUP(I63,GasAvoidedCostsWOCC!$A$5:$Q$50,T63+1,FALSE)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HLOOKUP(I63,GasAvoidedCostsWOCC!$A$5:$Q$50,G63+1,FALSE)*J63*L63</f>
        <v>#N/A</v>
      </c>
      <c r="AL63" s="44" t="e">
        <f t="shared" si="5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HLOOKUP(I64,GasAvoidedCostsWOCC!$A$5:$G$50,G64+1,FALSE)</f>
        <v>#N/A</v>
      </c>
      <c r="AG64" s="44" t="e">
        <f t="shared" si="50"/>
        <v>#N/A</v>
      </c>
      <c r="AH64" s="52" t="e">
        <f>HLOOKUP(I64,GasAvoidedCostsWOCC!$A$5:$Q$50,T64+1,FALSE)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HLOOKUP(I64,GasAvoidedCostsWOCC!$A$5:$Q$50,G64+1,FALSE)*J64*L64</f>
        <v>#N/A</v>
      </c>
      <c r="AL64" s="44" t="e">
        <f t="shared" si="5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HLOOKUP(I65,GasAvoidedCostsWOCC!$A$5:$G$50,G65+1,FALSE)</f>
        <v>#N/A</v>
      </c>
      <c r="AG65" s="44" t="e">
        <f t="shared" si="50"/>
        <v>#N/A</v>
      </c>
      <c r="AH65" s="52" t="e">
        <f>HLOOKUP(I65,GasAvoidedCostsWOCC!$A$5:$Q$50,T65+1,FALSE)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HLOOKUP(I65,GasAvoidedCostsWOCC!$A$5:$Q$50,G65+1,FALSE)*J65*L65</f>
        <v>#N/A</v>
      </c>
      <c r="AL65" s="44" t="e">
        <f t="shared" si="5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HLOOKUP(I66,GasAvoidedCostsWOCC!$A$5:$G$50,G66+1,FALSE)</f>
        <v>#N/A</v>
      </c>
      <c r="AG66" s="44" t="e">
        <f t="shared" si="50"/>
        <v>#N/A</v>
      </c>
      <c r="AH66" s="52" t="e">
        <f>HLOOKUP(I66,GasAvoidedCostsWOCC!$A$5:$Q$50,T66+1,FALSE)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HLOOKUP(I66,GasAvoidedCostsWOCC!$A$5:$Q$50,G66+1,FALSE)*J66*L66</f>
        <v>#N/A</v>
      </c>
      <c r="AL66" s="44" t="e">
        <f t="shared" si="5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HLOOKUP(I67,GasAvoidedCostsWOCC!$A$5:$G$50,G67+1,FALSE)</f>
        <v>#N/A</v>
      </c>
      <c r="AG67" s="44" t="e">
        <f t="shared" si="50"/>
        <v>#N/A</v>
      </c>
      <c r="AH67" s="52" t="e">
        <f>HLOOKUP(I67,GasAvoidedCostsWOCC!$A$5:$Q$50,T67+1,FALSE)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HLOOKUP(I67,GasAvoidedCostsWOCC!$A$5:$Q$50,G67+1,FALSE)*J67*L67</f>
        <v>#N/A</v>
      </c>
      <c r="AL67" s="44" t="e">
        <f t="shared" si="5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</sheetData>
  <conditionalFormatting sqref="J5:L8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88 R5:S88">
    <cfRule type="expression" dxfId="37" priority="2">
      <formula>ISTEXT(M5)</formula>
    </cfRule>
  </conditionalFormatting>
  <conditionalFormatting sqref="M5:N88 R5:S88">
    <cfRule type="notContainsBlanks" dxfId="36" priority="3">
      <formula>LEN(TRIM(M5))&gt;0</formula>
    </cfRule>
  </conditionalFormatting>
  <conditionalFormatting sqref="R5:S8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495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18231029</v>
      </c>
      <c r="D2" s="20" t="s">
        <v>156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18231029</v>
      </c>
      <c r="D5" s="61" t="s">
        <v>156</v>
      </c>
      <c r="E5" s="38" t="s">
        <v>1484</v>
      </c>
      <c r="F5" s="517" t="s">
        <v>1485</v>
      </c>
      <c r="G5" s="39">
        <v>10</v>
      </c>
      <c r="H5" s="39"/>
      <c r="I5" s="40" t="s">
        <v>266</v>
      </c>
      <c r="J5" s="41">
        <v>6.41</v>
      </c>
      <c r="K5" s="41">
        <v>18</v>
      </c>
      <c r="L5" s="41"/>
      <c r="M5" s="42">
        <v>0</v>
      </c>
      <c r="N5" s="42">
        <v>0</v>
      </c>
      <c r="O5" s="43">
        <v>115.38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0.12391581714845411</v>
      </c>
      <c r="V5" s="48">
        <f t="shared" ref="V5:V24" si="2">N5-M5</f>
        <v>0</v>
      </c>
      <c r="W5" s="49">
        <f t="shared" ref="W5:W24" si="3">(O5/A$10)</f>
        <v>1.2391581714845411E-2</v>
      </c>
      <c r="X5" s="44">
        <f t="shared" ref="X5:X24" si="4">W5*A$8</f>
        <v>484.81307572848061</v>
      </c>
      <c r="Y5" s="44">
        <f t="shared" ref="Y5:Y24" si="5">Q5-P5</f>
        <v>0</v>
      </c>
      <c r="Z5" s="44">
        <f t="shared" ref="Z5:Z24" si="6">X5+(A$6*W5)</f>
        <v>484.81307572848061</v>
      </c>
      <c r="AA5" s="50">
        <f t="shared" ref="AA5:AA24" si="7">Q5+X5</f>
        <v>484.81307572848061</v>
      </c>
      <c r="AB5" s="51">
        <f t="shared" ref="AB5:AB24" si="8">Z5/(1+GasDiscountRate)^1</f>
        <v>453.94482746112413</v>
      </c>
      <c r="AC5" s="44">
        <f t="shared" ref="AC5:AC24" si="9">AA5/(1+GasDiscountRate)^1</f>
        <v>453.94482746112413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8.1802010687406685</v>
      </c>
      <c r="AG5" s="44">
        <f t="shared" ref="AG5:AG24" si="11">AF5*J5*K5</f>
        <v>943.83159931129831</v>
      </c>
      <c r="AH5" s="52">
        <f>HLOOKUP(I5,GasAvoidedCostsWOCC!$A$5:$Q$50,T5+1,FALSE)</f>
        <v>8.1802010687406685</v>
      </c>
      <c r="AI5" s="44">
        <f t="shared" ref="AI5:AI24" si="12">AH5*J5*L5</f>
        <v>0</v>
      </c>
      <c r="AJ5" s="44">
        <f>AG5+AI5</f>
        <v>943.83159931129831</v>
      </c>
      <c r="AK5" s="44">
        <f>HLOOKUP(I5,GasAvoidedCostsWOCC!$A$5:$Q$50,G5+1,FALSE)*J5*L5</f>
        <v>0</v>
      </c>
      <c r="AL5" s="44">
        <f>AG5+AI5-AK5</f>
        <v>943.83159931129831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943.83159931129842</v>
      </c>
      <c r="AN5" s="48">
        <f>AM5*1.1+AD5+AE5</f>
        <v>1038.2147592424283</v>
      </c>
      <c r="AO5" s="47">
        <f>IFERROR(AM5/AB5,0)</f>
        <v>2.0791769003957388</v>
      </c>
      <c r="AP5" s="47">
        <f>AN5/AC5</f>
        <v>2.2870945904353124</v>
      </c>
    </row>
    <row r="6" spans="1:42" ht="13.5" customHeight="1" x14ac:dyDescent="0.35">
      <c r="A6" s="53">
        <f>SUMIF('Program Costs'!D:D,C2,'Program Costs'!L:L)</f>
        <v>0</v>
      </c>
      <c r="B6" s="97" t="s">
        <v>31</v>
      </c>
      <c r="C6" s="98">
        <v>18231029</v>
      </c>
      <c r="D6" s="61" t="s">
        <v>156</v>
      </c>
      <c r="E6" s="38" t="s">
        <v>1490</v>
      </c>
      <c r="F6" s="517" t="s">
        <v>1491</v>
      </c>
      <c r="G6" s="39">
        <v>10</v>
      </c>
      <c r="H6" s="39"/>
      <c r="I6" s="40" t="s">
        <v>266</v>
      </c>
      <c r="J6" s="41">
        <v>58.23</v>
      </c>
      <c r="K6" s="41">
        <v>6</v>
      </c>
      <c r="L6" s="41"/>
      <c r="M6" s="42">
        <v>0</v>
      </c>
      <c r="N6" s="42">
        <v>0</v>
      </c>
      <c r="O6" s="43">
        <v>349.38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0.37522714677870428</v>
      </c>
      <c r="V6" s="48">
        <f t="shared" si="2"/>
        <v>0</v>
      </c>
      <c r="W6" s="49">
        <f t="shared" si="3"/>
        <v>3.7522714677870425E-2</v>
      </c>
      <c r="X6" s="44">
        <f t="shared" si="4"/>
        <v>1468.0533229157268</v>
      </c>
      <c r="Y6" s="44">
        <f t="shared" si="5"/>
        <v>0</v>
      </c>
      <c r="Z6" s="44">
        <f t="shared" si="6"/>
        <v>1468.0533229157268</v>
      </c>
      <c r="AA6" s="50">
        <f t="shared" si="7"/>
        <v>1468.0533229157268</v>
      </c>
      <c r="AB6" s="51">
        <f t="shared" si="8"/>
        <v>1374.5817630297067</v>
      </c>
      <c r="AC6" s="44">
        <f t="shared" si="9"/>
        <v>1374.5817630297067</v>
      </c>
      <c r="AD6" s="44">
        <f t="shared" si="10"/>
        <v>0</v>
      </c>
      <c r="AE6" s="44">
        <v>0</v>
      </c>
      <c r="AF6" s="52">
        <f>HLOOKUP(I6,GasAvoidedCostsWOCC!$A$5:$G$50,G6+1,FALSE)</f>
        <v>8.1802010687406685</v>
      </c>
      <c r="AG6" s="44">
        <f t="shared" si="11"/>
        <v>2857.9986493966148</v>
      </c>
      <c r="AH6" s="52">
        <f>HLOOKUP(I6,GasAvoidedCostsWOCC!$A$5:$Q$50,T6+1,FALSE)</f>
        <v>8.1802010687406685</v>
      </c>
      <c r="AI6" s="44">
        <f t="shared" si="12"/>
        <v>0</v>
      </c>
      <c r="AJ6" s="44">
        <f t="shared" ref="AJ6:AJ24" si="13">AG6+AI6</f>
        <v>2857.9986493966148</v>
      </c>
      <c r="AK6" s="44">
        <f>HLOOKUP(I6,GasAvoidedCostsWOCC!$A$5:$Q$50,G6+1,FALSE)*J6*L6</f>
        <v>0</v>
      </c>
      <c r="AL6" s="44">
        <f t="shared" ref="AL6:AL24" si="14">AG6+AI6-AK6</f>
        <v>2857.9986493966148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2857.9986493966148</v>
      </c>
      <c r="AN6" s="48">
        <f t="shared" ref="AN6:AN24" si="15">AM6*1.1+AD6+AE6</f>
        <v>3143.7985143362766</v>
      </c>
      <c r="AO6" s="47">
        <f t="shared" ref="AO6:AO24" si="16">IFERROR(AM6/AB6,0)</f>
        <v>2.0791769003957383</v>
      </c>
      <c r="AP6" s="47">
        <f t="shared" ref="AP6:AP24" si="17">AN6/AC6</f>
        <v>2.2870945904353124</v>
      </c>
    </row>
    <row r="7" spans="1:42" ht="13.5" customHeight="1" x14ac:dyDescent="0.35">
      <c r="A7" s="36" t="s">
        <v>240</v>
      </c>
      <c r="B7" s="97" t="s">
        <v>31</v>
      </c>
      <c r="C7" s="98">
        <v>18231029</v>
      </c>
      <c r="D7" s="61" t="s">
        <v>156</v>
      </c>
      <c r="E7" s="38" t="s">
        <v>1501</v>
      </c>
      <c r="F7" s="517" t="s">
        <v>1502</v>
      </c>
      <c r="G7" s="39">
        <v>15</v>
      </c>
      <c r="H7" s="39"/>
      <c r="I7" s="40" t="s">
        <v>261</v>
      </c>
      <c r="J7" s="41">
        <v>60</v>
      </c>
      <c r="K7" s="41">
        <v>15.2</v>
      </c>
      <c r="L7" s="41"/>
      <c r="M7" s="42">
        <v>0</v>
      </c>
      <c r="N7" s="42">
        <v>0</v>
      </c>
      <c r="O7" s="43">
        <v>912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15</v>
      </c>
      <c r="U7" s="47">
        <f t="shared" si="1"/>
        <v>1.4692046962999239</v>
      </c>
      <c r="V7" s="48">
        <f t="shared" si="2"/>
        <v>0</v>
      </c>
      <c r="W7" s="49">
        <f t="shared" si="3"/>
        <v>9.7946979753328264E-2</v>
      </c>
      <c r="X7" s="44">
        <f t="shared" si="4"/>
        <v>3832.1158351913186</v>
      </c>
      <c r="Y7" s="44">
        <f t="shared" si="5"/>
        <v>0</v>
      </c>
      <c r="Z7" s="44">
        <f t="shared" si="6"/>
        <v>3832.1158351913186</v>
      </c>
      <c r="AA7" s="50">
        <f t="shared" si="7"/>
        <v>3832.1158351913186</v>
      </c>
      <c r="AB7" s="51">
        <f t="shared" si="8"/>
        <v>3588.1234411903729</v>
      </c>
      <c r="AC7" s="44">
        <f t="shared" si="9"/>
        <v>3588.1234411903729</v>
      </c>
      <c r="AD7" s="44">
        <f t="shared" si="10"/>
        <v>0</v>
      </c>
      <c r="AE7" s="44">
        <v>0</v>
      </c>
      <c r="AF7" s="52">
        <f>HLOOKUP(I7,GasAvoidedCostsWOCC!$A$5:$G$50,G7+1,FALSE)</f>
        <v>10.000114235272545</v>
      </c>
      <c r="AG7" s="44">
        <f t="shared" si="11"/>
        <v>9120.1041825685606</v>
      </c>
      <c r="AH7" s="52">
        <f>HLOOKUP(I7,GasAvoidedCostsWOCC!$A$5:$Q$50,T7+1,FALSE)</f>
        <v>10.000114235272545</v>
      </c>
      <c r="AI7" s="44">
        <f t="shared" si="12"/>
        <v>0</v>
      </c>
      <c r="AJ7" s="44">
        <f t="shared" si="13"/>
        <v>9120.1041825685606</v>
      </c>
      <c r="AK7" s="44">
        <f>HLOOKUP(I7,GasAvoidedCostsWOCC!$A$5:$Q$50,G7+1,FALSE)*J7*L7</f>
        <v>0</v>
      </c>
      <c r="AL7" s="44">
        <f t="shared" si="14"/>
        <v>9120.1041825685606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9120.1041825685606</v>
      </c>
      <c r="AN7" s="48">
        <f t="shared" si="15"/>
        <v>10032.114600825418</v>
      </c>
      <c r="AO7" s="47">
        <f t="shared" si="16"/>
        <v>2.5417476104286236</v>
      </c>
      <c r="AP7" s="47">
        <f t="shared" si="17"/>
        <v>2.7959223714714865</v>
      </c>
    </row>
    <row r="8" spans="1:42" ht="13.5" customHeight="1" x14ac:dyDescent="0.35">
      <c r="A8" s="53">
        <f>SUMIF('Program Costs'!D:D,C2,'Program Costs'!O:O)</f>
        <v>39124.39</v>
      </c>
      <c r="B8" s="97" t="s">
        <v>31</v>
      </c>
      <c r="C8" s="98">
        <v>18231029</v>
      </c>
      <c r="D8" s="61" t="s">
        <v>156</v>
      </c>
      <c r="E8" s="38" t="s">
        <v>1503</v>
      </c>
      <c r="F8" s="517" t="s">
        <v>1504</v>
      </c>
      <c r="G8" s="39">
        <v>15</v>
      </c>
      <c r="H8" s="39"/>
      <c r="I8" s="40" t="s">
        <v>261</v>
      </c>
      <c r="J8" s="41">
        <v>47</v>
      </c>
      <c r="K8" s="41">
        <v>15.2</v>
      </c>
      <c r="L8" s="41"/>
      <c r="M8" s="42">
        <v>0</v>
      </c>
      <c r="N8" s="42">
        <v>0</v>
      </c>
      <c r="O8" s="43">
        <v>714.4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1.150877012101607</v>
      </c>
      <c r="V8" s="48">
        <f t="shared" si="2"/>
        <v>0</v>
      </c>
      <c r="W8" s="49">
        <f t="shared" si="3"/>
        <v>7.6725134140107135E-2</v>
      </c>
      <c r="X8" s="44">
        <f t="shared" si="4"/>
        <v>3001.824070899866</v>
      </c>
      <c r="Y8" s="44">
        <f t="shared" si="5"/>
        <v>0</v>
      </c>
      <c r="Z8" s="44">
        <f t="shared" si="6"/>
        <v>3001.824070899866</v>
      </c>
      <c r="AA8" s="50">
        <f t="shared" si="7"/>
        <v>3001.824070899866</v>
      </c>
      <c r="AB8" s="51">
        <f t="shared" si="8"/>
        <v>2810.6966955991252</v>
      </c>
      <c r="AC8" s="44">
        <f t="shared" si="9"/>
        <v>2810.6966955991252</v>
      </c>
      <c r="AD8" s="44">
        <f t="shared" si="10"/>
        <v>0</v>
      </c>
      <c r="AE8" s="44">
        <v>0</v>
      </c>
      <c r="AF8" s="52">
        <f>HLOOKUP(I8,GasAvoidedCostsWOCC!$A$5:$G$50,G8+1,FALSE)</f>
        <v>10.000114235272545</v>
      </c>
      <c r="AG8" s="44">
        <f t="shared" si="11"/>
        <v>7144.0816096787057</v>
      </c>
      <c r="AH8" s="52">
        <f>HLOOKUP(I8,GasAvoidedCostsWOCC!$A$5:$Q$50,T8+1,FALSE)</f>
        <v>10.000114235272545</v>
      </c>
      <c r="AI8" s="44">
        <f t="shared" si="12"/>
        <v>0</v>
      </c>
      <c r="AJ8" s="44">
        <f t="shared" si="13"/>
        <v>7144.0816096787057</v>
      </c>
      <c r="AK8" s="44">
        <f>HLOOKUP(I8,GasAvoidedCostsWOCC!$A$5:$Q$50,G8+1,FALSE)*J8*L8</f>
        <v>0</v>
      </c>
      <c r="AL8" s="44">
        <f t="shared" si="14"/>
        <v>7144.0816096787057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7144.0816096787057</v>
      </c>
      <c r="AN8" s="48">
        <f t="shared" si="15"/>
        <v>7858.4897706465772</v>
      </c>
      <c r="AO8" s="47">
        <f t="shared" si="16"/>
        <v>2.5417476104286241</v>
      </c>
      <c r="AP8" s="47">
        <f t="shared" si="17"/>
        <v>2.7959223714714865</v>
      </c>
    </row>
    <row r="9" spans="1:42" ht="13.5" customHeight="1" x14ac:dyDescent="0.35">
      <c r="A9" s="36" t="s">
        <v>305</v>
      </c>
      <c r="B9" s="97" t="s">
        <v>31</v>
      </c>
      <c r="C9" s="98">
        <v>18231029</v>
      </c>
      <c r="D9" s="61" t="s">
        <v>156</v>
      </c>
      <c r="E9" s="38" t="s">
        <v>1505</v>
      </c>
      <c r="F9" s="517" t="s">
        <v>1506</v>
      </c>
      <c r="G9" s="39">
        <v>15</v>
      </c>
      <c r="H9" s="39"/>
      <c r="I9" s="40" t="s">
        <v>261</v>
      </c>
      <c r="J9" s="41">
        <v>475</v>
      </c>
      <c r="K9" s="41">
        <v>15.2</v>
      </c>
      <c r="L9" s="41"/>
      <c r="M9" s="42">
        <v>0</v>
      </c>
      <c r="N9" s="42">
        <v>0</v>
      </c>
      <c r="O9" s="43">
        <v>7220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11.631203845707731</v>
      </c>
      <c r="V9" s="48">
        <f t="shared" si="2"/>
        <v>0</v>
      </c>
      <c r="W9" s="49">
        <f t="shared" si="3"/>
        <v>0.77541358971384877</v>
      </c>
      <c r="X9" s="44">
        <f t="shared" si="4"/>
        <v>30337.583695264606</v>
      </c>
      <c r="Y9" s="44">
        <f t="shared" si="5"/>
        <v>0</v>
      </c>
      <c r="Z9" s="44">
        <f t="shared" si="6"/>
        <v>30337.583695264606</v>
      </c>
      <c r="AA9" s="50">
        <f t="shared" si="7"/>
        <v>30337.583695264606</v>
      </c>
      <c r="AB9" s="51">
        <f t="shared" si="8"/>
        <v>28405.977242757119</v>
      </c>
      <c r="AC9" s="44">
        <f t="shared" si="9"/>
        <v>28405.977242757119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10.000114235272545</v>
      </c>
      <c r="AG9" s="44">
        <f t="shared" si="11"/>
        <v>72200.824778667768</v>
      </c>
      <c r="AH9" s="52">
        <f>HLOOKUP(I9,GasAvoidedCostsWOCC!$A$5:$Q$50,T9+1,FALSE)</f>
        <v>10.000114235272545</v>
      </c>
      <c r="AI9" s="44">
        <f t="shared" si="12"/>
        <v>0</v>
      </c>
      <c r="AJ9" s="44">
        <f t="shared" si="13"/>
        <v>72200.824778667768</v>
      </c>
      <c r="AK9" s="44">
        <f>HLOOKUP(I9,GasAvoidedCostsWOCC!$A$5:$Q$50,G9+1,FALSE)*J9*L9</f>
        <v>0</v>
      </c>
      <c r="AL9" s="44">
        <f t="shared" si="14"/>
        <v>72200.824778667768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72200.824778667768</v>
      </c>
      <c r="AN9" s="48">
        <f t="shared" si="15"/>
        <v>79420.907256534556</v>
      </c>
      <c r="AO9" s="47">
        <f t="shared" si="16"/>
        <v>2.5417476104286236</v>
      </c>
      <c r="AP9" s="47">
        <f t="shared" si="17"/>
        <v>2.7959223714714865</v>
      </c>
    </row>
    <row r="10" spans="1:42" ht="13.5" customHeight="1" x14ac:dyDescent="0.35">
      <c r="A10" s="54">
        <f>SUM(O5:O999)</f>
        <v>9311.16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14.75042851803642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39124.39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39124.39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2.5186587189054532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2.7705245907959992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15" sqref="K1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18230248</v>
      </c>
      <c r="D5" s="61" t="s">
        <v>32</v>
      </c>
      <c r="E5" s="38" t="s">
        <v>1539</v>
      </c>
      <c r="F5" s="39" t="s">
        <v>1540</v>
      </c>
      <c r="G5" s="39">
        <v>13</v>
      </c>
      <c r="H5" s="39"/>
      <c r="I5" s="40" t="s">
        <v>260</v>
      </c>
      <c r="J5" s="41">
        <v>338</v>
      </c>
      <c r="K5" s="41">
        <v>1051.439349112426</v>
      </c>
      <c r="L5" s="41"/>
      <c r="M5" s="42">
        <v>5</v>
      </c>
      <c r="N5" s="42">
        <v>5.68</v>
      </c>
      <c r="O5" s="43">
        <v>355386.5</v>
      </c>
      <c r="P5" s="44">
        <v>350552.5</v>
      </c>
      <c r="Q5" s="44">
        <v>398227.34</v>
      </c>
      <c r="R5" s="45">
        <v>0.32069999999999999</v>
      </c>
      <c r="S5" s="46">
        <v>0</v>
      </c>
      <c r="T5" s="39">
        <f t="shared" ref="T5:T24" si="0">G5+H5</f>
        <v>13</v>
      </c>
      <c r="U5" s="47">
        <f t="shared" ref="U5:U24" si="1">(O5/$A$10)*T5</f>
        <v>6.8109409431602437</v>
      </c>
      <c r="V5" s="48">
        <f t="shared" ref="V5:V24" si="2">N5-M5</f>
        <v>0.67999999999999972</v>
      </c>
      <c r="W5" s="49">
        <f t="shared" ref="W5:W24" si="3">(O5/A$10)</f>
        <v>0.52391853408924949</v>
      </c>
      <c r="X5" s="44">
        <f t="shared" ref="X5:X24" si="4">W5*A$8</f>
        <v>249443.95873333944</v>
      </c>
      <c r="Y5" s="44">
        <f t="shared" ref="Y5:Y24" si="5">Q5-P5</f>
        <v>47674.840000000026</v>
      </c>
      <c r="Z5" s="44">
        <f t="shared" ref="Z5:Z24" si="6">X5+(A$6*W5)</f>
        <v>1224500.9728149811</v>
      </c>
      <c r="AA5" s="50">
        <f t="shared" ref="AA5:AA24" si="7">Q5+X5</f>
        <v>647671.29873333941</v>
      </c>
      <c r="AB5" s="51">
        <f t="shared" ref="AB5:AB24" si="8">Z5/(1+GasDiscountRate)^1</f>
        <v>1146536.491399795</v>
      </c>
      <c r="AC5" s="44">
        <f t="shared" ref="AC5:AC24" si="9">AA5/(1+GasDiscountRate)^1</f>
        <v>606433.80031211558</v>
      </c>
      <c r="AD5" s="44">
        <f t="shared" ref="AD5:AD24" si="10">-PV(GasDiscountRate,T5,R5)*J5</f>
        <v>916.30057999203098</v>
      </c>
      <c r="AE5" s="44">
        <v>0</v>
      </c>
      <c r="AF5" s="52">
        <f>HLOOKUP(I5,GasAvoidedCostsWOCC!$A$5:$G$50,G5+1,FALSE)</f>
        <v>8.9461847189088566</v>
      </c>
      <c r="AG5" s="44">
        <f t="shared" ref="AG5:AG24" si="11">AF5*J5*K5</f>
        <v>3179353.2756065028</v>
      </c>
      <c r="AH5" s="52">
        <f>HLOOKUP(I5,GasAvoidedCostsWOCC!$A$5:$Q$50,T5+1,FALSE)</f>
        <v>8.9461847189088566</v>
      </c>
      <c r="AI5" s="44">
        <f t="shared" ref="AI5:AI24" si="12">AH5*J5*L5</f>
        <v>0</v>
      </c>
      <c r="AJ5" s="44">
        <f>AG5+AI5</f>
        <v>3179353.2756065028</v>
      </c>
      <c r="AK5" s="44">
        <f>HLOOKUP(I5,GasAvoidedCostsWOCC!$A$5:$Q$50,G5+1,FALSE)*J5*L5</f>
        <v>0</v>
      </c>
      <c r="AL5" s="44">
        <f>AG5+AI5-AK5</f>
        <v>3179353.2756065028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3179353.2756065023</v>
      </c>
      <c r="AN5" s="48">
        <f>AM5*1.1+AD5+AE5</f>
        <v>3498204.9037471451</v>
      </c>
      <c r="AO5" s="47">
        <f>IFERROR(AM5/AB5,0)</f>
        <v>2.7730066155372528</v>
      </c>
      <c r="AP5" s="47">
        <f>AN5/AC5</f>
        <v>5.7684860275708756</v>
      </c>
    </row>
    <row r="6" spans="1:42" ht="13.5" customHeight="1" x14ac:dyDescent="0.35">
      <c r="A6" s="53">
        <f>SUMIF('Program Costs'!D:D,C2,'Program Costs'!L:L)</f>
        <v>1861085.17</v>
      </c>
      <c r="B6" s="97" t="s">
        <v>31</v>
      </c>
      <c r="C6" s="98">
        <v>18230248</v>
      </c>
      <c r="D6" s="61" t="s">
        <v>32</v>
      </c>
      <c r="E6" s="38" t="s">
        <v>1541</v>
      </c>
      <c r="F6" s="39" t="s">
        <v>1542</v>
      </c>
      <c r="G6" s="39">
        <v>13</v>
      </c>
      <c r="H6" s="39"/>
      <c r="I6" s="40" t="s">
        <v>260</v>
      </c>
      <c r="J6" s="41">
        <v>53</v>
      </c>
      <c r="K6" s="41">
        <v>2576.2162264150943</v>
      </c>
      <c r="L6" s="41"/>
      <c r="M6" s="42">
        <v>5</v>
      </c>
      <c r="N6" s="42">
        <v>10.24</v>
      </c>
      <c r="O6" s="43">
        <v>136539.46</v>
      </c>
      <c r="P6" s="44">
        <v>271458.5</v>
      </c>
      <c r="Q6" s="44">
        <v>555947.03</v>
      </c>
      <c r="R6" s="45">
        <v>0.28389999999999999</v>
      </c>
      <c r="S6" s="46">
        <v>0</v>
      </c>
      <c r="T6" s="39">
        <f t="shared" si="0"/>
        <v>13</v>
      </c>
      <c r="U6" s="47">
        <f t="shared" si="1"/>
        <v>2.6167628721715381</v>
      </c>
      <c r="V6" s="48">
        <f t="shared" si="2"/>
        <v>5.24</v>
      </c>
      <c r="W6" s="49">
        <f t="shared" si="3"/>
        <v>0.20128945170550294</v>
      </c>
      <c r="X6" s="44">
        <f t="shared" si="4"/>
        <v>95836.34557225008</v>
      </c>
      <c r="Y6" s="44">
        <f t="shared" si="5"/>
        <v>284488.53000000003</v>
      </c>
      <c r="Z6" s="44">
        <f t="shared" si="6"/>
        <v>470453.15901879279</v>
      </c>
      <c r="AA6" s="50">
        <f t="shared" si="7"/>
        <v>651783.37557225011</v>
      </c>
      <c r="AB6" s="51">
        <f t="shared" si="8"/>
        <v>440499.21256441268</v>
      </c>
      <c r="AC6" s="44">
        <f t="shared" si="9"/>
        <v>610284.05952457874</v>
      </c>
      <c r="AD6" s="44">
        <f t="shared" si="10"/>
        <v>127.1931032612286</v>
      </c>
      <c r="AE6" s="44">
        <v>0</v>
      </c>
      <c r="AF6" s="52">
        <f>HLOOKUP(I6,GasAvoidedCostsWOCC!$A$5:$G$50,G6+1,FALSE)</f>
        <v>8.9461847189088566</v>
      </c>
      <c r="AG6" s="44">
        <f t="shared" si="11"/>
        <v>1221507.230580067</v>
      </c>
      <c r="AH6" s="52">
        <f>HLOOKUP(I6,GasAvoidedCostsWOCC!$A$5:$Q$50,T6+1,FALSE)</f>
        <v>8.9461847189088566</v>
      </c>
      <c r="AI6" s="44">
        <f t="shared" si="12"/>
        <v>0</v>
      </c>
      <c r="AJ6" s="44">
        <f t="shared" ref="AJ6:AJ24" si="13">AG6+AI6</f>
        <v>1221507.230580067</v>
      </c>
      <c r="AK6" s="44">
        <f>HLOOKUP(I6,GasAvoidedCostsWOCC!$A$5:$Q$50,G6+1,FALSE)*J6*L6</f>
        <v>0</v>
      </c>
      <c r="AL6" s="44">
        <f t="shared" ref="AL6:AL24" si="14">AG6+AI6-AK6</f>
        <v>1221507.230580067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1221507.230580067</v>
      </c>
      <c r="AN6" s="48">
        <f t="shared" ref="AN6:AN24" si="15">AM6*1.1+AD6+AE6</f>
        <v>1343785.146741335</v>
      </c>
      <c r="AO6" s="47">
        <f t="shared" ref="AO6:AO24" si="16">IFERROR(AM6/AB6,0)</f>
        <v>2.7730066155372532</v>
      </c>
      <c r="AP6" s="47">
        <f t="shared" ref="AP6:AP24" si="17">AN6/AC6</f>
        <v>2.2019011078024318</v>
      </c>
    </row>
    <row r="7" spans="1:42" ht="13.5" customHeight="1" x14ac:dyDescent="0.35">
      <c r="A7" s="36" t="s">
        <v>240</v>
      </c>
      <c r="B7" s="97" t="s">
        <v>31</v>
      </c>
      <c r="C7" s="98">
        <v>18230248</v>
      </c>
      <c r="D7" s="61" t="s">
        <v>32</v>
      </c>
      <c r="E7" s="38" t="s">
        <v>1543</v>
      </c>
      <c r="F7" s="39" t="s">
        <v>1544</v>
      </c>
      <c r="G7" s="39">
        <v>13</v>
      </c>
      <c r="H7" s="39"/>
      <c r="I7" s="40" t="s">
        <v>260</v>
      </c>
      <c r="J7" s="41">
        <v>115</v>
      </c>
      <c r="K7" s="41">
        <v>887.55156521739127</v>
      </c>
      <c r="L7" s="41"/>
      <c r="M7" s="42">
        <v>3</v>
      </c>
      <c r="N7" s="42">
        <v>3.43</v>
      </c>
      <c r="O7" s="43">
        <v>102068.43</v>
      </c>
      <c r="P7" s="44">
        <v>69593.100000000006</v>
      </c>
      <c r="Q7" s="44">
        <v>79568.14</v>
      </c>
      <c r="R7" s="45">
        <v>0.3306</v>
      </c>
      <c r="S7" s="46">
        <v>0</v>
      </c>
      <c r="T7" s="39">
        <f t="shared" si="0"/>
        <v>13</v>
      </c>
      <c r="U7" s="47">
        <f t="shared" si="1"/>
        <v>1.956129590997647</v>
      </c>
      <c r="V7" s="48">
        <f t="shared" si="2"/>
        <v>0.43000000000000016</v>
      </c>
      <c r="W7" s="49">
        <f t="shared" si="3"/>
        <v>0.15047150699981901</v>
      </c>
      <c r="X7" s="44">
        <f t="shared" si="4"/>
        <v>71641.306692563579</v>
      </c>
      <c r="Y7" s="44">
        <f t="shared" si="5"/>
        <v>9975.0399999999936</v>
      </c>
      <c r="Z7" s="44">
        <f t="shared" si="6"/>
        <v>351681.59687747795</v>
      </c>
      <c r="AA7" s="50">
        <f t="shared" si="7"/>
        <v>151209.44669256359</v>
      </c>
      <c r="AB7" s="51">
        <f t="shared" si="8"/>
        <v>329289.88471673965</v>
      </c>
      <c r="AC7" s="44">
        <f t="shared" si="9"/>
        <v>141581.87892562133</v>
      </c>
      <c r="AD7" s="44">
        <f t="shared" si="10"/>
        <v>321.38306691092737</v>
      </c>
      <c r="AE7" s="44">
        <v>0</v>
      </c>
      <c r="AF7" s="52">
        <f>HLOOKUP(I7,GasAvoidedCostsWOCC!$A$5:$G$50,G7+1,FALSE)</f>
        <v>8.9461847189088566</v>
      </c>
      <c r="AG7" s="44">
        <f t="shared" si="11"/>
        <v>913123.02874901833</v>
      </c>
      <c r="AH7" s="52">
        <f>HLOOKUP(I7,GasAvoidedCostsWOCC!$A$5:$Q$50,T7+1,FALSE)</f>
        <v>8.9461847189088566</v>
      </c>
      <c r="AI7" s="44">
        <f t="shared" si="12"/>
        <v>0</v>
      </c>
      <c r="AJ7" s="44">
        <f t="shared" si="13"/>
        <v>913123.02874901833</v>
      </c>
      <c r="AK7" s="44">
        <f>HLOOKUP(I7,GasAvoidedCostsWOCC!$A$5:$Q$50,G7+1,FALSE)*J7*L7</f>
        <v>0</v>
      </c>
      <c r="AL7" s="44">
        <f t="shared" si="14"/>
        <v>913123.02874901833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913123.02874901833</v>
      </c>
      <c r="AN7" s="48">
        <f t="shared" si="15"/>
        <v>1004756.7146908311</v>
      </c>
      <c r="AO7" s="47">
        <f t="shared" si="16"/>
        <v>2.7730066155372528</v>
      </c>
      <c r="AP7" s="47">
        <f t="shared" si="17"/>
        <v>7.09664769471431</v>
      </c>
    </row>
    <row r="8" spans="1:42" ht="13.5" customHeight="1" x14ac:dyDescent="0.35">
      <c r="A8" s="53">
        <f>SUMIF('Program Costs'!D:D,C2,'Program Costs'!O:O)</f>
        <v>476112.10999999987</v>
      </c>
      <c r="B8" s="97" t="s">
        <v>31</v>
      </c>
      <c r="C8" s="98">
        <v>18230248</v>
      </c>
      <c r="D8" s="61" t="s">
        <v>32</v>
      </c>
      <c r="E8" s="38" t="s">
        <v>1545</v>
      </c>
      <c r="F8" s="39" t="s">
        <v>1546</v>
      </c>
      <c r="G8" s="39">
        <v>13</v>
      </c>
      <c r="H8" s="39"/>
      <c r="I8" s="40" t="s">
        <v>260</v>
      </c>
      <c r="J8" s="41">
        <v>53</v>
      </c>
      <c r="K8" s="41">
        <v>475.38037735849059</v>
      </c>
      <c r="L8" s="41"/>
      <c r="M8" s="42">
        <v>5</v>
      </c>
      <c r="N8" s="42">
        <v>5.68</v>
      </c>
      <c r="O8" s="43">
        <v>25195.16</v>
      </c>
      <c r="P8" s="44">
        <v>65123.5</v>
      </c>
      <c r="Q8" s="44">
        <v>73980.3</v>
      </c>
      <c r="R8" s="45">
        <v>0.32069999999999999</v>
      </c>
      <c r="S8" s="46">
        <v>0</v>
      </c>
      <c r="T8" s="39">
        <f t="shared" si="0"/>
        <v>13</v>
      </c>
      <c r="U8" s="47">
        <f t="shared" si="1"/>
        <v>0.48286231135249441</v>
      </c>
      <c r="V8" s="48">
        <f t="shared" si="2"/>
        <v>0.67999999999999972</v>
      </c>
      <c r="W8" s="49">
        <f t="shared" si="3"/>
        <v>3.7143254719422647E-2</v>
      </c>
      <c r="X8" s="44">
        <f t="shared" si="4"/>
        <v>17684.353376731771</v>
      </c>
      <c r="Y8" s="44">
        <f t="shared" si="5"/>
        <v>8856.8000000000029</v>
      </c>
      <c r="Z8" s="44">
        <f t="shared" si="6"/>
        <v>86811.113900581768</v>
      </c>
      <c r="AA8" s="50">
        <f t="shared" si="7"/>
        <v>91664.653376731774</v>
      </c>
      <c r="AB8" s="51">
        <f t="shared" si="8"/>
        <v>81283.814513653342</v>
      </c>
      <c r="AC8" s="44">
        <f t="shared" si="9"/>
        <v>85828.327131771322</v>
      </c>
      <c r="AD8" s="44">
        <f t="shared" si="10"/>
        <v>143.68026846028889</v>
      </c>
      <c r="AE8" s="44">
        <v>0</v>
      </c>
      <c r="AF8" s="52">
        <f>HLOOKUP(I8,GasAvoidedCostsWOCC!$A$5:$G$50,G8+1,FALSE)</f>
        <v>8.9461847189088566</v>
      </c>
      <c r="AG8" s="44">
        <f t="shared" si="11"/>
        <v>225400.55538246367</v>
      </c>
      <c r="AH8" s="52">
        <f>HLOOKUP(I8,GasAvoidedCostsWOCC!$A$5:$Q$50,T8+1,FALSE)</f>
        <v>8.9461847189088566</v>
      </c>
      <c r="AI8" s="44">
        <f t="shared" si="12"/>
        <v>0</v>
      </c>
      <c r="AJ8" s="44">
        <f t="shared" si="13"/>
        <v>225400.55538246367</v>
      </c>
      <c r="AK8" s="44">
        <f>HLOOKUP(I8,GasAvoidedCostsWOCC!$A$5:$Q$50,G8+1,FALSE)*J8*L8</f>
        <v>0</v>
      </c>
      <c r="AL8" s="44">
        <f t="shared" si="14"/>
        <v>225400.55538246367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225400.55538246367</v>
      </c>
      <c r="AN8" s="48">
        <f t="shared" si="15"/>
        <v>248084.29118917036</v>
      </c>
      <c r="AO8" s="47">
        <f t="shared" si="16"/>
        <v>2.7730066155372528</v>
      </c>
      <c r="AP8" s="47">
        <f t="shared" si="17"/>
        <v>2.890471007413312</v>
      </c>
    </row>
    <row r="9" spans="1:42" ht="13.5" customHeight="1" x14ac:dyDescent="0.35">
      <c r="A9" s="36" t="s">
        <v>305</v>
      </c>
      <c r="B9" s="97" t="s">
        <v>31</v>
      </c>
      <c r="C9" s="98">
        <v>18230248</v>
      </c>
      <c r="D9" s="61" t="s">
        <v>32</v>
      </c>
      <c r="E9" s="38" t="s">
        <v>1547</v>
      </c>
      <c r="F9" s="39" t="s">
        <v>1548</v>
      </c>
      <c r="G9" s="39">
        <v>13</v>
      </c>
      <c r="H9" s="39"/>
      <c r="I9" s="40" t="s">
        <v>260</v>
      </c>
      <c r="J9" s="41">
        <v>18</v>
      </c>
      <c r="K9" s="41">
        <v>919.80500000000006</v>
      </c>
      <c r="L9" s="41"/>
      <c r="M9" s="42">
        <v>5</v>
      </c>
      <c r="N9" s="42">
        <v>10.24</v>
      </c>
      <c r="O9" s="43">
        <v>16556.490000000002</v>
      </c>
      <c r="P9" s="44">
        <v>69998</v>
      </c>
      <c r="Q9" s="44">
        <v>143355.9</v>
      </c>
      <c r="R9" s="45">
        <v>0.28389999999999999</v>
      </c>
      <c r="S9" s="46">
        <v>0</v>
      </c>
      <c r="T9" s="39">
        <f t="shared" si="0"/>
        <v>13</v>
      </c>
      <c r="U9" s="47">
        <f t="shared" si="1"/>
        <v>0.3173032054285212</v>
      </c>
      <c r="V9" s="48">
        <f t="shared" si="2"/>
        <v>5.24</v>
      </c>
      <c r="W9" s="49">
        <f t="shared" si="3"/>
        <v>2.4407938879117016E-2</v>
      </c>
      <c r="X9" s="44">
        <f t="shared" si="4"/>
        <v>11620.915280487434</v>
      </c>
      <c r="Y9" s="44">
        <f t="shared" si="5"/>
        <v>73357.899999999994</v>
      </c>
      <c r="Z9" s="44">
        <f t="shared" si="6"/>
        <v>57046.168358678529</v>
      </c>
      <c r="AA9" s="50">
        <f t="shared" si="7"/>
        <v>154976.81528048744</v>
      </c>
      <c r="AB9" s="51">
        <f t="shared" si="8"/>
        <v>53414.015317114725</v>
      </c>
      <c r="AC9" s="44">
        <f t="shared" si="9"/>
        <v>145109.37760345265</v>
      </c>
      <c r="AD9" s="44">
        <f t="shared" si="10"/>
        <v>43.197657711360655</v>
      </c>
      <c r="AE9" s="44">
        <f t="shared" ref="AE9:AE24" si="18">-PV(GasDiscountRate,T9,S9)*J9</f>
        <v>0</v>
      </c>
      <c r="AF9" s="52">
        <f>HLOOKUP(I9,GasAvoidedCostsWOCC!$A$5:$G$50,G9+1,FALSE)</f>
        <v>8.9461847189088566</v>
      </c>
      <c r="AG9" s="44">
        <f t="shared" si="11"/>
        <v>148117.4178367673</v>
      </c>
      <c r="AH9" s="52">
        <f>HLOOKUP(I9,GasAvoidedCostsWOCC!$A$5:$Q$50,T9+1,FALSE)</f>
        <v>8.9461847189088566</v>
      </c>
      <c r="AI9" s="44">
        <f t="shared" si="12"/>
        <v>0</v>
      </c>
      <c r="AJ9" s="44">
        <f t="shared" si="13"/>
        <v>148117.4178367673</v>
      </c>
      <c r="AK9" s="44">
        <f>HLOOKUP(I9,GasAvoidedCostsWOCC!$A$5:$Q$50,G9+1,FALSE)*J9*L9</f>
        <v>0</v>
      </c>
      <c r="AL9" s="44">
        <f t="shared" si="14"/>
        <v>148117.4178367673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148117.41783676733</v>
      </c>
      <c r="AN9" s="48">
        <f t="shared" si="15"/>
        <v>162972.35727815545</v>
      </c>
      <c r="AO9" s="47">
        <f t="shared" si="16"/>
        <v>2.7730066155372537</v>
      </c>
      <c r="AP9" s="47">
        <f t="shared" si="17"/>
        <v>1.1231001053806311</v>
      </c>
    </row>
    <row r="10" spans="1:42" ht="13.5" customHeight="1" x14ac:dyDescent="0.35">
      <c r="A10" s="54">
        <f>SUM(O5:O999)</f>
        <v>678323.96999999986</v>
      </c>
      <c r="B10" s="97" t="s">
        <v>31</v>
      </c>
      <c r="C10" s="98">
        <v>18230248</v>
      </c>
      <c r="D10" s="61" t="s">
        <v>32</v>
      </c>
      <c r="E10" s="38" t="s">
        <v>1549</v>
      </c>
      <c r="F10" s="39" t="s">
        <v>1550</v>
      </c>
      <c r="G10" s="39">
        <v>13</v>
      </c>
      <c r="H10" s="39"/>
      <c r="I10" s="40" t="s">
        <v>260</v>
      </c>
      <c r="J10" s="41">
        <v>67</v>
      </c>
      <c r="K10" s="41">
        <v>324.82283582089553</v>
      </c>
      <c r="L10" s="41"/>
      <c r="M10" s="42">
        <v>5</v>
      </c>
      <c r="N10" s="42">
        <v>5.68</v>
      </c>
      <c r="O10" s="43">
        <v>21763.13</v>
      </c>
      <c r="P10" s="44">
        <v>72513</v>
      </c>
      <c r="Q10" s="44">
        <v>82374.720000000001</v>
      </c>
      <c r="R10" s="45">
        <v>0.32069999999999999</v>
      </c>
      <c r="S10" s="46">
        <v>0</v>
      </c>
      <c r="T10" s="39">
        <f t="shared" si="0"/>
        <v>13</v>
      </c>
      <c r="U10" s="47">
        <f t="shared" si="1"/>
        <v>0.41708785552720495</v>
      </c>
      <c r="V10" s="48">
        <f t="shared" si="2"/>
        <v>0.67999999999999972</v>
      </c>
      <c r="W10" s="49">
        <f t="shared" si="3"/>
        <v>3.2083681194400381E-2</v>
      </c>
      <c r="X10" s="44">
        <f t="shared" si="4"/>
        <v>15275.429150033282</v>
      </c>
      <c r="Y10" s="44">
        <f t="shared" si="5"/>
        <v>9861.7200000000012</v>
      </c>
      <c r="Z10" s="44">
        <f t="shared" si="6"/>
        <v>74985.892419939715</v>
      </c>
      <c r="AA10" s="50">
        <f t="shared" si="7"/>
        <v>97650.149150033278</v>
      </c>
      <c r="AB10" s="51">
        <f t="shared" si="8"/>
        <v>70211.50975649785</v>
      </c>
      <c r="AC10" s="44">
        <f t="shared" si="9"/>
        <v>91432.723923252124</v>
      </c>
      <c r="AD10" s="44">
        <f t="shared" si="10"/>
        <v>181.63354692149727</v>
      </c>
      <c r="AE10" s="44">
        <f t="shared" si="18"/>
        <v>0</v>
      </c>
      <c r="AF10" s="52">
        <f>HLOOKUP(I10,GasAvoidedCostsWOCC!$A$5:$G$50,G10+1,FALSE)</f>
        <v>8.9461847189088566</v>
      </c>
      <c r="AG10" s="44">
        <f t="shared" si="11"/>
        <v>194696.98104162692</v>
      </c>
      <c r="AH10" s="52">
        <f>HLOOKUP(I10,GasAvoidedCostsWOCC!$A$5:$Q$50,T10+1,FALSE)</f>
        <v>8.9461847189088566</v>
      </c>
      <c r="AI10" s="44">
        <f t="shared" si="12"/>
        <v>0</v>
      </c>
      <c r="AJ10" s="44">
        <f t="shared" si="13"/>
        <v>194696.98104162692</v>
      </c>
      <c r="AK10" s="44">
        <f>HLOOKUP(I10,GasAvoidedCostsWOCC!$A$5:$Q$50,G10+1,FALSE)*J10*L10</f>
        <v>0</v>
      </c>
      <c r="AL10" s="44">
        <f t="shared" si="14"/>
        <v>194696.98104162692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194696.98104162689</v>
      </c>
      <c r="AN10" s="48">
        <f t="shared" si="15"/>
        <v>214348.31269271107</v>
      </c>
      <c r="AO10" s="47">
        <f t="shared" si="16"/>
        <v>2.7730066155372524</v>
      </c>
      <c r="AP10" s="47">
        <f t="shared" si="17"/>
        <v>2.3443281955881932</v>
      </c>
    </row>
    <row r="11" spans="1:42" ht="13.5" customHeight="1" x14ac:dyDescent="0.35">
      <c r="A11" s="36" t="s">
        <v>243</v>
      </c>
      <c r="B11" s="97" t="s">
        <v>31</v>
      </c>
      <c r="C11" s="98">
        <v>18230248</v>
      </c>
      <c r="D11" s="61" t="s">
        <v>32</v>
      </c>
      <c r="E11" s="38" t="s">
        <v>1551</v>
      </c>
      <c r="F11" s="39" t="s">
        <v>1552</v>
      </c>
      <c r="G11" s="39">
        <v>13</v>
      </c>
      <c r="H11" s="39"/>
      <c r="I11" s="40" t="s">
        <v>260</v>
      </c>
      <c r="J11" s="41">
        <v>21</v>
      </c>
      <c r="K11" s="41">
        <v>923.81380952380948</v>
      </c>
      <c r="L11" s="41"/>
      <c r="M11" s="42">
        <v>5</v>
      </c>
      <c r="N11" s="42">
        <v>10.24</v>
      </c>
      <c r="O11" s="43">
        <v>19400.09</v>
      </c>
      <c r="P11" s="44">
        <v>87501</v>
      </c>
      <c r="Q11" s="44">
        <v>179202.05</v>
      </c>
      <c r="R11" s="45">
        <v>0.28389999999999999</v>
      </c>
      <c r="S11" s="46">
        <v>0</v>
      </c>
      <c r="T11" s="39">
        <f t="shared" si="0"/>
        <v>13</v>
      </c>
      <c r="U11" s="47">
        <f t="shared" si="1"/>
        <v>0.37180046873472578</v>
      </c>
      <c r="V11" s="48">
        <f t="shared" si="2"/>
        <v>5.24</v>
      </c>
      <c r="W11" s="49">
        <f t="shared" si="3"/>
        <v>2.8600036056517366E-2</v>
      </c>
      <c r="X11" s="44">
        <f t="shared" si="4"/>
        <v>13616.823512944558</v>
      </c>
      <c r="Y11" s="44">
        <f t="shared" si="5"/>
        <v>91701.049999999988</v>
      </c>
      <c r="Z11" s="44">
        <f t="shared" si="6"/>
        <v>66843.926479194313</v>
      </c>
      <c r="AA11" s="50">
        <f t="shared" si="7"/>
        <v>192818.87351294456</v>
      </c>
      <c r="AB11" s="51">
        <f t="shared" si="8"/>
        <v>62587.946141567707</v>
      </c>
      <c r="AC11" s="44">
        <f t="shared" si="9"/>
        <v>180542.01639788816</v>
      </c>
      <c r="AD11" s="44">
        <f t="shared" si="10"/>
        <v>50.397267329920766</v>
      </c>
      <c r="AE11" s="44">
        <f t="shared" si="18"/>
        <v>0</v>
      </c>
      <c r="AF11" s="52">
        <f>HLOOKUP(I11,GasAvoidedCostsWOCC!$A$5:$G$50,G11+1,FALSE)</f>
        <v>8.9461847189088566</v>
      </c>
      <c r="AG11" s="44">
        <f t="shared" si="11"/>
        <v>173556.78870345652</v>
      </c>
      <c r="AH11" s="52">
        <f>HLOOKUP(I11,GasAvoidedCostsWOCC!$A$5:$Q$50,T11+1,FALSE)</f>
        <v>8.9461847189088566</v>
      </c>
      <c r="AI11" s="44">
        <f t="shared" si="12"/>
        <v>0</v>
      </c>
      <c r="AJ11" s="44">
        <f t="shared" si="13"/>
        <v>173556.78870345652</v>
      </c>
      <c r="AK11" s="44">
        <f>HLOOKUP(I11,GasAvoidedCostsWOCC!$A$5:$Q$50,G11+1,FALSE)*J11*L11</f>
        <v>0</v>
      </c>
      <c r="AL11" s="44">
        <f t="shared" si="14"/>
        <v>173556.78870345652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173556.78870345652</v>
      </c>
      <c r="AN11" s="48">
        <f t="shared" si="15"/>
        <v>190962.8648411321</v>
      </c>
      <c r="AO11" s="47">
        <f t="shared" si="16"/>
        <v>2.7730066155372528</v>
      </c>
      <c r="AP11" s="47">
        <f t="shared" si="17"/>
        <v>1.0577197964837055</v>
      </c>
    </row>
    <row r="12" spans="1:42" ht="13.5" customHeight="1" x14ac:dyDescent="0.35">
      <c r="A12" s="55">
        <f>SUM(P5:P1000)</f>
        <v>990585</v>
      </c>
      <c r="B12" s="97" t="s">
        <v>31</v>
      </c>
      <c r="C12" s="98">
        <v>18230248</v>
      </c>
      <c r="D12" s="61" t="s">
        <v>32</v>
      </c>
      <c r="E12" s="38" t="s">
        <v>1553</v>
      </c>
      <c r="F12" s="39" t="s">
        <v>1554</v>
      </c>
      <c r="G12" s="39">
        <v>13</v>
      </c>
      <c r="H12" s="39"/>
      <c r="I12" s="40" t="s">
        <v>260</v>
      </c>
      <c r="J12" s="41">
        <v>6</v>
      </c>
      <c r="K12" s="41">
        <v>235.785</v>
      </c>
      <c r="L12" s="41"/>
      <c r="M12" s="42">
        <v>3</v>
      </c>
      <c r="N12" s="42">
        <v>3.43</v>
      </c>
      <c r="O12" s="43">
        <v>1414.71</v>
      </c>
      <c r="P12" s="44">
        <v>3845.4</v>
      </c>
      <c r="Q12" s="44">
        <v>4396.57</v>
      </c>
      <c r="R12" s="45">
        <v>0.3306</v>
      </c>
      <c r="S12" s="46">
        <v>0</v>
      </c>
      <c r="T12" s="39">
        <f t="shared" si="0"/>
        <v>13</v>
      </c>
      <c r="U12" s="47">
        <f t="shared" si="1"/>
        <v>2.711275262762719E-2</v>
      </c>
      <c r="V12" s="48">
        <f t="shared" si="2"/>
        <v>0.43000000000000016</v>
      </c>
      <c r="W12" s="49">
        <f t="shared" si="3"/>
        <v>2.0855963559713222E-3</v>
      </c>
      <c r="X12" s="44">
        <f t="shared" si="4"/>
        <v>992.97768164981699</v>
      </c>
      <c r="Y12" s="44">
        <f t="shared" si="5"/>
        <v>551.16999999999962</v>
      </c>
      <c r="Z12" s="44">
        <f t="shared" si="6"/>
        <v>4874.4501303540856</v>
      </c>
      <c r="AA12" s="50">
        <f t="shared" si="7"/>
        <v>5389.5476816498167</v>
      </c>
      <c r="AB12" s="51">
        <f t="shared" si="8"/>
        <v>4564.0918823540123</v>
      </c>
      <c r="AC12" s="44">
        <f t="shared" si="9"/>
        <v>5046.3929603462702</v>
      </c>
      <c r="AD12" s="44">
        <f t="shared" si="10"/>
        <v>16.767812186657078</v>
      </c>
      <c r="AE12" s="44">
        <f t="shared" si="18"/>
        <v>0</v>
      </c>
      <c r="AF12" s="52">
        <f>HLOOKUP(I12,GasAvoidedCostsWOCC!$A$5:$G$50,G12+1,FALSE)</f>
        <v>8.9461847189088566</v>
      </c>
      <c r="AG12" s="44">
        <f t="shared" si="11"/>
        <v>12656.256983687548</v>
      </c>
      <c r="AH12" s="52">
        <f>HLOOKUP(I12,GasAvoidedCostsWOCC!$A$5:$Q$50,T12+1,FALSE)</f>
        <v>8.9461847189088566</v>
      </c>
      <c r="AI12" s="44">
        <f t="shared" si="12"/>
        <v>0</v>
      </c>
      <c r="AJ12" s="44">
        <f t="shared" si="13"/>
        <v>12656.256983687548</v>
      </c>
      <c r="AK12" s="44">
        <f>HLOOKUP(I12,GasAvoidedCostsWOCC!$A$5:$Q$50,G12+1,FALSE)*J12*L12</f>
        <v>0</v>
      </c>
      <c r="AL12" s="44">
        <f t="shared" si="14"/>
        <v>12656.256983687548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12656.256983687548</v>
      </c>
      <c r="AN12" s="48">
        <f t="shared" si="15"/>
        <v>13938.650494242962</v>
      </c>
      <c r="AO12" s="47">
        <f t="shared" si="16"/>
        <v>2.7730066155372528</v>
      </c>
      <c r="AP12" s="47">
        <f t="shared" si="17"/>
        <v>2.7621016840683228</v>
      </c>
    </row>
    <row r="13" spans="1:42" ht="13.5" customHeight="1" x14ac:dyDescent="0.35">
      <c r="A13" s="56" t="s">
        <v>246</v>
      </c>
      <c r="B13" s="97" t="s">
        <v>31</v>
      </c>
      <c r="C13" s="98">
        <v>18230248</v>
      </c>
      <c r="D13" s="61" t="s">
        <v>32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526467.04999999993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13.000000000000004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2337197.2799999998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1993164.16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2.7730066155372528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3.5777749797129634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18231022</v>
      </c>
      <c r="D2" s="20" t="s">
        <v>154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18231022</v>
      </c>
      <c r="D5" s="61" t="s">
        <v>154</v>
      </c>
      <c r="E5" s="38" t="s">
        <v>1608</v>
      </c>
      <c r="F5" s="39" t="s">
        <v>1609</v>
      </c>
      <c r="G5" s="39">
        <v>4</v>
      </c>
      <c r="H5" s="39"/>
      <c r="I5" s="40" t="s">
        <v>260</v>
      </c>
      <c r="J5" s="41">
        <v>1</v>
      </c>
      <c r="K5" s="41">
        <v>59</v>
      </c>
      <c r="L5" s="41"/>
      <c r="M5" s="42">
        <v>76.3</v>
      </c>
      <c r="N5" s="42">
        <v>76.3</v>
      </c>
      <c r="O5" s="43">
        <v>59</v>
      </c>
      <c r="P5" s="44">
        <v>76.3</v>
      </c>
      <c r="Q5" s="44">
        <v>76.3</v>
      </c>
      <c r="R5" s="45">
        <v>236.79</v>
      </c>
      <c r="S5" s="46">
        <v>0</v>
      </c>
      <c r="T5" s="39">
        <f t="shared" ref="T5:T24" si="0">G5+H5</f>
        <v>4</v>
      </c>
      <c r="U5" s="47">
        <f t="shared" ref="U5:U24" si="1">(O5/$A$10)*T5</f>
        <v>0.92549019607843142</v>
      </c>
      <c r="V5" s="48">
        <f t="shared" ref="V5:V24" si="2">N5-M5</f>
        <v>0</v>
      </c>
      <c r="W5" s="49">
        <f t="shared" ref="W5:W24" si="3">(O5/A$10)</f>
        <v>0.23137254901960785</v>
      </c>
      <c r="X5" s="44">
        <f t="shared" ref="X5:X24" si="4">W5*A$8</f>
        <v>134.9642352941176</v>
      </c>
      <c r="Y5" s="44">
        <f t="shared" ref="Y5:Y24" si="5">Q5-P5</f>
        <v>0</v>
      </c>
      <c r="Z5" s="44">
        <f t="shared" ref="Z5:Z24" si="6">X5+(A$6*W5)</f>
        <v>6326.9517647058819</v>
      </c>
      <c r="AA5" s="50">
        <f t="shared" ref="AA5:AA24" si="7">Q5+X5</f>
        <v>211.26423529411761</v>
      </c>
      <c r="AB5" s="51">
        <f t="shared" ref="AB5:AB24" si="8">Z5/(1+GasDiscountRate)^1</f>
        <v>5924.1121392377172</v>
      </c>
      <c r="AC5" s="44">
        <f t="shared" ref="AC5:AC24" si="9">AA5/(1+GasDiscountRate)^1</f>
        <v>197.81295439524121</v>
      </c>
      <c r="AD5" s="44">
        <f t="shared" ref="AD5:AD24" si="10">-PV(GasDiscountRate,T5,R5)*J5</f>
        <v>805.69240825863028</v>
      </c>
      <c r="AE5" s="44">
        <v>0</v>
      </c>
      <c r="AF5" s="52">
        <f>HLOOKUP(I5,GasAvoidedCostsWOCC!$A$5:$G$50,G5+1,FALSE)</f>
        <v>3.0488225877920518</v>
      </c>
      <c r="AG5" s="44">
        <f t="shared" ref="AG5:AG24" si="11">AF5*J5*K5</f>
        <v>179.88053267973106</v>
      </c>
      <c r="AH5" s="52">
        <f>HLOOKUP(I5,GasAvoidedCostsWOCC!$A$5:$Q$50,T5+1,FALSE)</f>
        <v>3.0488225877920518</v>
      </c>
      <c r="AI5" s="44">
        <f t="shared" ref="AI5:AI24" si="12">AH5*J5*L5</f>
        <v>0</v>
      </c>
      <c r="AJ5" s="44">
        <f>AG5+AI5</f>
        <v>179.88053267973106</v>
      </c>
      <c r="AK5" s="44">
        <f>HLOOKUP(I5,GasAvoidedCostsWOCC!$A$5:$Q$50,G5+1,FALSE)*J5*L5</f>
        <v>0</v>
      </c>
      <c r="AL5" s="44">
        <f>AG5+AI5-AK5</f>
        <v>179.88053267973106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179.88053267973106</v>
      </c>
      <c r="AN5" s="48">
        <f>AM5*1.1+AD5+AE5</f>
        <v>1003.5609942063345</v>
      </c>
      <c r="AO5" s="47">
        <f>IFERROR(AM5/AB5,0)</f>
        <v>3.0364133637564315E-2</v>
      </c>
      <c r="AP5" s="47">
        <f>AN5/AC5</f>
        <v>5.0732824716887057</v>
      </c>
    </row>
    <row r="6" spans="1:42" ht="13.5" customHeight="1" x14ac:dyDescent="0.35">
      <c r="A6" s="53">
        <f>SUMIF('Program Costs'!D:D,C2,'Program Costs'!L:L)</f>
        <v>26761.98</v>
      </c>
      <c r="B6" s="97" t="s">
        <v>31</v>
      </c>
      <c r="C6" s="98">
        <v>18231022</v>
      </c>
      <c r="D6" s="61" t="s">
        <v>154</v>
      </c>
      <c r="E6" s="38" t="s">
        <v>1612</v>
      </c>
      <c r="F6" s="39" t="s">
        <v>1613</v>
      </c>
      <c r="G6" s="39">
        <v>4</v>
      </c>
      <c r="H6" s="39"/>
      <c r="I6" s="40" t="s">
        <v>260</v>
      </c>
      <c r="J6" s="41">
        <v>2</v>
      </c>
      <c r="K6" s="41">
        <v>98</v>
      </c>
      <c r="L6" s="41"/>
      <c r="M6" s="42">
        <v>76.3</v>
      </c>
      <c r="N6" s="42">
        <v>76.3</v>
      </c>
      <c r="O6" s="43">
        <v>196</v>
      </c>
      <c r="P6" s="44">
        <v>152.6</v>
      </c>
      <c r="Q6" s="44">
        <v>152.6</v>
      </c>
      <c r="R6" s="45">
        <v>390.12</v>
      </c>
      <c r="S6" s="46">
        <v>0</v>
      </c>
      <c r="T6" s="39">
        <f t="shared" si="0"/>
        <v>4</v>
      </c>
      <c r="U6" s="47">
        <f t="shared" si="1"/>
        <v>3.0745098039215688</v>
      </c>
      <c r="V6" s="48">
        <f t="shared" si="2"/>
        <v>0</v>
      </c>
      <c r="W6" s="49">
        <f t="shared" si="3"/>
        <v>0.7686274509803922</v>
      </c>
      <c r="X6" s="44">
        <f t="shared" si="4"/>
        <v>448.35576470588217</v>
      </c>
      <c r="Y6" s="44">
        <f t="shared" si="5"/>
        <v>0</v>
      </c>
      <c r="Z6" s="44">
        <f t="shared" si="6"/>
        <v>21018.348235294117</v>
      </c>
      <c r="AA6" s="50">
        <f t="shared" si="7"/>
        <v>600.95576470588219</v>
      </c>
      <c r="AB6" s="51">
        <f t="shared" si="8"/>
        <v>19680.101343908347</v>
      </c>
      <c r="AC6" s="44">
        <f t="shared" si="9"/>
        <v>562.69266358228663</v>
      </c>
      <c r="AD6" s="44">
        <f t="shared" si="10"/>
        <v>2654.8141586203542</v>
      </c>
      <c r="AE6" s="44">
        <v>0</v>
      </c>
      <c r="AF6" s="52">
        <f>HLOOKUP(I6,GasAvoidedCostsWOCC!$A$5:$G$50,G6+1,FALSE)</f>
        <v>3.0488225877920518</v>
      </c>
      <c r="AG6" s="44">
        <f t="shared" si="11"/>
        <v>597.56922720724219</v>
      </c>
      <c r="AH6" s="52">
        <f>HLOOKUP(I6,GasAvoidedCostsWOCC!$A$5:$Q$50,T6+1,FALSE)</f>
        <v>3.0488225877920518</v>
      </c>
      <c r="AI6" s="44">
        <f t="shared" si="12"/>
        <v>0</v>
      </c>
      <c r="AJ6" s="44">
        <f t="shared" ref="AJ6:AJ24" si="13">AG6+AI6</f>
        <v>597.56922720724219</v>
      </c>
      <c r="AK6" s="44">
        <f>HLOOKUP(I6,GasAvoidedCostsWOCC!$A$5:$Q$50,G6+1,FALSE)*J6*L6</f>
        <v>0</v>
      </c>
      <c r="AL6" s="44">
        <f t="shared" ref="AL6:AL24" si="14">AG6+AI6-AK6</f>
        <v>597.56922720724219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597.56922720724219</v>
      </c>
      <c r="AN6" s="48">
        <f t="shared" ref="AN6:AN24" si="15">AM6*1.1+AD6+AE6</f>
        <v>3312.1403085483207</v>
      </c>
      <c r="AO6" s="47">
        <f t="shared" ref="AO6:AO24" si="16">IFERROR(AM6/AB6,0)</f>
        <v>3.0364133637564319E-2</v>
      </c>
      <c r="AP6" s="47">
        <f t="shared" ref="AP6:AP24" si="17">AN6/AC6</f>
        <v>5.8862333257770691</v>
      </c>
    </row>
    <row r="7" spans="1:42" ht="13.5" customHeight="1" x14ac:dyDescent="0.35">
      <c r="A7" s="36" t="s">
        <v>240</v>
      </c>
      <c r="B7" s="97" t="s">
        <v>31</v>
      </c>
      <c r="C7" s="98">
        <v>18231022</v>
      </c>
      <c r="D7" s="61" t="s">
        <v>154</v>
      </c>
      <c r="E7" s="38" t="s">
        <v>1719</v>
      </c>
      <c r="F7" s="39" t="s">
        <v>1720</v>
      </c>
      <c r="G7" s="39">
        <v>1</v>
      </c>
      <c r="H7" s="39"/>
      <c r="I7" s="40" t="s">
        <v>266</v>
      </c>
      <c r="J7" s="41">
        <v>154</v>
      </c>
      <c r="K7" s="41">
        <v>0</v>
      </c>
      <c r="L7" s="41"/>
      <c r="M7" s="42">
        <v>240</v>
      </c>
      <c r="N7" s="42">
        <v>240</v>
      </c>
      <c r="O7" s="43">
        <v>0</v>
      </c>
      <c r="P7" s="44">
        <v>3696</v>
      </c>
      <c r="Q7" s="44">
        <v>36960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33264</v>
      </c>
      <c r="Z7" s="44">
        <f t="shared" si="6"/>
        <v>0</v>
      </c>
      <c r="AA7" s="50">
        <f t="shared" si="7"/>
        <v>36960</v>
      </c>
      <c r="AB7" s="51">
        <f t="shared" si="8"/>
        <v>0</v>
      </c>
      <c r="AC7" s="44">
        <f t="shared" si="9"/>
        <v>34606.741573033709</v>
      </c>
      <c r="AD7" s="44">
        <f t="shared" si="10"/>
        <v>0</v>
      </c>
      <c r="AE7" s="44">
        <v>0</v>
      </c>
      <c r="AF7" s="52">
        <f>HLOOKUP(I7,GasAvoidedCostsWOCC!$A$5:$G$50,G7+1,FALSE)</f>
        <v>0.96140555348138612</v>
      </c>
      <c r="AG7" s="44">
        <f t="shared" si="11"/>
        <v>0</v>
      </c>
      <c r="AH7" s="52">
        <f>HLOOKUP(I7,GasAvoidedCostsWOCC!$A$5:$Q$50,T7+1,FALSE)</f>
        <v>0.96140555348138612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>
        <f t="shared" si="17"/>
        <v>0</v>
      </c>
    </row>
    <row r="8" spans="1:42" ht="13.5" customHeight="1" x14ac:dyDescent="0.35">
      <c r="A8" s="53">
        <f>SUMIF('Program Costs'!D:D,C2,'Program Costs'!O:O)</f>
        <v>583.31999999999971</v>
      </c>
      <c r="B8" s="97" t="s">
        <v>31</v>
      </c>
      <c r="C8" s="98">
        <v>18231022</v>
      </c>
      <c r="D8" s="61" t="s">
        <v>154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255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3924.9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33264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27345.3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37772.22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(SUM(AM5:AM110)/(SUM(AB5:AB110)))</f>
        <v>3.0364133637564315E-2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(SUM(AN5:AN110)/SUM(AC5:AC110))</f>
        <v>0.12202536656150928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18230660</v>
      </c>
      <c r="D2" s="20" t="s">
        <v>116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/>
      <c r="C5" s="98">
        <v>18230660</v>
      </c>
      <c r="D5" s="61" t="s">
        <v>116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769694.44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330417.29000000004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1100111.73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330417.29000000004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18230622</v>
      </c>
      <c r="D2" s="20" t="s">
        <v>324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325</v>
      </c>
      <c r="C5" s="98">
        <v>18230622</v>
      </c>
      <c r="D5" s="61" t="s">
        <v>324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F8" sqref="F8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18230628</v>
      </c>
      <c r="D2" s="20" t="s">
        <v>77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100">
        <v>18230628</v>
      </c>
      <c r="D5" s="100" t="s">
        <v>77</v>
      </c>
      <c r="E5" s="38" t="s">
        <v>573</v>
      </c>
      <c r="F5" s="39" t="s">
        <v>574</v>
      </c>
      <c r="G5" s="39">
        <v>15</v>
      </c>
      <c r="H5" s="39"/>
      <c r="I5" s="40" t="s">
        <v>273</v>
      </c>
      <c r="J5" s="41">
        <v>3</v>
      </c>
      <c r="K5" s="41">
        <v>1685</v>
      </c>
      <c r="L5" s="41"/>
      <c r="M5" s="42">
        <v>2400</v>
      </c>
      <c r="N5" s="42">
        <v>3644.31</v>
      </c>
      <c r="O5" s="43">
        <v>5055</v>
      </c>
      <c r="P5" s="44">
        <v>7200</v>
      </c>
      <c r="Q5" s="44">
        <v>10932.93</v>
      </c>
      <c r="R5" s="45">
        <v>40.255000000000003</v>
      </c>
      <c r="S5" s="46">
        <v>0</v>
      </c>
      <c r="T5" s="39">
        <f t="shared" ref="T5:T24" si="0">G5+H5</f>
        <v>15</v>
      </c>
      <c r="U5" s="47">
        <f t="shared" ref="U5:U24" si="1">(O5/$A$10)*T5</f>
        <v>9.9987696864995042E-3</v>
      </c>
      <c r="V5" s="48">
        <f t="shared" ref="V5:V24" si="2">N5-M5</f>
        <v>1244.31</v>
      </c>
      <c r="W5" s="49">
        <f t="shared" ref="W5:W24" si="3">(O5/A$10)</f>
        <v>6.6658464576663365E-4</v>
      </c>
      <c r="X5" s="44">
        <f t="shared" ref="X5:X24" si="4">W5*A$8</f>
        <v>226.92728406118974</v>
      </c>
      <c r="Y5" s="44">
        <f t="shared" ref="Y5:Y24" si="5">Q5-P5</f>
        <v>3732.9300000000003</v>
      </c>
      <c r="Z5" s="44">
        <f t="shared" ref="Z5:Z24" si="6">X5+(A$6*W5)</f>
        <v>2561.8830759499028</v>
      </c>
      <c r="AA5" s="50">
        <f t="shared" ref="AA5:AA24" si="7">Q5+X5</f>
        <v>11159.857284061191</v>
      </c>
      <c r="AB5" s="51">
        <f t="shared" ref="AB5:AC20" si="8">Z5/(1+ElecDiscountRate)^1</f>
        <v>2398.7669250467252</v>
      </c>
      <c r="AC5" s="44">
        <f t="shared" si="8"/>
        <v>10449.304573091002</v>
      </c>
      <c r="AD5" s="44">
        <f t="shared" ref="AD5:AD24" si="9">-PV(ElecDiscountRate,T5,R5)*J5</f>
        <v>1113.9476614408998</v>
      </c>
      <c r="AE5" s="44">
        <v>0</v>
      </c>
      <c r="AF5" s="52">
        <f>HLOOKUP(I5,ElecAvoidedCostsWOCC!$A$5:$Q$50,G5+1,FALSE)</f>
        <v>1.3071945815391408</v>
      </c>
      <c r="AG5" s="44">
        <f t="shared" ref="AG5:AG24" si="10">AF5*J5*K5</f>
        <v>6607.8686096803567</v>
      </c>
      <c r="AH5" s="52">
        <f>HLOOKUP(I5,ElecAvoidedCostsWOCC!$A$5:$Q$50,T5+1,FALSE)</f>
        <v>1.3071945815391408</v>
      </c>
      <c r="AI5" s="44">
        <f t="shared" ref="AI5:AI24" si="11">AH5*J5*L5</f>
        <v>0</v>
      </c>
      <c r="AJ5" s="44">
        <f>AG5+AI5</f>
        <v>6607.8686096803567</v>
      </c>
      <c r="AK5" s="44">
        <f>HLOOKUP(I5,ElecAvoidedCostsWOCC!$A$5:$Q$50,G5+1,FALSE)*J5*L5</f>
        <v>0</v>
      </c>
      <c r="AL5" s="44">
        <f>AG5+AI5-AK5</f>
        <v>6607.8686096803567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6607.8686096803576</v>
      </c>
      <c r="AN5" s="48">
        <f>AM5*1.1+AD5+AE5</f>
        <v>8382.6031320892944</v>
      </c>
      <c r="AO5" s="47">
        <f>IFERROR(AM5/AB5,0)</f>
        <v>2.7546938973871518</v>
      </c>
      <c r="AP5" s="47">
        <f>AN5/AC5</f>
        <v>0.80221636506568417</v>
      </c>
    </row>
    <row r="6" spans="1:42" ht="13.5" customHeight="1" x14ac:dyDescent="0.35">
      <c r="A6" s="53">
        <f>SUMIF('Program Costs'!D:D,C2,'Program Costs'!L:L)</f>
        <v>3502864.65</v>
      </c>
      <c r="B6" s="97" t="s">
        <v>15</v>
      </c>
      <c r="C6" s="100">
        <v>18230628</v>
      </c>
      <c r="D6" s="100" t="s">
        <v>77</v>
      </c>
      <c r="E6" s="38" t="s">
        <v>575</v>
      </c>
      <c r="F6" s="39" t="s">
        <v>574</v>
      </c>
      <c r="G6" s="39">
        <v>15</v>
      </c>
      <c r="H6" s="39"/>
      <c r="I6" s="40" t="s">
        <v>273</v>
      </c>
      <c r="J6" s="41">
        <v>34</v>
      </c>
      <c r="K6" s="41">
        <v>2064</v>
      </c>
      <c r="L6" s="41"/>
      <c r="M6" s="42">
        <v>2400</v>
      </c>
      <c r="N6" s="42">
        <v>3644.31</v>
      </c>
      <c r="O6" s="43">
        <v>70176</v>
      </c>
      <c r="P6" s="44">
        <v>78622.789999999994</v>
      </c>
      <c r="Q6" s="44">
        <v>123906.54</v>
      </c>
      <c r="R6" s="45">
        <v>41.692799999999998</v>
      </c>
      <c r="S6" s="46">
        <v>0</v>
      </c>
      <c r="T6" s="39">
        <f t="shared" si="0"/>
        <v>15</v>
      </c>
      <c r="U6" s="47">
        <f t="shared" si="1"/>
        <v>0.13880784599798007</v>
      </c>
      <c r="V6" s="48">
        <f t="shared" si="2"/>
        <v>1244.31</v>
      </c>
      <c r="W6" s="49">
        <f t="shared" si="3"/>
        <v>9.2538563998653383E-3</v>
      </c>
      <c r="X6" s="44">
        <f t="shared" si="4"/>
        <v>3150.3163375426411</v>
      </c>
      <c r="Y6" s="44">
        <f t="shared" si="5"/>
        <v>45283.75</v>
      </c>
      <c r="Z6" s="44">
        <f t="shared" si="6"/>
        <v>35565.322796807202</v>
      </c>
      <c r="AA6" s="50">
        <f t="shared" si="7"/>
        <v>127056.85633754263</v>
      </c>
      <c r="AB6" s="51">
        <f t="shared" si="8"/>
        <v>33300.864041954308</v>
      </c>
      <c r="AC6" s="44">
        <f t="shared" si="8"/>
        <v>118967.09394900994</v>
      </c>
      <c r="AD6" s="44">
        <f t="shared" si="9"/>
        <v>13075.66182257597</v>
      </c>
      <c r="AE6" s="44">
        <v>0</v>
      </c>
      <c r="AF6" s="52">
        <f>HLOOKUP(I6,ElecAvoidedCostsWOCC!$A$5:$Q$50,G6+1,FALSE)</f>
        <v>1.3071945815391408</v>
      </c>
      <c r="AG6" s="44">
        <f t="shared" si="10"/>
        <v>91733.686954090736</v>
      </c>
      <c r="AH6" s="52">
        <f>HLOOKUP(I6,ElecAvoidedCostsWOCC!$A$5:$Q$50,T6+1,FALSE)</f>
        <v>1.3071945815391408</v>
      </c>
      <c r="AI6" s="44">
        <f t="shared" si="11"/>
        <v>0</v>
      </c>
      <c r="AJ6" s="44">
        <f t="shared" ref="AJ6:AJ24" si="12">AG6+AI6</f>
        <v>91733.686954090736</v>
      </c>
      <c r="AK6" s="44">
        <f>HLOOKUP(I6,ElecAvoidedCostsWOCC!$A$5:$Q$50,G6+1,FALSE)*J6*L6</f>
        <v>0</v>
      </c>
      <c r="AL6" s="44">
        <f t="shared" ref="AL6:AL24" si="13">AG6+AI6-AK6</f>
        <v>91733.686954090736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91733.68695409075</v>
      </c>
      <c r="AN6" s="48">
        <f t="shared" ref="AN6:AN24" si="14">AM6*1.1+AD6+AE6</f>
        <v>113982.7174720758</v>
      </c>
      <c r="AO6" s="47">
        <f t="shared" ref="AO6:AO24" si="15">IFERROR(AM6/AB6,0)</f>
        <v>2.7546938973871509</v>
      </c>
      <c r="AP6" s="47">
        <f t="shared" ref="AP6:AP24" si="16">AN6/AC6</f>
        <v>0.95810289794024495</v>
      </c>
    </row>
    <row r="7" spans="1:42" ht="13.5" customHeight="1" x14ac:dyDescent="0.35">
      <c r="A7" s="36" t="s">
        <v>240</v>
      </c>
      <c r="B7" s="97" t="s">
        <v>15</v>
      </c>
      <c r="C7" s="100">
        <v>18230628</v>
      </c>
      <c r="D7" s="100" t="s">
        <v>77</v>
      </c>
      <c r="E7" s="38" t="s">
        <v>576</v>
      </c>
      <c r="F7" s="39" t="s">
        <v>577</v>
      </c>
      <c r="G7" s="39">
        <v>15</v>
      </c>
      <c r="H7" s="39"/>
      <c r="I7" s="40" t="s">
        <v>273</v>
      </c>
      <c r="J7" s="41">
        <v>1</v>
      </c>
      <c r="K7" s="41">
        <v>1997</v>
      </c>
      <c r="L7" s="41"/>
      <c r="M7" s="42">
        <v>800</v>
      </c>
      <c r="N7" s="42">
        <v>3953.13</v>
      </c>
      <c r="O7" s="43">
        <v>1997</v>
      </c>
      <c r="P7" s="44">
        <v>800</v>
      </c>
      <c r="Q7" s="44">
        <v>3953.13</v>
      </c>
      <c r="R7" s="45">
        <v>0</v>
      </c>
      <c r="S7" s="46">
        <v>0</v>
      </c>
      <c r="T7" s="39">
        <f t="shared" si="0"/>
        <v>15</v>
      </c>
      <c r="U7" s="47">
        <f t="shared" si="1"/>
        <v>3.9500579750622183E-3</v>
      </c>
      <c r="V7" s="48">
        <f t="shared" si="2"/>
        <v>3153.13</v>
      </c>
      <c r="W7" s="49">
        <f t="shared" si="3"/>
        <v>2.6333719833748119E-4</v>
      </c>
      <c r="X7" s="44">
        <f t="shared" si="4"/>
        <v>89.648622407556061</v>
      </c>
      <c r="Y7" s="44">
        <f t="shared" si="5"/>
        <v>3153.13</v>
      </c>
      <c r="Z7" s="44">
        <f t="shared" si="6"/>
        <v>1012.0831854939577</v>
      </c>
      <c r="AA7" s="50">
        <f t="shared" si="7"/>
        <v>4042.7786224075562</v>
      </c>
      <c r="AB7" s="51">
        <f t="shared" si="8"/>
        <v>947.64343211044718</v>
      </c>
      <c r="AC7" s="44">
        <f t="shared" si="8"/>
        <v>3785.3732419546404</v>
      </c>
      <c r="AD7" s="44">
        <f t="shared" si="9"/>
        <v>0</v>
      </c>
      <c r="AE7" s="44">
        <v>0</v>
      </c>
      <c r="AF7" s="52">
        <f>HLOOKUP(I7,ElecAvoidedCostsWOCC!$A$5:$Q$50,G7+1,FALSE)</f>
        <v>1.3071945815391408</v>
      </c>
      <c r="AG7" s="44">
        <f t="shared" si="10"/>
        <v>2610.4675793336642</v>
      </c>
      <c r="AH7" s="52">
        <f>HLOOKUP(I7,ElecAvoidedCostsWOCC!$A$5:$Q$50,T7+1,FALSE)</f>
        <v>1.3071945815391408</v>
      </c>
      <c r="AI7" s="44">
        <f t="shared" si="11"/>
        <v>0</v>
      </c>
      <c r="AJ7" s="44">
        <f t="shared" si="12"/>
        <v>2610.4675793336642</v>
      </c>
      <c r="AK7" s="44">
        <f>HLOOKUP(I7,ElecAvoidedCostsWOCC!$A$5:$Q$50,G7+1,FALSE)*J7*L7</f>
        <v>0</v>
      </c>
      <c r="AL7" s="44">
        <f t="shared" si="13"/>
        <v>2610.4675793336642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2610.4675793336642</v>
      </c>
      <c r="AN7" s="48">
        <f t="shared" si="14"/>
        <v>2871.5143372670309</v>
      </c>
      <c r="AO7" s="47">
        <f t="shared" si="15"/>
        <v>2.7546938973871513</v>
      </c>
      <c r="AP7" s="47">
        <f t="shared" si="16"/>
        <v>0.7585815595252311</v>
      </c>
    </row>
    <row r="8" spans="1:42" ht="13.5" customHeight="1" x14ac:dyDescent="0.35">
      <c r="A8" s="53">
        <f>SUMIF('Program Costs'!D:D,C2,'Program Costs'!O:O)</f>
        <v>340432.81000000006</v>
      </c>
      <c r="B8" s="97" t="s">
        <v>15</v>
      </c>
      <c r="C8" s="100">
        <v>18230628</v>
      </c>
      <c r="D8" s="100" t="s">
        <v>77</v>
      </c>
      <c r="E8" s="38" t="s">
        <v>578</v>
      </c>
      <c r="F8" s="39" t="s">
        <v>577</v>
      </c>
      <c r="G8" s="39">
        <v>15</v>
      </c>
      <c r="H8" s="39"/>
      <c r="I8" s="40" t="s">
        <v>273</v>
      </c>
      <c r="J8" s="41">
        <v>208</v>
      </c>
      <c r="K8" s="41">
        <v>1685</v>
      </c>
      <c r="L8" s="41"/>
      <c r="M8" s="42">
        <v>800</v>
      </c>
      <c r="N8" s="42">
        <v>3644.31</v>
      </c>
      <c r="O8" s="43">
        <v>350480</v>
      </c>
      <c r="P8" s="44">
        <v>166314</v>
      </c>
      <c r="Q8" s="44">
        <v>758016.48</v>
      </c>
      <c r="R8" s="45">
        <v>40.255000000000003</v>
      </c>
      <c r="S8" s="46">
        <v>0</v>
      </c>
      <c r="T8" s="39">
        <f t="shared" si="0"/>
        <v>15</v>
      </c>
      <c r="U8" s="47">
        <f t="shared" si="1"/>
        <v>0.69324803159729897</v>
      </c>
      <c r="V8" s="48">
        <f t="shared" si="2"/>
        <v>2844.31</v>
      </c>
      <c r="W8" s="49">
        <f t="shared" si="3"/>
        <v>4.6216535439819934E-2</v>
      </c>
      <c r="X8" s="44">
        <f t="shared" si="4"/>
        <v>15733.625028242488</v>
      </c>
      <c r="Y8" s="44">
        <f t="shared" si="5"/>
        <v>591702.48</v>
      </c>
      <c r="Z8" s="44">
        <f t="shared" si="6"/>
        <v>177623.89326585992</v>
      </c>
      <c r="AA8" s="50">
        <f t="shared" si="7"/>
        <v>773750.10502824245</v>
      </c>
      <c r="AB8" s="51">
        <f t="shared" si="8"/>
        <v>166314.50680323961</v>
      </c>
      <c r="AC8" s="44">
        <f t="shared" si="8"/>
        <v>724485.11706764274</v>
      </c>
      <c r="AD8" s="44">
        <f t="shared" si="9"/>
        <v>77233.704526569054</v>
      </c>
      <c r="AE8" s="44">
        <v>0</v>
      </c>
      <c r="AF8" s="52">
        <f>HLOOKUP(I8,ElecAvoidedCostsWOCC!$A$5:$Q$50,G8+1,FALSE)</f>
        <v>1.3071945815391408</v>
      </c>
      <c r="AG8" s="44">
        <f t="shared" si="10"/>
        <v>458145.55693783809</v>
      </c>
      <c r="AH8" s="52">
        <f>HLOOKUP(I8,ElecAvoidedCostsWOCC!$A$5:$Q$50,T8+1,FALSE)</f>
        <v>1.3071945815391408</v>
      </c>
      <c r="AI8" s="44">
        <f t="shared" si="11"/>
        <v>0</v>
      </c>
      <c r="AJ8" s="44">
        <f t="shared" si="12"/>
        <v>458145.55693783809</v>
      </c>
      <c r="AK8" s="44">
        <f>HLOOKUP(I8,ElecAvoidedCostsWOCC!$A$5:$Q$50,G8+1,FALSE)*J8*L8</f>
        <v>0</v>
      </c>
      <c r="AL8" s="44">
        <f t="shared" si="13"/>
        <v>458145.55693783809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458145.55693783809</v>
      </c>
      <c r="AN8" s="48">
        <f t="shared" si="14"/>
        <v>581193.817158191</v>
      </c>
      <c r="AO8" s="47">
        <f t="shared" si="15"/>
        <v>2.7546938973871518</v>
      </c>
      <c r="AP8" s="47">
        <f t="shared" si="16"/>
        <v>0.80221636506568417</v>
      </c>
    </row>
    <row r="9" spans="1:42" ht="13.5" customHeight="1" x14ac:dyDescent="0.35">
      <c r="A9" s="36" t="s">
        <v>242</v>
      </c>
      <c r="B9" s="97" t="s">
        <v>15</v>
      </c>
      <c r="C9" s="100">
        <v>18230628</v>
      </c>
      <c r="D9" s="100" t="s">
        <v>77</v>
      </c>
      <c r="E9" s="38" t="s">
        <v>579</v>
      </c>
      <c r="F9" s="39" t="s">
        <v>577</v>
      </c>
      <c r="G9" s="39">
        <v>15</v>
      </c>
      <c r="H9" s="39"/>
      <c r="I9" s="40" t="s">
        <v>273</v>
      </c>
      <c r="J9" s="41">
        <v>1219</v>
      </c>
      <c r="K9" s="41">
        <v>2064</v>
      </c>
      <c r="L9" s="41"/>
      <c r="M9" s="42">
        <v>800</v>
      </c>
      <c r="N9" s="42">
        <v>3644.31</v>
      </c>
      <c r="O9" s="43">
        <v>2516016</v>
      </c>
      <c r="P9" s="44">
        <v>975049.99</v>
      </c>
      <c r="Q9" s="44">
        <v>4442413.8899999997</v>
      </c>
      <c r="R9" s="45">
        <v>41.692799999999998</v>
      </c>
      <c r="S9" s="46">
        <v>0</v>
      </c>
      <c r="T9" s="39">
        <f t="shared" si="0"/>
        <v>15</v>
      </c>
      <c r="U9" s="47">
        <f t="shared" si="1"/>
        <v>4.976669537398168</v>
      </c>
      <c r="V9" s="48">
        <f t="shared" si="2"/>
        <v>2844.31</v>
      </c>
      <c r="W9" s="49">
        <f t="shared" si="3"/>
        <v>0.33177796915987784</v>
      </c>
      <c r="X9" s="44">
        <f t="shared" si="4"/>
        <v>112948.10633719058</v>
      </c>
      <c r="Y9" s="44">
        <f t="shared" si="5"/>
        <v>3467363.8999999994</v>
      </c>
      <c r="Z9" s="44">
        <f t="shared" si="6"/>
        <v>1275121.4261561169</v>
      </c>
      <c r="AA9" s="50">
        <f t="shared" si="7"/>
        <v>4555361.9963371903</v>
      </c>
      <c r="AB9" s="51">
        <f t="shared" si="8"/>
        <v>1193933.9196218322</v>
      </c>
      <c r="AC9" s="44">
        <f t="shared" si="8"/>
        <v>4265320.2212895034</v>
      </c>
      <c r="AD9" s="44">
        <f t="shared" si="9"/>
        <v>468800.93416823843</v>
      </c>
      <c r="AE9" s="44">
        <f t="shared" ref="AE9:AE24" si="17">-PV(ElecDiscountRate,T9,S9)*J9</f>
        <v>0</v>
      </c>
      <c r="AF9" s="52">
        <f>HLOOKUP(I9,ElecAvoidedCostsWOCC!$A$5:$Q$50,G9+1,FALSE)</f>
        <v>1.3071945815391408</v>
      </c>
      <c r="AG9" s="44">
        <f t="shared" si="10"/>
        <v>3288922.482265783</v>
      </c>
      <c r="AH9" s="52">
        <f>HLOOKUP(I9,ElecAvoidedCostsWOCC!$A$5:$Q$50,T9+1,FALSE)</f>
        <v>1.3071945815391408</v>
      </c>
      <c r="AI9" s="44">
        <f t="shared" si="11"/>
        <v>0</v>
      </c>
      <c r="AJ9" s="44">
        <f t="shared" si="12"/>
        <v>3288922.482265783</v>
      </c>
      <c r="AK9" s="44">
        <f>HLOOKUP(I9,ElecAvoidedCostsWOCC!$A$5:$Q$50,G9+1,FALSE)*J9*L9</f>
        <v>0</v>
      </c>
      <c r="AL9" s="44">
        <f t="shared" si="13"/>
        <v>3288922.482265783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3288922.482265783</v>
      </c>
      <c r="AN9" s="48">
        <f t="shared" si="14"/>
        <v>4086615.6646606</v>
      </c>
      <c r="AO9" s="47">
        <f t="shared" si="15"/>
        <v>2.7546938973871513</v>
      </c>
      <c r="AP9" s="47">
        <f t="shared" si="16"/>
        <v>0.95810289794024495</v>
      </c>
    </row>
    <row r="10" spans="1:42" ht="13.5" customHeight="1" x14ac:dyDescent="0.35">
      <c r="A10" s="54">
        <f>SUM(O5:O999)</f>
        <v>7583433</v>
      </c>
      <c r="B10" s="97" t="s">
        <v>15</v>
      </c>
      <c r="C10" s="100">
        <v>18230628</v>
      </c>
      <c r="D10" s="100" t="s">
        <v>77</v>
      </c>
      <c r="E10" s="38" t="s">
        <v>580</v>
      </c>
      <c r="F10" s="39" t="s">
        <v>581</v>
      </c>
      <c r="G10" s="39">
        <v>15</v>
      </c>
      <c r="H10" s="39"/>
      <c r="I10" s="40" t="s">
        <v>273</v>
      </c>
      <c r="J10" s="41">
        <v>37</v>
      </c>
      <c r="K10" s="41">
        <v>3055</v>
      </c>
      <c r="L10" s="41"/>
      <c r="M10" s="42">
        <v>2400</v>
      </c>
      <c r="N10" s="42">
        <v>3895.16</v>
      </c>
      <c r="O10" s="43">
        <v>113035</v>
      </c>
      <c r="P10" s="44">
        <v>87596.84</v>
      </c>
      <c r="Q10" s="44">
        <v>144120.92000000001</v>
      </c>
      <c r="R10" s="45">
        <v>0</v>
      </c>
      <c r="S10" s="46">
        <v>0</v>
      </c>
      <c r="T10" s="39">
        <f t="shared" si="0"/>
        <v>15</v>
      </c>
      <c r="U10" s="47">
        <f t="shared" si="1"/>
        <v>0.22358277576923274</v>
      </c>
      <c r="V10" s="48">
        <f t="shared" si="2"/>
        <v>1495.1599999999999</v>
      </c>
      <c r="W10" s="49">
        <f t="shared" si="3"/>
        <v>1.4905518384615516E-2</v>
      </c>
      <c r="X10" s="44">
        <f t="shared" si="4"/>
        <v>5074.3275081813217</v>
      </c>
      <c r="Y10" s="44">
        <f t="shared" si="5"/>
        <v>56524.080000000016</v>
      </c>
      <c r="Z10" s="44">
        <f t="shared" si="6"/>
        <v>57286.340947576115</v>
      </c>
      <c r="AA10" s="50">
        <f t="shared" si="7"/>
        <v>149195.24750818135</v>
      </c>
      <c r="AB10" s="51">
        <f t="shared" si="8"/>
        <v>53638.896018329695</v>
      </c>
      <c r="AC10" s="44">
        <f t="shared" si="8"/>
        <v>139695.9246331286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1.3071945815391408</v>
      </c>
      <c r="AG10" s="44">
        <f t="shared" si="10"/>
        <v>147758.73952427678</v>
      </c>
      <c r="AH10" s="52">
        <f>HLOOKUP(I10,ElecAvoidedCostsWOCC!$A$5:$Q$50,T10+1,FALSE)</f>
        <v>1.3071945815391408</v>
      </c>
      <c r="AI10" s="44">
        <f t="shared" si="11"/>
        <v>0</v>
      </c>
      <c r="AJ10" s="44">
        <f t="shared" si="12"/>
        <v>147758.73952427678</v>
      </c>
      <c r="AK10" s="44">
        <f>HLOOKUP(I10,ElecAvoidedCostsWOCC!$A$5:$Q$50,G10+1,FALSE)*J10*L10</f>
        <v>0</v>
      </c>
      <c r="AL10" s="44">
        <f t="shared" si="13"/>
        <v>147758.73952427678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147758.73952427678</v>
      </c>
      <c r="AN10" s="48">
        <f t="shared" si="14"/>
        <v>162534.61347670449</v>
      </c>
      <c r="AO10" s="47">
        <f t="shared" si="15"/>
        <v>2.7546938973871513</v>
      </c>
      <c r="AP10" s="47">
        <f t="shared" si="16"/>
        <v>1.1634885835328066</v>
      </c>
    </row>
    <row r="11" spans="1:42" ht="13.5" customHeight="1" x14ac:dyDescent="0.35">
      <c r="A11" s="36" t="s">
        <v>243</v>
      </c>
      <c r="B11" s="97" t="s">
        <v>15</v>
      </c>
      <c r="C11" s="100">
        <v>18230628</v>
      </c>
      <c r="D11" s="100" t="s">
        <v>77</v>
      </c>
      <c r="E11" s="38" t="s">
        <v>582</v>
      </c>
      <c r="F11" s="39" t="s">
        <v>583</v>
      </c>
      <c r="G11" s="39">
        <v>15</v>
      </c>
      <c r="H11" s="39"/>
      <c r="I11" s="40" t="s">
        <v>273</v>
      </c>
      <c r="J11" s="41">
        <v>23</v>
      </c>
      <c r="K11" s="41">
        <v>2550</v>
      </c>
      <c r="L11" s="41"/>
      <c r="M11" s="42">
        <v>800</v>
      </c>
      <c r="N11" s="42">
        <v>4039.18</v>
      </c>
      <c r="O11" s="43">
        <v>58650</v>
      </c>
      <c r="P11" s="44">
        <v>18400</v>
      </c>
      <c r="Q11" s="44">
        <v>92901.14</v>
      </c>
      <c r="R11" s="45">
        <v>0</v>
      </c>
      <c r="S11" s="46">
        <v>0</v>
      </c>
      <c r="T11" s="39">
        <f t="shared" si="0"/>
        <v>15</v>
      </c>
      <c r="U11" s="47">
        <f t="shared" si="1"/>
        <v>0.1160094643151723</v>
      </c>
      <c r="V11" s="48">
        <f t="shared" si="2"/>
        <v>3239.18</v>
      </c>
      <c r="W11" s="49">
        <f t="shared" si="3"/>
        <v>7.7339642876781533E-3</v>
      </c>
      <c r="X11" s="44">
        <f t="shared" si="4"/>
        <v>2632.8951948939225</v>
      </c>
      <c r="Y11" s="44">
        <f t="shared" si="5"/>
        <v>74501.14</v>
      </c>
      <c r="Z11" s="44">
        <f t="shared" si="6"/>
        <v>29723.925302564156</v>
      </c>
      <c r="AA11" s="50">
        <f t="shared" si="7"/>
        <v>95534.035194893921</v>
      </c>
      <c r="AB11" s="51">
        <f t="shared" si="8"/>
        <v>27831.390732737971</v>
      </c>
      <c r="AC11" s="44">
        <f t="shared" si="8"/>
        <v>89451.343815443746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1.3071945815391408</v>
      </c>
      <c r="AG11" s="44">
        <f t="shared" si="10"/>
        <v>76666.962207270612</v>
      </c>
      <c r="AH11" s="52">
        <f>HLOOKUP(I11,ElecAvoidedCostsWOCC!$A$5:$Q$50,T11+1,FALSE)</f>
        <v>1.3071945815391408</v>
      </c>
      <c r="AI11" s="44">
        <f t="shared" si="11"/>
        <v>0</v>
      </c>
      <c r="AJ11" s="44">
        <f t="shared" si="12"/>
        <v>76666.962207270612</v>
      </c>
      <c r="AK11" s="44">
        <f>HLOOKUP(I11,ElecAvoidedCostsWOCC!$A$5:$Q$50,G11+1,FALSE)*J11*L11</f>
        <v>0</v>
      </c>
      <c r="AL11" s="44">
        <f t="shared" si="13"/>
        <v>76666.962207270612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76666.962207270612</v>
      </c>
      <c r="AN11" s="48">
        <f t="shared" si="14"/>
        <v>84333.658427997681</v>
      </c>
      <c r="AO11" s="47">
        <f t="shared" si="15"/>
        <v>2.7546938973871513</v>
      </c>
      <c r="AP11" s="47">
        <f t="shared" si="16"/>
        <v>0.94278805472162741</v>
      </c>
    </row>
    <row r="12" spans="1:42" ht="13.5" customHeight="1" x14ac:dyDescent="0.35">
      <c r="A12" s="55">
        <f>SUM(P5:P1000)</f>
        <v>3480741.04</v>
      </c>
      <c r="B12" s="97" t="s">
        <v>15</v>
      </c>
      <c r="C12" s="100">
        <v>18230628</v>
      </c>
      <c r="D12" s="100" t="s">
        <v>77</v>
      </c>
      <c r="E12" s="38" t="s">
        <v>584</v>
      </c>
      <c r="F12" s="39" t="s">
        <v>585</v>
      </c>
      <c r="G12" s="39">
        <v>10</v>
      </c>
      <c r="H12" s="39">
        <v>8</v>
      </c>
      <c r="I12" s="40" t="s">
        <v>273</v>
      </c>
      <c r="J12" s="41">
        <v>80</v>
      </c>
      <c r="K12" s="41">
        <v>4268</v>
      </c>
      <c r="L12" s="41">
        <v>3201</v>
      </c>
      <c r="M12" s="42">
        <v>1500</v>
      </c>
      <c r="N12" s="42">
        <v>4692.1000000000004</v>
      </c>
      <c r="O12" s="43">
        <v>341440</v>
      </c>
      <c r="P12" s="44">
        <v>120000</v>
      </c>
      <c r="Q12" s="44">
        <v>375368</v>
      </c>
      <c r="R12" s="45">
        <v>0</v>
      </c>
      <c r="S12" s="46">
        <v>0</v>
      </c>
      <c r="T12" s="39">
        <f t="shared" si="0"/>
        <v>18</v>
      </c>
      <c r="U12" s="47">
        <f t="shared" si="1"/>
        <v>0.81044033750941025</v>
      </c>
      <c r="V12" s="48">
        <f t="shared" si="2"/>
        <v>3192.1000000000004</v>
      </c>
      <c r="W12" s="49">
        <f t="shared" si="3"/>
        <v>4.5024463194967237E-2</v>
      </c>
      <c r="X12" s="44">
        <f t="shared" si="4"/>
        <v>15327.804524204277</v>
      </c>
      <c r="Y12" s="44">
        <f t="shared" si="5"/>
        <v>255368</v>
      </c>
      <c r="Z12" s="44">
        <f t="shared" si="6"/>
        <v>173042.40503508109</v>
      </c>
      <c r="AA12" s="50">
        <f t="shared" si="7"/>
        <v>390695.80452420429</v>
      </c>
      <c r="AB12" s="51">
        <f t="shared" si="8"/>
        <v>162024.72381561899</v>
      </c>
      <c r="AC12" s="44">
        <f t="shared" si="8"/>
        <v>365820.04168932984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0.93611497303920366</v>
      </c>
      <c r="AG12" s="44">
        <f t="shared" si="10"/>
        <v>319627.0963945057</v>
      </c>
      <c r="AH12" s="52">
        <f>HLOOKUP(I12,ElecAvoidedCostsWOCC!$A$5:$Q$50,T12+1,FALSE)</f>
        <v>1.5099448143658902</v>
      </c>
      <c r="AI12" s="44">
        <f t="shared" si="11"/>
        <v>386666.66806281719</v>
      </c>
      <c r="AJ12" s="44">
        <f t="shared" si="12"/>
        <v>706293.76445732289</v>
      </c>
      <c r="AK12" s="44">
        <f>HLOOKUP(I12,ElecAvoidedCostsWOCC!$A$5:$Q$50,G12+1,FALSE)*J12*L12</f>
        <v>239720.32229587925</v>
      </c>
      <c r="AL12" s="44">
        <f t="shared" si="13"/>
        <v>466573.44216144364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466573.44216144364</v>
      </c>
      <c r="AN12" s="48">
        <f t="shared" si="14"/>
        <v>513230.78637758805</v>
      </c>
      <c r="AO12" s="47">
        <f t="shared" si="15"/>
        <v>2.8796434962135486</v>
      </c>
      <c r="AP12" s="47">
        <f t="shared" si="16"/>
        <v>1.4029597285253326</v>
      </c>
    </row>
    <row r="13" spans="1:42" ht="13.5" customHeight="1" x14ac:dyDescent="0.35">
      <c r="A13" s="56" t="s">
        <v>246</v>
      </c>
      <c r="B13" s="97" t="s">
        <v>15</v>
      </c>
      <c r="C13" s="100">
        <v>18230628</v>
      </c>
      <c r="D13" s="100" t="s">
        <v>77</v>
      </c>
      <c r="E13" s="38" t="s">
        <v>586</v>
      </c>
      <c r="F13" s="39" t="s">
        <v>585</v>
      </c>
      <c r="G13" s="39">
        <v>10</v>
      </c>
      <c r="H13" s="39">
        <v>8</v>
      </c>
      <c r="I13" s="40" t="s">
        <v>273</v>
      </c>
      <c r="J13" s="41">
        <v>318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1357224</v>
      </c>
      <c r="P13" s="44">
        <v>477000</v>
      </c>
      <c r="Q13" s="44">
        <v>1492087.8</v>
      </c>
      <c r="R13" s="45">
        <v>172.00040000000001</v>
      </c>
      <c r="S13" s="46">
        <v>0</v>
      </c>
      <c r="T13" s="39">
        <f t="shared" si="0"/>
        <v>18</v>
      </c>
      <c r="U13" s="47">
        <f t="shared" si="1"/>
        <v>3.2215003415999059</v>
      </c>
      <c r="V13" s="48">
        <f t="shared" si="2"/>
        <v>3192.1000000000004</v>
      </c>
      <c r="W13" s="49">
        <f t="shared" si="3"/>
        <v>0.17897224119999477</v>
      </c>
      <c r="X13" s="44">
        <f t="shared" si="4"/>
        <v>60928.022983712006</v>
      </c>
      <c r="Y13" s="44">
        <f t="shared" si="5"/>
        <v>1015087.8</v>
      </c>
      <c r="Z13" s="44">
        <f t="shared" si="6"/>
        <v>687843.56001444731</v>
      </c>
      <c r="AA13" s="50">
        <f t="shared" si="7"/>
        <v>1553015.822983712</v>
      </c>
      <c r="AB13" s="51">
        <f t="shared" si="8"/>
        <v>644048.27716708544</v>
      </c>
      <c r="AC13" s="44">
        <f t="shared" si="8"/>
        <v>1454134.665715086</v>
      </c>
      <c r="AD13" s="44">
        <f t="shared" si="9"/>
        <v>558224.49212074373</v>
      </c>
      <c r="AE13" s="44">
        <f t="shared" si="17"/>
        <v>0</v>
      </c>
      <c r="AF13" s="52">
        <f>HLOOKUP(I13,ElecAvoidedCostsWOCC!$A$5:$Q$50,G13+1,FALSE)</f>
        <v>0.93611497303920366</v>
      </c>
      <c r="AG13" s="44">
        <f t="shared" si="10"/>
        <v>1270517.7081681602</v>
      </c>
      <c r="AH13" s="52">
        <f>HLOOKUP(I13,ElecAvoidedCostsWOCC!$A$5:$Q$50,T13+1,FALSE)</f>
        <v>1.5099448143658902</v>
      </c>
      <c r="AI13" s="44">
        <f t="shared" si="11"/>
        <v>1537000.0055496981</v>
      </c>
      <c r="AJ13" s="44">
        <f t="shared" si="12"/>
        <v>2807517.7137178583</v>
      </c>
      <c r="AK13" s="44">
        <f>HLOOKUP(I13,ElecAvoidedCostsWOCC!$A$5:$Q$50,G13+1,FALSE)*J13*L13</f>
        <v>952888.28112612013</v>
      </c>
      <c r="AL13" s="44">
        <f t="shared" si="13"/>
        <v>1854629.4325917382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1854629.4325917382</v>
      </c>
      <c r="AN13" s="48">
        <f t="shared" si="14"/>
        <v>2598316.8679716559</v>
      </c>
      <c r="AO13" s="47">
        <f t="shared" si="15"/>
        <v>2.8796434962135482</v>
      </c>
      <c r="AP13" s="47">
        <f t="shared" si="16"/>
        <v>1.7868474834095962</v>
      </c>
    </row>
    <row r="14" spans="1:42" ht="13.5" customHeight="1" x14ac:dyDescent="0.35">
      <c r="A14" s="55">
        <f>SUM(Y5:Y1000)</f>
        <v>7481632.9799999977</v>
      </c>
      <c r="B14" s="97" t="s">
        <v>15</v>
      </c>
      <c r="C14" s="100">
        <v>18230628</v>
      </c>
      <c r="D14" s="100" t="s">
        <v>77</v>
      </c>
      <c r="E14" s="38" t="s">
        <v>587</v>
      </c>
      <c r="F14" s="39" t="s">
        <v>588</v>
      </c>
      <c r="G14" s="39">
        <v>10</v>
      </c>
      <c r="H14" s="39">
        <v>8</v>
      </c>
      <c r="I14" s="40" t="s">
        <v>273</v>
      </c>
      <c r="J14" s="41">
        <v>47</v>
      </c>
      <c r="K14" s="41">
        <v>3988</v>
      </c>
      <c r="L14" s="41">
        <v>2991</v>
      </c>
      <c r="M14" s="42">
        <v>2400</v>
      </c>
      <c r="N14" s="42">
        <v>4258.1099999999997</v>
      </c>
      <c r="O14" s="43">
        <v>187436</v>
      </c>
      <c r="P14" s="44">
        <v>112099.99</v>
      </c>
      <c r="Q14" s="44">
        <v>200131.17</v>
      </c>
      <c r="R14" s="45">
        <v>0</v>
      </c>
      <c r="S14" s="46">
        <v>0</v>
      </c>
      <c r="T14" s="39">
        <f t="shared" si="0"/>
        <v>18</v>
      </c>
      <c r="U14" s="47">
        <f t="shared" si="1"/>
        <v>0.44489718574687742</v>
      </c>
      <c r="V14" s="48">
        <f t="shared" si="2"/>
        <v>1858.1099999999997</v>
      </c>
      <c r="W14" s="49">
        <f t="shared" si="3"/>
        <v>2.4716510319270968E-2</v>
      </c>
      <c r="X14" s="44">
        <f t="shared" si="4"/>
        <v>8414.3110613834142</v>
      </c>
      <c r="Y14" s="44">
        <f t="shared" si="5"/>
        <v>88031.180000000008</v>
      </c>
      <c r="Z14" s="44">
        <f t="shared" si="6"/>
        <v>94992.901330117893</v>
      </c>
      <c r="AA14" s="50">
        <f t="shared" si="7"/>
        <v>208545.48106138344</v>
      </c>
      <c r="AB14" s="51">
        <f t="shared" si="8"/>
        <v>88944.664166777045</v>
      </c>
      <c r="AC14" s="44">
        <f t="shared" si="8"/>
        <v>195267.30436459123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0.93611497303920366</v>
      </c>
      <c r="AG14" s="44">
        <f t="shared" si="10"/>
        <v>175461.64608657616</v>
      </c>
      <c r="AH14" s="52">
        <f>HLOOKUP(I14,ElecAvoidedCostsWOCC!$A$5:$Q$50,T14+1,FALSE)</f>
        <v>1.5099448143658902</v>
      </c>
      <c r="AI14" s="44">
        <f t="shared" si="11"/>
        <v>212263.51216911373</v>
      </c>
      <c r="AJ14" s="44">
        <f t="shared" si="12"/>
        <v>387725.15825568989</v>
      </c>
      <c r="AK14" s="44">
        <f>HLOOKUP(I14,ElecAvoidedCostsWOCC!$A$5:$Q$50,G14+1,FALSE)*J14*L14</f>
        <v>131596.23456493212</v>
      </c>
      <c r="AL14" s="44">
        <f t="shared" si="13"/>
        <v>256128.92369075777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256128.92369075783</v>
      </c>
      <c r="AN14" s="48">
        <f t="shared" si="14"/>
        <v>281741.81605983363</v>
      </c>
      <c r="AO14" s="47">
        <f t="shared" si="15"/>
        <v>2.8796434962135491</v>
      </c>
      <c r="AP14" s="47">
        <f t="shared" si="16"/>
        <v>1.442851976559181</v>
      </c>
    </row>
    <row r="15" spans="1:42" ht="13.5" customHeight="1" x14ac:dyDescent="0.35">
      <c r="A15" s="57" t="s">
        <v>249</v>
      </c>
      <c r="B15" s="97" t="s">
        <v>15</v>
      </c>
      <c r="C15" s="100">
        <v>18230628</v>
      </c>
      <c r="D15" s="100" t="s">
        <v>77</v>
      </c>
      <c r="E15" s="38" t="s">
        <v>589</v>
      </c>
      <c r="F15" s="39" t="s">
        <v>588</v>
      </c>
      <c r="G15" s="39">
        <v>10</v>
      </c>
      <c r="H15" s="39">
        <v>8</v>
      </c>
      <c r="I15" s="40" t="s">
        <v>273</v>
      </c>
      <c r="J15" s="41">
        <v>255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1016940</v>
      </c>
      <c r="P15" s="44">
        <v>611086.73</v>
      </c>
      <c r="Q15" s="44">
        <v>1085818.05</v>
      </c>
      <c r="R15" s="45">
        <v>160.71639999999999</v>
      </c>
      <c r="S15" s="46">
        <v>0</v>
      </c>
      <c r="T15" s="39">
        <f t="shared" si="0"/>
        <v>18</v>
      </c>
      <c r="U15" s="47">
        <f t="shared" si="1"/>
        <v>2.4138038801160371</v>
      </c>
      <c r="V15" s="48">
        <f t="shared" si="2"/>
        <v>1858.1099999999997</v>
      </c>
      <c r="W15" s="49">
        <f t="shared" si="3"/>
        <v>0.13410021556200205</v>
      </c>
      <c r="X15" s="44">
        <f t="shared" si="4"/>
        <v>45652.113205378097</v>
      </c>
      <c r="Y15" s="44">
        <f t="shared" si="5"/>
        <v>474731.32000000007</v>
      </c>
      <c r="Z15" s="44">
        <f t="shared" si="6"/>
        <v>515387.01785489498</v>
      </c>
      <c r="AA15" s="50">
        <f t="shared" si="7"/>
        <v>1131470.1632053782</v>
      </c>
      <c r="AB15" s="51">
        <f t="shared" si="8"/>
        <v>482572.11409634358</v>
      </c>
      <c r="AC15" s="44">
        <f t="shared" si="8"/>
        <v>1059428.9917653354</v>
      </c>
      <c r="AD15" s="44">
        <f t="shared" si="9"/>
        <v>418266.11894371826</v>
      </c>
      <c r="AE15" s="44">
        <f t="shared" si="17"/>
        <v>0</v>
      </c>
      <c r="AF15" s="52">
        <f>HLOOKUP(I15,ElecAvoidedCostsWOCC!$A$5:$Q$50,G15+1,FALSE)</f>
        <v>0.93611497303920366</v>
      </c>
      <c r="AG15" s="44">
        <f t="shared" si="10"/>
        <v>951972.76068248774</v>
      </c>
      <c r="AH15" s="52">
        <f>HLOOKUP(I15,ElecAvoidedCostsWOCC!$A$5:$Q$50,T15+1,FALSE)</f>
        <v>1.5099448143658902</v>
      </c>
      <c r="AI15" s="44">
        <f t="shared" si="11"/>
        <v>1151642.4596409362</v>
      </c>
      <c r="AJ15" s="44">
        <f t="shared" si="12"/>
        <v>2103615.2203234239</v>
      </c>
      <c r="AK15" s="44">
        <f>HLOOKUP(I15,ElecAvoidedCostsWOCC!$A$5:$Q$50,G15+1,FALSE)*J15*L15</f>
        <v>713979.5705118659</v>
      </c>
      <c r="AL15" s="44">
        <f t="shared" si="13"/>
        <v>1389635.649811558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1389635.649811558</v>
      </c>
      <c r="AN15" s="48">
        <f t="shared" si="14"/>
        <v>1946865.3337364323</v>
      </c>
      <c r="AO15" s="47">
        <f t="shared" si="15"/>
        <v>2.8796434962135478</v>
      </c>
      <c r="AP15" s="47">
        <f t="shared" si="16"/>
        <v>1.8376553302476215</v>
      </c>
    </row>
    <row r="16" spans="1:42" ht="13.5" customHeight="1" x14ac:dyDescent="0.35">
      <c r="A16" s="54">
        <f>SUM(U5:U999)</f>
        <v>16.352955580935443</v>
      </c>
      <c r="B16" s="97" t="s">
        <v>15</v>
      </c>
      <c r="C16" s="100">
        <v>18230628</v>
      </c>
      <c r="D16" s="100" t="s">
        <v>77</v>
      </c>
      <c r="E16" s="38" t="s">
        <v>590</v>
      </c>
      <c r="F16" s="39" t="s">
        <v>591</v>
      </c>
      <c r="G16" s="39">
        <v>15</v>
      </c>
      <c r="H16" s="39"/>
      <c r="I16" s="40" t="s">
        <v>273</v>
      </c>
      <c r="J16" s="41">
        <v>1</v>
      </c>
      <c r="K16" s="41">
        <v>1685</v>
      </c>
      <c r="L16" s="41"/>
      <c r="M16" s="42">
        <v>1600</v>
      </c>
      <c r="N16" s="42">
        <v>3644.31</v>
      </c>
      <c r="O16" s="43">
        <v>1685</v>
      </c>
      <c r="P16" s="44">
        <v>1600</v>
      </c>
      <c r="Q16" s="44">
        <v>3644.31</v>
      </c>
      <c r="R16" s="45">
        <v>40.255000000000003</v>
      </c>
      <c r="S16" s="46">
        <v>0</v>
      </c>
      <c r="T16" s="39">
        <f t="shared" si="0"/>
        <v>15</v>
      </c>
      <c r="U16" s="47">
        <f t="shared" si="1"/>
        <v>3.3329232288331683E-3</v>
      </c>
      <c r="V16" s="48">
        <f t="shared" si="2"/>
        <v>2044.31</v>
      </c>
      <c r="W16" s="49">
        <f t="shared" si="3"/>
        <v>2.2219488192221123E-4</v>
      </c>
      <c r="X16" s="44">
        <f t="shared" si="4"/>
        <v>75.642428020396579</v>
      </c>
      <c r="Y16" s="44">
        <f t="shared" si="5"/>
        <v>2044.31</v>
      </c>
      <c r="Z16" s="44">
        <f t="shared" si="6"/>
        <v>853.96102531663428</v>
      </c>
      <c r="AA16" s="50">
        <f t="shared" si="7"/>
        <v>3719.9524280203964</v>
      </c>
      <c r="AB16" s="51">
        <f t="shared" si="8"/>
        <v>799.5889750155751</v>
      </c>
      <c r="AC16" s="44">
        <f t="shared" si="8"/>
        <v>3483.1015243636666</v>
      </c>
      <c r="AD16" s="44">
        <f t="shared" si="9"/>
        <v>371.31588714696659</v>
      </c>
      <c r="AE16" s="44">
        <f t="shared" si="17"/>
        <v>0</v>
      </c>
      <c r="AF16" s="52">
        <f>HLOOKUP(I16,ElecAvoidedCostsWOCC!$A$5:$Q$50,G16+1,FALSE)</f>
        <v>1.3071945815391408</v>
      </c>
      <c r="AG16" s="44">
        <f t="shared" si="10"/>
        <v>2202.6228698934524</v>
      </c>
      <c r="AH16" s="52">
        <f>HLOOKUP(I16,ElecAvoidedCostsWOCC!$A$5:$Q$50,T16+1,FALSE)</f>
        <v>1.3071945815391408</v>
      </c>
      <c r="AI16" s="44">
        <f t="shared" si="11"/>
        <v>0</v>
      </c>
      <c r="AJ16" s="44">
        <f t="shared" si="12"/>
        <v>2202.6228698934524</v>
      </c>
      <c r="AK16" s="44">
        <f>HLOOKUP(I16,ElecAvoidedCostsWOCC!$A$5:$Q$50,G16+1,FALSE)*J16*L16</f>
        <v>0</v>
      </c>
      <c r="AL16" s="44">
        <f t="shared" si="13"/>
        <v>2202.6228698934524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2202.6228698934524</v>
      </c>
      <c r="AN16" s="48">
        <f t="shared" si="14"/>
        <v>2794.2010440297645</v>
      </c>
      <c r="AO16" s="47">
        <f t="shared" si="15"/>
        <v>2.7546938973871518</v>
      </c>
      <c r="AP16" s="47">
        <f t="shared" si="16"/>
        <v>0.80221636506568428</v>
      </c>
    </row>
    <row r="17" spans="1:42" ht="13.5" customHeight="1" x14ac:dyDescent="0.35">
      <c r="A17" s="58" t="s">
        <v>252</v>
      </c>
      <c r="B17" s="97" t="s">
        <v>15</v>
      </c>
      <c r="C17" s="100">
        <v>18230628</v>
      </c>
      <c r="D17" s="100" t="s">
        <v>77</v>
      </c>
      <c r="E17" s="38" t="s">
        <v>592</v>
      </c>
      <c r="F17" s="39" t="s">
        <v>591</v>
      </c>
      <c r="G17" s="39">
        <v>15</v>
      </c>
      <c r="H17" s="39"/>
      <c r="I17" s="40" t="s">
        <v>273</v>
      </c>
      <c r="J17" s="41">
        <v>27</v>
      </c>
      <c r="K17" s="41">
        <v>2064</v>
      </c>
      <c r="L17" s="41"/>
      <c r="M17" s="42">
        <v>2400</v>
      </c>
      <c r="N17" s="42">
        <v>3644.31</v>
      </c>
      <c r="O17" s="43">
        <v>55728</v>
      </c>
      <c r="P17" s="44">
        <v>61769.45</v>
      </c>
      <c r="Q17" s="44">
        <v>98396.37</v>
      </c>
      <c r="R17" s="45">
        <v>41.692799999999998</v>
      </c>
      <c r="S17" s="46">
        <v>0</v>
      </c>
      <c r="T17" s="39">
        <f t="shared" si="0"/>
        <v>15</v>
      </c>
      <c r="U17" s="47">
        <f t="shared" si="1"/>
        <v>0.11022976005721948</v>
      </c>
      <c r="V17" s="48">
        <f t="shared" si="2"/>
        <v>1244.31</v>
      </c>
      <c r="W17" s="49">
        <f t="shared" si="3"/>
        <v>7.3486506704812981E-3</v>
      </c>
      <c r="X17" s="44">
        <f t="shared" si="4"/>
        <v>2501.7217974603327</v>
      </c>
      <c r="Y17" s="44">
        <f t="shared" si="5"/>
        <v>36626.92</v>
      </c>
      <c r="Z17" s="44">
        <f t="shared" si="6"/>
        <v>28243.050456288071</v>
      </c>
      <c r="AA17" s="50">
        <f t="shared" si="7"/>
        <v>100898.09179746032</v>
      </c>
      <c r="AB17" s="51">
        <f t="shared" si="8"/>
        <v>26444.803798022538</v>
      </c>
      <c r="AC17" s="44">
        <f t="shared" si="8"/>
        <v>94473.868724213782</v>
      </c>
      <c r="AD17" s="44">
        <f t="shared" si="9"/>
        <v>10383.613800280917</v>
      </c>
      <c r="AE17" s="44">
        <f t="shared" si="17"/>
        <v>0</v>
      </c>
      <c r="AF17" s="52">
        <f>HLOOKUP(I17,ElecAvoidedCostsWOCC!$A$5:$Q$50,G17+1,FALSE)</f>
        <v>1.3071945815391408</v>
      </c>
      <c r="AG17" s="44">
        <f t="shared" si="10"/>
        <v>72847.339640013248</v>
      </c>
      <c r="AH17" s="52">
        <f>HLOOKUP(I17,ElecAvoidedCostsWOCC!$A$5:$Q$50,T17+1,FALSE)</f>
        <v>1.3071945815391408</v>
      </c>
      <c r="AI17" s="44">
        <f t="shared" si="11"/>
        <v>0</v>
      </c>
      <c r="AJ17" s="44">
        <f t="shared" si="12"/>
        <v>72847.339640013248</v>
      </c>
      <c r="AK17" s="44">
        <f>HLOOKUP(I17,ElecAvoidedCostsWOCC!$A$5:$Q$50,G17+1,FALSE)*J17*L17</f>
        <v>0</v>
      </c>
      <c r="AL17" s="44">
        <f t="shared" si="13"/>
        <v>72847.339640013248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72847.339640013233</v>
      </c>
      <c r="AN17" s="48">
        <f t="shared" si="14"/>
        <v>90515.687404295473</v>
      </c>
      <c r="AO17" s="47">
        <f t="shared" si="15"/>
        <v>2.7546938973871509</v>
      </c>
      <c r="AP17" s="47">
        <f t="shared" si="16"/>
        <v>0.95810289794024472</v>
      </c>
    </row>
    <row r="18" spans="1:42" ht="13.5" customHeight="1" x14ac:dyDescent="0.35">
      <c r="A18" s="59">
        <f>A6+A8</f>
        <v>3843297.46</v>
      </c>
      <c r="B18" s="97" t="s">
        <v>15</v>
      </c>
      <c r="C18" s="100">
        <v>18230628</v>
      </c>
      <c r="D18" s="100" t="s">
        <v>77</v>
      </c>
      <c r="E18" s="38" t="s">
        <v>593</v>
      </c>
      <c r="F18" s="39" t="s">
        <v>594</v>
      </c>
      <c r="G18" s="39">
        <v>10</v>
      </c>
      <c r="H18" s="39">
        <v>8</v>
      </c>
      <c r="I18" s="40" t="s">
        <v>273</v>
      </c>
      <c r="J18" s="41">
        <v>1</v>
      </c>
      <c r="K18" s="41">
        <v>4268</v>
      </c>
      <c r="L18" s="41">
        <v>3201</v>
      </c>
      <c r="M18" s="42">
        <v>1600</v>
      </c>
      <c r="N18" s="42">
        <v>4692.1000000000004</v>
      </c>
      <c r="O18" s="43">
        <v>4268</v>
      </c>
      <c r="P18" s="44">
        <v>1600</v>
      </c>
      <c r="Q18" s="44">
        <v>4692.1000000000004</v>
      </c>
      <c r="R18" s="45">
        <v>0</v>
      </c>
      <c r="S18" s="46">
        <v>0</v>
      </c>
      <c r="T18" s="39">
        <f t="shared" si="0"/>
        <v>18</v>
      </c>
      <c r="U18" s="47">
        <f t="shared" si="1"/>
        <v>1.0130504218867627E-2</v>
      </c>
      <c r="V18" s="48">
        <f t="shared" si="2"/>
        <v>3092.1000000000004</v>
      </c>
      <c r="W18" s="49">
        <f t="shared" si="3"/>
        <v>5.6280578993709045E-4</v>
      </c>
      <c r="X18" s="44">
        <f t="shared" si="4"/>
        <v>191.59755655255344</v>
      </c>
      <c r="Y18" s="44">
        <f t="shared" si="5"/>
        <v>3092.1000000000004</v>
      </c>
      <c r="Z18" s="44">
        <f t="shared" si="6"/>
        <v>2163.0300629385133</v>
      </c>
      <c r="AA18" s="50">
        <f t="shared" si="7"/>
        <v>4883.6975565525536</v>
      </c>
      <c r="AB18" s="51">
        <f t="shared" si="8"/>
        <v>2025.309047695237</v>
      </c>
      <c r="AC18" s="44">
        <f t="shared" si="8"/>
        <v>4572.7505211166226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0.93611497303920366</v>
      </c>
      <c r="AG18" s="44">
        <f t="shared" si="10"/>
        <v>3995.338704931321</v>
      </c>
      <c r="AH18" s="52">
        <f>HLOOKUP(I18,ElecAvoidedCostsWOCC!$A$5:$Q$50,T18+1,FALSE)</f>
        <v>1.5099448143658902</v>
      </c>
      <c r="AI18" s="44">
        <f t="shared" si="11"/>
        <v>4833.3333507852149</v>
      </c>
      <c r="AJ18" s="44">
        <f t="shared" si="12"/>
        <v>8828.6720557165354</v>
      </c>
      <c r="AK18" s="44">
        <f>HLOOKUP(I18,ElecAvoidedCostsWOCC!$A$5:$Q$50,G18+1,FALSE)*J18*L18</f>
        <v>2996.5040286984909</v>
      </c>
      <c r="AL18" s="44">
        <f t="shared" si="13"/>
        <v>5832.1680270180441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5832.1680270180441</v>
      </c>
      <c r="AN18" s="48">
        <f t="shared" si="14"/>
        <v>6415.3848297198492</v>
      </c>
      <c r="AO18" s="47">
        <f t="shared" si="15"/>
        <v>2.8796434962135482</v>
      </c>
      <c r="AP18" s="47">
        <f t="shared" si="16"/>
        <v>1.4029597285253324</v>
      </c>
    </row>
    <row r="19" spans="1:42" ht="13.5" customHeight="1" x14ac:dyDescent="0.35">
      <c r="A19" s="58" t="s">
        <v>222</v>
      </c>
      <c r="B19" s="97" t="s">
        <v>15</v>
      </c>
      <c r="C19" s="100">
        <v>18230628</v>
      </c>
      <c r="D19" s="100" t="s">
        <v>77</v>
      </c>
      <c r="E19" s="38" t="s">
        <v>595</v>
      </c>
      <c r="F19" s="39" t="s">
        <v>594</v>
      </c>
      <c r="G19" s="39">
        <v>10</v>
      </c>
      <c r="H19" s="39">
        <v>8</v>
      </c>
      <c r="I19" s="40" t="s">
        <v>273</v>
      </c>
      <c r="J19" s="41">
        <v>4</v>
      </c>
      <c r="K19" s="41">
        <v>4268</v>
      </c>
      <c r="L19" s="41">
        <v>3201</v>
      </c>
      <c r="M19" s="42">
        <v>2400</v>
      </c>
      <c r="N19" s="42">
        <v>4692.1000000000004</v>
      </c>
      <c r="O19" s="43">
        <v>17072</v>
      </c>
      <c r="P19" s="44">
        <v>9600</v>
      </c>
      <c r="Q19" s="44">
        <v>18768.400000000001</v>
      </c>
      <c r="R19" s="45">
        <v>172.00040000000001</v>
      </c>
      <c r="S19" s="46">
        <v>0</v>
      </c>
      <c r="T19" s="39">
        <f t="shared" si="0"/>
        <v>18</v>
      </c>
      <c r="U19" s="47">
        <f t="shared" si="1"/>
        <v>4.052201687547051E-2</v>
      </c>
      <c r="V19" s="48">
        <f t="shared" si="2"/>
        <v>2292.1000000000004</v>
      </c>
      <c r="W19" s="49">
        <f t="shared" si="3"/>
        <v>2.2512231597483618E-3</v>
      </c>
      <c r="X19" s="44">
        <f t="shared" si="4"/>
        <v>766.39022621021377</v>
      </c>
      <c r="Y19" s="44">
        <f t="shared" si="5"/>
        <v>9168.4000000000015</v>
      </c>
      <c r="Z19" s="44">
        <f t="shared" si="6"/>
        <v>8652.1202517540532</v>
      </c>
      <c r="AA19" s="50">
        <f t="shared" si="7"/>
        <v>19534.790226210214</v>
      </c>
      <c r="AB19" s="51">
        <f t="shared" si="8"/>
        <v>8101.2361907809482</v>
      </c>
      <c r="AC19" s="44">
        <f t="shared" si="8"/>
        <v>18291.00208446649</v>
      </c>
      <c r="AD19" s="44">
        <f t="shared" si="9"/>
        <v>7021.6917247892297</v>
      </c>
      <c r="AE19" s="44">
        <f t="shared" si="17"/>
        <v>0</v>
      </c>
      <c r="AF19" s="52">
        <f>HLOOKUP(I19,ElecAvoidedCostsWOCC!$A$5:$Q$50,G19+1,FALSE)</f>
        <v>0.93611497303920366</v>
      </c>
      <c r="AG19" s="44">
        <f t="shared" si="10"/>
        <v>15981.354819725284</v>
      </c>
      <c r="AH19" s="52">
        <f>HLOOKUP(I19,ElecAvoidedCostsWOCC!$A$5:$Q$50,T19+1,FALSE)</f>
        <v>1.5099448143658902</v>
      </c>
      <c r="AI19" s="44">
        <f t="shared" si="11"/>
        <v>19333.333403140859</v>
      </c>
      <c r="AJ19" s="44">
        <f t="shared" si="12"/>
        <v>35314.688222866142</v>
      </c>
      <c r="AK19" s="44">
        <f>HLOOKUP(I19,ElecAvoidedCostsWOCC!$A$5:$Q$50,G19+1,FALSE)*J19*L19</f>
        <v>11986.016114793963</v>
      </c>
      <c r="AL19" s="44">
        <f t="shared" si="13"/>
        <v>23328.672108072176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23328.672108072176</v>
      </c>
      <c r="AN19" s="48">
        <f t="shared" si="14"/>
        <v>32683.231043668628</v>
      </c>
      <c r="AO19" s="47">
        <f t="shared" si="15"/>
        <v>2.8796434962135482</v>
      </c>
      <c r="AP19" s="47">
        <f t="shared" si="16"/>
        <v>1.7868474834095962</v>
      </c>
    </row>
    <row r="20" spans="1:42" ht="13.5" customHeight="1" x14ac:dyDescent="0.35">
      <c r="A20" s="59">
        <f>A8+SUM(Q5:Q906)</f>
        <v>11302806.83</v>
      </c>
      <c r="B20" s="97" t="s">
        <v>15</v>
      </c>
      <c r="C20" s="100">
        <v>18230628</v>
      </c>
      <c r="D20" s="100" t="s">
        <v>77</v>
      </c>
      <c r="E20" s="38" t="s">
        <v>596</v>
      </c>
      <c r="F20" s="39" t="s">
        <v>597</v>
      </c>
      <c r="G20" s="39">
        <v>6</v>
      </c>
      <c r="H20" s="39">
        <v>12</v>
      </c>
      <c r="I20" s="40" t="s">
        <v>273</v>
      </c>
      <c r="J20" s="41">
        <v>4</v>
      </c>
      <c r="K20" s="41">
        <v>4193</v>
      </c>
      <c r="L20" s="41">
        <v>2096</v>
      </c>
      <c r="M20" s="42">
        <v>2400</v>
      </c>
      <c r="N20" s="42">
        <v>5829.66</v>
      </c>
      <c r="O20" s="43">
        <v>16772</v>
      </c>
      <c r="P20" s="44">
        <v>9600</v>
      </c>
      <c r="Q20" s="44">
        <v>23318.639999999999</v>
      </c>
      <c r="R20" s="45">
        <v>0</v>
      </c>
      <c r="S20" s="46">
        <v>0</v>
      </c>
      <c r="T20" s="39">
        <f t="shared" si="0"/>
        <v>18</v>
      </c>
      <c r="U20" s="47">
        <f t="shared" si="1"/>
        <v>3.9809938322129305E-2</v>
      </c>
      <c r="V20" s="48">
        <f t="shared" si="2"/>
        <v>3429.66</v>
      </c>
      <c r="W20" s="49">
        <f t="shared" si="3"/>
        <v>2.2116632401182946E-3</v>
      </c>
      <c r="X20" s="44">
        <f t="shared" si="4"/>
        <v>752.92273160717593</v>
      </c>
      <c r="Y20" s="44">
        <f t="shared" si="5"/>
        <v>13718.64</v>
      </c>
      <c r="Z20" s="44">
        <f t="shared" si="6"/>
        <v>8500.0797131220115</v>
      </c>
      <c r="AA20" s="50">
        <f t="shared" si="7"/>
        <v>24071.562731607177</v>
      </c>
      <c r="AB20" s="51">
        <f t="shared" si="8"/>
        <v>7958.8761358820329</v>
      </c>
      <c r="AC20" s="44">
        <f t="shared" si="8"/>
        <v>22538.916415362524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0.58812377238541858</v>
      </c>
      <c r="AG20" s="44">
        <f t="shared" si="10"/>
        <v>9864.0119104482401</v>
      </c>
      <c r="AH20" s="52">
        <f>HLOOKUP(I20,ElecAvoidedCostsWOCC!$A$5:$Q$50,T20+1,FALSE)</f>
        <v>1.5099448143658902</v>
      </c>
      <c r="AI20" s="44">
        <f t="shared" si="11"/>
        <v>12659.377323643625</v>
      </c>
      <c r="AJ20" s="44">
        <f t="shared" si="12"/>
        <v>22523.389234091865</v>
      </c>
      <c r="AK20" s="44">
        <f>HLOOKUP(I20,ElecAvoidedCostsWOCC!$A$5:$Q$50,G20+1,FALSE)*J20*L20</f>
        <v>4930.8297076793497</v>
      </c>
      <c r="AL20" s="44">
        <f t="shared" si="13"/>
        <v>17592.559526412515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17592.559526412515</v>
      </c>
      <c r="AN20" s="48">
        <f t="shared" si="14"/>
        <v>19351.815479053766</v>
      </c>
      <c r="AO20" s="47">
        <f t="shared" si="15"/>
        <v>2.2104326322026422</v>
      </c>
      <c r="AP20" s="47">
        <f t="shared" si="16"/>
        <v>0.85859564508006114</v>
      </c>
    </row>
    <row r="21" spans="1:42" ht="13.5" customHeight="1" x14ac:dyDescent="0.35">
      <c r="A21" s="58" t="s">
        <v>236</v>
      </c>
      <c r="B21" s="97" t="s">
        <v>15</v>
      </c>
      <c r="C21" s="100">
        <v>18230628</v>
      </c>
      <c r="D21" s="100" t="s">
        <v>77</v>
      </c>
      <c r="E21" s="38" t="s">
        <v>598</v>
      </c>
      <c r="F21" s="39" t="s">
        <v>597</v>
      </c>
      <c r="G21" s="39">
        <v>6</v>
      </c>
      <c r="H21" s="39">
        <v>12</v>
      </c>
      <c r="I21" s="40" t="s">
        <v>273</v>
      </c>
      <c r="J21" s="41">
        <v>26</v>
      </c>
      <c r="K21" s="41">
        <v>4193</v>
      </c>
      <c r="L21" s="41">
        <v>2096</v>
      </c>
      <c r="M21" s="42">
        <v>2400</v>
      </c>
      <c r="N21" s="42">
        <v>5829.66</v>
      </c>
      <c r="O21" s="43">
        <v>109018</v>
      </c>
      <c r="P21" s="44">
        <v>62400</v>
      </c>
      <c r="Q21" s="44">
        <v>151571.16</v>
      </c>
      <c r="R21" s="45">
        <v>241.51679999999999</v>
      </c>
      <c r="S21" s="46">
        <v>0</v>
      </c>
      <c r="T21" s="39">
        <f t="shared" si="0"/>
        <v>18</v>
      </c>
      <c r="U21" s="47">
        <f t="shared" si="1"/>
        <v>0.25876459909384047</v>
      </c>
      <c r="V21" s="48">
        <f t="shared" si="2"/>
        <v>3429.66</v>
      </c>
      <c r="W21" s="49">
        <f t="shared" si="3"/>
        <v>1.4375811060768916E-2</v>
      </c>
      <c r="X21" s="44">
        <f t="shared" si="4"/>
        <v>4893.9977554466441</v>
      </c>
      <c r="Y21" s="44">
        <f t="shared" si="5"/>
        <v>89171.16</v>
      </c>
      <c r="Z21" s="44">
        <f t="shared" si="6"/>
        <v>55250.518135293081</v>
      </c>
      <c r="AA21" s="50">
        <f t="shared" si="7"/>
        <v>156465.15775544665</v>
      </c>
      <c r="AB21" s="51">
        <f t="shared" ref="AB21:AC24" si="18">Z21/(1+ElecDiscountRate)^1</f>
        <v>51732.69488323322</v>
      </c>
      <c r="AC21" s="44">
        <f t="shared" si="18"/>
        <v>146502.95669985641</v>
      </c>
      <c r="AD21" s="44">
        <f t="shared" si="9"/>
        <v>64087.451853159881</v>
      </c>
      <c r="AE21" s="44">
        <f t="shared" si="17"/>
        <v>0</v>
      </c>
      <c r="AF21" s="52">
        <f>HLOOKUP(I21,ElecAvoidedCostsWOCC!$A$5:$Q$50,G21+1,FALSE)</f>
        <v>0.58812377238541858</v>
      </c>
      <c r="AG21" s="44">
        <f t="shared" si="10"/>
        <v>64116.077417913562</v>
      </c>
      <c r="AH21" s="52">
        <f>HLOOKUP(I21,ElecAvoidedCostsWOCC!$A$5:$Q$50,T21+1,FALSE)</f>
        <v>1.5099448143658902</v>
      </c>
      <c r="AI21" s="44">
        <f t="shared" si="11"/>
        <v>82285.95260368356</v>
      </c>
      <c r="AJ21" s="44">
        <f t="shared" si="12"/>
        <v>146402.03002159711</v>
      </c>
      <c r="AK21" s="44">
        <f>HLOOKUP(I21,ElecAvoidedCostsWOCC!$A$5:$Q$50,G21+1,FALSE)*J21*L21</f>
        <v>32050.393099915771</v>
      </c>
      <c r="AL21" s="44">
        <f t="shared" si="13"/>
        <v>114351.63692168133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114351.63692168133</v>
      </c>
      <c r="AN21" s="48">
        <f t="shared" si="14"/>
        <v>189874.25246700936</v>
      </c>
      <c r="AO21" s="47">
        <f t="shared" si="15"/>
        <v>2.2104326322026417</v>
      </c>
      <c r="AP21" s="47">
        <f t="shared" si="16"/>
        <v>1.2960438256274145</v>
      </c>
    </row>
    <row r="22" spans="1:42" ht="13.5" customHeight="1" x14ac:dyDescent="0.35">
      <c r="A22" s="60">
        <f>(SUM(AM5:AM1000)/(SUM(AB5:AB1000)))</f>
        <v>2.7673175079265544</v>
      </c>
      <c r="B22" s="97" t="s">
        <v>15</v>
      </c>
      <c r="C22" s="100">
        <v>18230628</v>
      </c>
      <c r="D22" s="100" t="s">
        <v>77</v>
      </c>
      <c r="E22" s="38" t="s">
        <v>599</v>
      </c>
      <c r="F22" s="39" t="s">
        <v>600</v>
      </c>
      <c r="G22" s="39">
        <v>6</v>
      </c>
      <c r="H22" s="39">
        <v>12</v>
      </c>
      <c r="I22" s="40" t="s">
        <v>273</v>
      </c>
      <c r="J22" s="41">
        <v>16</v>
      </c>
      <c r="K22" s="41">
        <v>4566</v>
      </c>
      <c r="L22" s="41">
        <v>2283</v>
      </c>
      <c r="M22" s="42">
        <v>1500</v>
      </c>
      <c r="N22" s="42">
        <v>6453.87</v>
      </c>
      <c r="O22" s="43">
        <v>73056</v>
      </c>
      <c r="P22" s="44">
        <v>24000</v>
      </c>
      <c r="Q22" s="44">
        <v>103261.92</v>
      </c>
      <c r="R22" s="45">
        <v>0</v>
      </c>
      <c r="S22" s="46">
        <v>0</v>
      </c>
      <c r="T22" s="39">
        <f t="shared" si="0"/>
        <v>18</v>
      </c>
      <c r="U22" s="47">
        <f t="shared" si="1"/>
        <v>0.17340536930965172</v>
      </c>
      <c r="V22" s="48">
        <f t="shared" si="2"/>
        <v>4953.87</v>
      </c>
      <c r="W22" s="49">
        <f t="shared" si="3"/>
        <v>9.6336316283139843E-3</v>
      </c>
      <c r="X22" s="44">
        <f t="shared" si="4"/>
        <v>3279.6042857318057</v>
      </c>
      <c r="Y22" s="44">
        <f t="shared" si="5"/>
        <v>79261.919999999998</v>
      </c>
      <c r="Z22" s="44">
        <f t="shared" si="6"/>
        <v>37024.911967674794</v>
      </c>
      <c r="AA22" s="50">
        <f t="shared" si="7"/>
        <v>106541.52428573181</v>
      </c>
      <c r="AB22" s="51">
        <f t="shared" si="18"/>
        <v>34667.520568983891</v>
      </c>
      <c r="AC22" s="44">
        <f t="shared" si="18"/>
        <v>99757.981540947381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0.58812377238541858</v>
      </c>
      <c r="AG22" s="44">
        <f t="shared" si="10"/>
        <v>42965.970315389139</v>
      </c>
      <c r="AH22" s="52">
        <f>HLOOKUP(I22,ElecAvoidedCostsWOCC!$A$5:$Q$50,T22+1,FALSE)</f>
        <v>1.5099448143658902</v>
      </c>
      <c r="AI22" s="44">
        <f t="shared" si="11"/>
        <v>55155.264179157239</v>
      </c>
      <c r="AJ22" s="44">
        <f t="shared" si="12"/>
        <v>98121.23449454637</v>
      </c>
      <c r="AK22" s="44">
        <f>HLOOKUP(I22,ElecAvoidedCostsWOCC!$A$5:$Q$50,G22+1,FALSE)*J22*L22</f>
        <v>21482.985157694569</v>
      </c>
      <c r="AL22" s="44">
        <f t="shared" si="13"/>
        <v>76638.249336851804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76638.249336851804</v>
      </c>
      <c r="AN22" s="48">
        <f t="shared" si="14"/>
        <v>84302.074270536992</v>
      </c>
      <c r="AO22" s="47">
        <f t="shared" si="15"/>
        <v>2.2106642782356349</v>
      </c>
      <c r="AP22" s="47">
        <f t="shared" si="16"/>
        <v>0.84506595831566378</v>
      </c>
    </row>
    <row r="23" spans="1:42" ht="13.5" customHeight="1" x14ac:dyDescent="0.35">
      <c r="A23" s="58" t="s">
        <v>237</v>
      </c>
      <c r="B23" s="97" t="s">
        <v>15</v>
      </c>
      <c r="C23" s="100">
        <v>18230628</v>
      </c>
      <c r="D23" s="100" t="s">
        <v>77</v>
      </c>
      <c r="E23" s="38" t="s">
        <v>601</v>
      </c>
      <c r="F23" s="39" t="s">
        <v>600</v>
      </c>
      <c r="G23" s="39">
        <v>6</v>
      </c>
      <c r="H23" s="39">
        <v>12</v>
      </c>
      <c r="I23" s="40" t="s">
        <v>273</v>
      </c>
      <c r="J23" s="41">
        <v>64</v>
      </c>
      <c r="K23" s="41">
        <v>4566</v>
      </c>
      <c r="L23" s="41">
        <v>2283</v>
      </c>
      <c r="M23" s="42">
        <v>1500</v>
      </c>
      <c r="N23" s="42">
        <v>6453.87</v>
      </c>
      <c r="O23" s="43">
        <v>292224</v>
      </c>
      <c r="P23" s="44">
        <v>96000</v>
      </c>
      <c r="Q23" s="44">
        <v>413047.68</v>
      </c>
      <c r="R23" s="45">
        <v>263.0016</v>
      </c>
      <c r="S23" s="46">
        <v>0</v>
      </c>
      <c r="T23" s="39">
        <f t="shared" si="0"/>
        <v>18</v>
      </c>
      <c r="U23" s="47">
        <f t="shared" si="1"/>
        <v>0.6936214772386069</v>
      </c>
      <c r="V23" s="48">
        <f t="shared" si="2"/>
        <v>4953.87</v>
      </c>
      <c r="W23" s="49">
        <f t="shared" si="3"/>
        <v>3.8534526513255937E-2</v>
      </c>
      <c r="X23" s="44">
        <f t="shared" si="4"/>
        <v>13118.417142927223</v>
      </c>
      <c r="Y23" s="44">
        <f t="shared" si="5"/>
        <v>317047.67999999999</v>
      </c>
      <c r="Z23" s="44">
        <f t="shared" si="6"/>
        <v>148099.64787069918</v>
      </c>
      <c r="AA23" s="50">
        <f t="shared" si="7"/>
        <v>426166.09714292723</v>
      </c>
      <c r="AB23" s="51">
        <f t="shared" si="18"/>
        <v>138670.08227593557</v>
      </c>
      <c r="AC23" s="44">
        <f t="shared" si="18"/>
        <v>399031.92616378953</v>
      </c>
      <c r="AD23" s="44">
        <f t="shared" si="9"/>
        <v>171787.1501067511</v>
      </c>
      <c r="AE23" s="44">
        <f t="shared" si="17"/>
        <v>0</v>
      </c>
      <c r="AF23" s="52">
        <f>HLOOKUP(I23,ElecAvoidedCostsWOCC!$A$5:$Q$50,G23+1,FALSE)</f>
        <v>0.58812377238541858</v>
      </c>
      <c r="AG23" s="44">
        <f t="shared" si="10"/>
        <v>171863.88126155655</v>
      </c>
      <c r="AH23" s="52">
        <f>HLOOKUP(I23,ElecAvoidedCostsWOCC!$A$5:$Q$50,T23+1,FALSE)</f>
        <v>1.5099448143658902</v>
      </c>
      <c r="AI23" s="44">
        <f t="shared" si="11"/>
        <v>220621.05671662895</v>
      </c>
      <c r="AJ23" s="44">
        <f t="shared" si="12"/>
        <v>392484.93797818548</v>
      </c>
      <c r="AK23" s="44">
        <f>HLOOKUP(I23,ElecAvoidedCostsWOCC!$A$5:$Q$50,G23+1,FALSE)*J23*L23</f>
        <v>85931.940630778277</v>
      </c>
      <c r="AL23" s="44">
        <f t="shared" si="13"/>
        <v>306552.99734740722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306552.99734740722</v>
      </c>
      <c r="AN23" s="48">
        <f t="shared" si="14"/>
        <v>508995.44718889904</v>
      </c>
      <c r="AO23" s="47">
        <f t="shared" si="15"/>
        <v>2.2106642782356349</v>
      </c>
      <c r="AP23" s="47">
        <f t="shared" si="16"/>
        <v>1.2755757467385531</v>
      </c>
    </row>
    <row r="24" spans="1:42" ht="13.5" customHeight="1" x14ac:dyDescent="0.35">
      <c r="A24" s="60">
        <f>(SUM(AN5:AN1000)/SUM(AC5:AC1000))</f>
        <v>1.239288566099521</v>
      </c>
      <c r="B24" s="97" t="s">
        <v>15</v>
      </c>
      <c r="C24" s="100">
        <v>18230628</v>
      </c>
      <c r="D24" s="100" t="s">
        <v>77</v>
      </c>
      <c r="E24" s="38" t="s">
        <v>602</v>
      </c>
      <c r="F24" s="39" t="s">
        <v>603</v>
      </c>
      <c r="G24" s="39">
        <v>6</v>
      </c>
      <c r="H24" s="39">
        <v>12</v>
      </c>
      <c r="I24" s="40" t="s">
        <v>273</v>
      </c>
      <c r="J24" s="41">
        <v>1</v>
      </c>
      <c r="K24" s="41">
        <v>4566</v>
      </c>
      <c r="L24" s="41">
        <v>2283</v>
      </c>
      <c r="M24" s="42">
        <v>2400</v>
      </c>
      <c r="N24" s="42">
        <v>6453.87</v>
      </c>
      <c r="O24" s="43">
        <v>4566</v>
      </c>
      <c r="P24" s="44">
        <v>2400</v>
      </c>
      <c r="Q24" s="44">
        <v>6453.87</v>
      </c>
      <c r="R24" s="45">
        <v>263.0016</v>
      </c>
      <c r="S24" s="46">
        <v>0</v>
      </c>
      <c r="T24" s="39">
        <f t="shared" si="0"/>
        <v>18</v>
      </c>
      <c r="U24" s="47">
        <f t="shared" si="1"/>
        <v>1.0837835581853233E-2</v>
      </c>
      <c r="V24" s="48">
        <f t="shared" si="2"/>
        <v>4053.87</v>
      </c>
      <c r="W24" s="49">
        <f t="shared" si="3"/>
        <v>6.0210197676962402E-4</v>
      </c>
      <c r="X24" s="44">
        <f t="shared" si="4"/>
        <v>204.97526785823786</v>
      </c>
      <c r="Y24" s="44">
        <f t="shared" si="5"/>
        <v>4053.87</v>
      </c>
      <c r="Z24" s="44">
        <f t="shared" si="6"/>
        <v>2314.0569979796746</v>
      </c>
      <c r="AA24" s="50">
        <f t="shared" si="7"/>
        <v>6658.845267858238</v>
      </c>
      <c r="AB24" s="51">
        <f t="shared" si="18"/>
        <v>2166.7200355614932</v>
      </c>
      <c r="AC24" s="44">
        <f t="shared" si="18"/>
        <v>6234.8738463092113</v>
      </c>
      <c r="AD24" s="44">
        <f t="shared" si="9"/>
        <v>2684.1742204179859</v>
      </c>
      <c r="AE24" s="44">
        <f t="shared" si="17"/>
        <v>0</v>
      </c>
      <c r="AF24" s="52">
        <f>HLOOKUP(I24,ElecAvoidedCostsWOCC!$A$5:$Q$50,G24+1,FALSE)</f>
        <v>0.58812377238541858</v>
      </c>
      <c r="AG24" s="44">
        <f t="shared" si="10"/>
        <v>2685.3731447118212</v>
      </c>
      <c r="AH24" s="52">
        <f>HLOOKUP(I24,ElecAvoidedCostsWOCC!$A$5:$Q$50,T24+1,FALSE)</f>
        <v>1.5099448143658902</v>
      </c>
      <c r="AI24" s="44">
        <f t="shared" si="11"/>
        <v>3447.2040111973274</v>
      </c>
      <c r="AJ24" s="44">
        <f t="shared" si="12"/>
        <v>6132.5771559091481</v>
      </c>
      <c r="AK24" s="44">
        <f>HLOOKUP(I24,ElecAvoidedCostsWOCC!$A$5:$Q$50,G24+1,FALSE)*J24*L24</f>
        <v>1342.6865723559106</v>
      </c>
      <c r="AL24" s="44">
        <f t="shared" si="13"/>
        <v>4789.8905835532378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4789.8905835532378</v>
      </c>
      <c r="AN24" s="48">
        <f t="shared" si="14"/>
        <v>7953.0538623265475</v>
      </c>
      <c r="AO24" s="47">
        <f t="shared" si="15"/>
        <v>2.2106642782356349</v>
      </c>
      <c r="AP24" s="47">
        <f t="shared" si="16"/>
        <v>1.2755757467385531</v>
      </c>
    </row>
    <row r="25" spans="1:42" ht="13.5" customHeight="1" x14ac:dyDescent="0.35">
      <c r="B25" s="97" t="s">
        <v>15</v>
      </c>
      <c r="C25" s="100">
        <v>18230628</v>
      </c>
      <c r="D25" s="100" t="s">
        <v>77</v>
      </c>
      <c r="E25" s="38" t="s">
        <v>604</v>
      </c>
      <c r="F25" s="39" t="s">
        <v>605</v>
      </c>
      <c r="G25" s="39">
        <v>15</v>
      </c>
      <c r="H25" s="39"/>
      <c r="I25" s="40" t="s">
        <v>273</v>
      </c>
      <c r="J25" s="41">
        <v>169</v>
      </c>
      <c r="K25" s="41">
        <v>3055</v>
      </c>
      <c r="L25" s="41"/>
      <c r="M25" s="42">
        <v>2400</v>
      </c>
      <c r="N25" s="42">
        <v>3895.16</v>
      </c>
      <c r="O25" s="43">
        <v>516295</v>
      </c>
      <c r="P25" s="44">
        <v>402401.25</v>
      </c>
      <c r="Q25" s="44">
        <v>658282.04</v>
      </c>
      <c r="R25" s="45">
        <v>123.1165</v>
      </c>
      <c r="S25" s="46">
        <v>0</v>
      </c>
      <c r="T25" s="39">
        <f t="shared" ref="T25:T52" si="19">G25+H25</f>
        <v>15</v>
      </c>
      <c r="U25" s="47">
        <f t="shared" ref="U25:U52" si="20">(O25/$A$10)*T25</f>
        <v>1.0212294352702793</v>
      </c>
      <c r="V25" s="48">
        <f t="shared" ref="V25:V52" si="21">N25-M25</f>
        <v>1495.1599999999999</v>
      </c>
      <c r="W25" s="49">
        <f t="shared" ref="W25:W52" si="22">(O25/A$10)</f>
        <v>6.8081962351351957E-2</v>
      </c>
      <c r="X25" s="44">
        <f t="shared" ref="X25:X52" si="23">W25*A$8</f>
        <v>23177.333753584957</v>
      </c>
      <c r="Y25" s="44">
        <f t="shared" ref="Y25:Y52" si="24">Q25-P25</f>
        <v>255880.79000000004</v>
      </c>
      <c r="Z25" s="44">
        <f t="shared" ref="Z25:Z52" si="25">X25+(A$6*W25)</f>
        <v>261659.23297676659</v>
      </c>
      <c r="AA25" s="50">
        <f t="shared" ref="AA25:AA52" si="26">Q25+X25</f>
        <v>681459.37375358504</v>
      </c>
      <c r="AB25" s="51">
        <f t="shared" ref="AB25:AB52" si="27">Z25/(1+ElecDiscountRate)^1</f>
        <v>244999.28181345185</v>
      </c>
      <c r="AC25" s="44">
        <f t="shared" ref="AC25:AC52" si="28">AA25/(1+ElecDiscountRate)^1</f>
        <v>638070.57467564137</v>
      </c>
      <c r="AD25" s="44">
        <f t="shared" ref="AD25:AD52" si="29">-PV(ElecDiscountRate,T25,R25)*J25</f>
        <v>191922.84185736149</v>
      </c>
      <c r="AE25" s="44">
        <f t="shared" ref="AE25:AE52" si="30">-PV(ElecDiscountRate,T25,S25)*J25</f>
        <v>0</v>
      </c>
      <c r="AF25" s="52">
        <f>HLOOKUP(I25,ElecAvoidedCostsWOCC!$A$5:$Q$50,G25+1,FALSE)</f>
        <v>1.3071945815391408</v>
      </c>
      <c r="AG25" s="44">
        <f t="shared" ref="AG25:AG52" si="31">AF25*J25*K25</f>
        <v>674898.02647575072</v>
      </c>
      <c r="AH25" s="52">
        <f>HLOOKUP(I25,ElecAvoidedCostsWOCC!$A$5:$Q$50,T25+1,FALSE)</f>
        <v>1.3071945815391408</v>
      </c>
      <c r="AI25" s="44">
        <f t="shared" ref="AI25:AI52" si="32">AH25*J25*L25</f>
        <v>0</v>
      </c>
      <c r="AJ25" s="44">
        <f t="shared" ref="AJ25:AJ52" si="33">AG25+AI25</f>
        <v>674898.02647575072</v>
      </c>
      <c r="AK25" s="44">
        <f>HLOOKUP(I25,ElecAvoidedCostsWOCC!$A$5:$Q$50,G25+1,FALSE)*J25*L25</f>
        <v>0</v>
      </c>
      <c r="AL25" s="44">
        <f t="shared" ref="AL25:AL52" si="34">AG25+AI25-AK25</f>
        <v>674898.02647575072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674898.02647575072</v>
      </c>
      <c r="AN25" s="48">
        <f t="shared" ref="AN25:AN52" si="35">AM25*1.1+AD25+AE25</f>
        <v>934310.67098068737</v>
      </c>
      <c r="AO25" s="47">
        <f t="shared" ref="AO25:AO52" si="36">IFERROR(AM25/AB25,0)</f>
        <v>2.7546938973871513</v>
      </c>
      <c r="AP25" s="47">
        <f t="shared" ref="AP25:AP52" si="37">AN25/AC25</f>
        <v>1.4642748123209373</v>
      </c>
    </row>
    <row r="26" spans="1:42" ht="13.5" customHeight="1" x14ac:dyDescent="0.35">
      <c r="B26" s="97" t="s">
        <v>15</v>
      </c>
      <c r="C26" s="100">
        <v>18230628</v>
      </c>
      <c r="D26" s="100" t="s">
        <v>77</v>
      </c>
      <c r="E26" s="38" t="s">
        <v>606</v>
      </c>
      <c r="F26" s="39" t="s">
        <v>607</v>
      </c>
      <c r="G26" s="39">
        <v>15</v>
      </c>
      <c r="H26" s="39"/>
      <c r="I26" s="40" t="s">
        <v>273</v>
      </c>
      <c r="J26" s="41">
        <v>182</v>
      </c>
      <c r="K26" s="41">
        <v>2550</v>
      </c>
      <c r="L26" s="41"/>
      <c r="M26" s="42">
        <v>800</v>
      </c>
      <c r="N26" s="42">
        <v>4039.18</v>
      </c>
      <c r="O26" s="43">
        <v>464100</v>
      </c>
      <c r="P26" s="44">
        <v>145600</v>
      </c>
      <c r="Q26" s="44">
        <v>735130.76</v>
      </c>
      <c r="R26" s="45">
        <v>102.765</v>
      </c>
      <c r="S26" s="46">
        <v>0</v>
      </c>
      <c r="T26" s="39">
        <f t="shared" si="19"/>
        <v>15</v>
      </c>
      <c r="U26" s="47">
        <f t="shared" si="20"/>
        <v>0.9179879350157113</v>
      </c>
      <c r="V26" s="48">
        <f t="shared" si="21"/>
        <v>3239.18</v>
      </c>
      <c r="W26" s="49">
        <f t="shared" si="22"/>
        <v>6.1199195667714083E-2</v>
      </c>
      <c r="X26" s="44">
        <f t="shared" si="23"/>
        <v>20834.214150899734</v>
      </c>
      <c r="Y26" s="44">
        <f t="shared" si="24"/>
        <v>589530.76</v>
      </c>
      <c r="Z26" s="44">
        <f t="shared" si="25"/>
        <v>235206.71326376853</v>
      </c>
      <c r="AA26" s="50">
        <f t="shared" si="26"/>
        <v>755964.9741508998</v>
      </c>
      <c r="AB26" s="51">
        <f t="shared" si="27"/>
        <v>220231.00492862219</v>
      </c>
      <c r="AC26" s="44">
        <f t="shared" si="28"/>
        <v>707832.37280046789</v>
      </c>
      <c r="AD26" s="44">
        <f t="shared" si="29"/>
        <v>172520.34380732229</v>
      </c>
      <c r="AE26" s="44">
        <f t="shared" si="30"/>
        <v>0</v>
      </c>
      <c r="AF26" s="52">
        <f>HLOOKUP(I26,ElecAvoidedCostsWOCC!$A$5:$Q$50,G26+1,FALSE)</f>
        <v>1.3071945815391408</v>
      </c>
      <c r="AG26" s="44">
        <f t="shared" si="31"/>
        <v>606669.00529231527</v>
      </c>
      <c r="AH26" s="52">
        <f>HLOOKUP(I26,ElecAvoidedCostsWOCC!$A$5:$Q$50,T26+1,FALSE)</f>
        <v>1.3071945815391408</v>
      </c>
      <c r="AI26" s="44">
        <f t="shared" si="32"/>
        <v>0</v>
      </c>
      <c r="AJ26" s="44">
        <f t="shared" si="33"/>
        <v>606669.00529231527</v>
      </c>
      <c r="AK26" s="44">
        <f>HLOOKUP(I26,ElecAvoidedCostsWOCC!$A$5:$Q$50,G26+1,FALSE)*J26*L26</f>
        <v>0</v>
      </c>
      <c r="AL26" s="44">
        <f t="shared" si="34"/>
        <v>606669.00529231527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606669.00529231527</v>
      </c>
      <c r="AN26" s="48">
        <f t="shared" si="35"/>
        <v>839856.24962886912</v>
      </c>
      <c r="AO26" s="47">
        <f t="shared" si="36"/>
        <v>2.7546938973871518</v>
      </c>
      <c r="AP26" s="47">
        <f t="shared" si="37"/>
        <v>1.186518562729848</v>
      </c>
    </row>
    <row r="27" spans="1:42" ht="13.5" customHeight="1" x14ac:dyDescent="0.35">
      <c r="B27" s="97" t="s">
        <v>15</v>
      </c>
      <c r="C27" s="100">
        <v>18230628</v>
      </c>
      <c r="D27" s="100" t="s">
        <v>77</v>
      </c>
      <c r="E27" s="38" t="s">
        <v>608</v>
      </c>
      <c r="F27" s="39" t="s">
        <v>609</v>
      </c>
      <c r="G27" s="39">
        <v>15</v>
      </c>
      <c r="H27" s="39"/>
      <c r="I27" s="40" t="s">
        <v>273</v>
      </c>
      <c r="J27" s="41">
        <v>4</v>
      </c>
      <c r="K27" s="41">
        <v>2550</v>
      </c>
      <c r="L27" s="41"/>
      <c r="M27" s="42">
        <v>2400</v>
      </c>
      <c r="N27" s="42">
        <v>4039.18</v>
      </c>
      <c r="O27" s="43">
        <v>10200</v>
      </c>
      <c r="P27" s="44">
        <v>9600</v>
      </c>
      <c r="Q27" s="44">
        <v>16156.72</v>
      </c>
      <c r="R27" s="45">
        <v>102.765</v>
      </c>
      <c r="S27" s="46">
        <v>0</v>
      </c>
      <c r="T27" s="39">
        <f t="shared" si="19"/>
        <v>15</v>
      </c>
      <c r="U27" s="47">
        <f t="shared" si="20"/>
        <v>2.0175559011334315E-2</v>
      </c>
      <c r="V27" s="48">
        <f t="shared" si="21"/>
        <v>1639.1799999999998</v>
      </c>
      <c r="W27" s="49">
        <f t="shared" si="22"/>
        <v>1.3450372674222875E-3</v>
      </c>
      <c r="X27" s="44">
        <f t="shared" si="23"/>
        <v>457.89481650329088</v>
      </c>
      <c r="Y27" s="44">
        <f t="shared" si="24"/>
        <v>6556.7199999999993</v>
      </c>
      <c r="Z27" s="44">
        <f t="shared" si="25"/>
        <v>5169.3783134894184</v>
      </c>
      <c r="AA27" s="50">
        <f t="shared" si="26"/>
        <v>16614.61481650329</v>
      </c>
      <c r="AB27" s="51">
        <f t="shared" si="27"/>
        <v>4840.2418665631258</v>
      </c>
      <c r="AC27" s="44">
        <f t="shared" si="28"/>
        <v>15556.755446164128</v>
      </c>
      <c r="AD27" s="44">
        <f t="shared" si="29"/>
        <v>3791.6559078532373</v>
      </c>
      <c r="AE27" s="44">
        <f t="shared" si="30"/>
        <v>0</v>
      </c>
      <c r="AF27" s="52">
        <f>HLOOKUP(I27,ElecAvoidedCostsWOCC!$A$5:$Q$50,G27+1,FALSE)</f>
        <v>1.3071945815391408</v>
      </c>
      <c r="AG27" s="44">
        <f t="shared" si="31"/>
        <v>13333.384731699236</v>
      </c>
      <c r="AH27" s="52">
        <f>HLOOKUP(I27,ElecAvoidedCostsWOCC!$A$5:$Q$50,T27+1,FALSE)</f>
        <v>1.3071945815391408</v>
      </c>
      <c r="AI27" s="44">
        <f t="shared" si="32"/>
        <v>0</v>
      </c>
      <c r="AJ27" s="44">
        <f t="shared" si="33"/>
        <v>13333.384731699236</v>
      </c>
      <c r="AK27" s="44">
        <f>HLOOKUP(I27,ElecAvoidedCostsWOCC!$A$5:$Q$50,G27+1,FALSE)*J27*L27</f>
        <v>0</v>
      </c>
      <c r="AL27" s="44">
        <f t="shared" si="34"/>
        <v>13333.384731699236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13333.384731699236</v>
      </c>
      <c r="AN27" s="48">
        <f t="shared" si="35"/>
        <v>18458.379112722396</v>
      </c>
      <c r="AO27" s="47">
        <f t="shared" si="36"/>
        <v>2.7546938973871513</v>
      </c>
      <c r="AP27" s="47">
        <f t="shared" si="37"/>
        <v>1.186518562729848</v>
      </c>
    </row>
    <row r="28" spans="1:42" ht="13.5" customHeight="1" x14ac:dyDescent="0.35">
      <c r="B28" s="97" t="s">
        <v>15</v>
      </c>
      <c r="C28" s="100">
        <v>18230628</v>
      </c>
      <c r="D28" s="100" t="s">
        <v>77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15</v>
      </c>
      <c r="C29" s="100">
        <v>18230628</v>
      </c>
      <c r="D29" s="100" t="s">
        <v>77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15</v>
      </c>
      <c r="C30" s="100">
        <v>18230628</v>
      </c>
      <c r="D30" s="100" t="s">
        <v>77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97" t="s">
        <v>15</v>
      </c>
      <c r="C31" s="100">
        <v>18230628</v>
      </c>
      <c r="D31" s="100" t="s">
        <v>77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15</v>
      </c>
      <c r="C32" s="100">
        <v>18230628</v>
      </c>
      <c r="D32" s="100" t="s">
        <v>77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15</v>
      </c>
      <c r="C33" s="100">
        <v>18230628</v>
      </c>
      <c r="D33" s="100" t="s">
        <v>77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324" priority="4">
      <formula>ISTEXT(J5)</formula>
    </cfRule>
    <cfRule type="notContainsBlanks" dxfId="323" priority="5">
      <formula>LEN(TRIM(J5))&gt;0</formula>
    </cfRule>
  </conditionalFormatting>
  <conditionalFormatting sqref="M5:N52 R5:S52">
    <cfRule type="expression" dxfId="322" priority="2">
      <formula>ISTEXT(M5)</formula>
    </cfRule>
  </conditionalFormatting>
  <conditionalFormatting sqref="M5:N52 R5:S52">
    <cfRule type="notContainsBlanks" dxfId="321" priority="3">
      <formula>LEN(TRIM(M5))&gt;0</formula>
    </cfRule>
  </conditionalFormatting>
  <conditionalFormatting sqref="R5:S52">
    <cfRule type="expression" dxfId="32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18231038</v>
      </c>
      <c r="D2" s="20" t="s">
        <v>157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325</v>
      </c>
      <c r="C5" s="98">
        <v>18231038</v>
      </c>
      <c r="D5" s="61" t="s">
        <v>157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151.52000000000001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151.52000000000001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151.52000000000001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9" sqref="C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18230218</v>
      </c>
      <c r="D2" s="20" t="s">
        <v>169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/>
      <c r="C5" s="98">
        <v>18230218</v>
      </c>
      <c r="D5" s="61" t="s">
        <v>169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111824.11000000002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111824.11000000002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111824.11000000002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C15" sqref="C15"/>
    </sheetView>
  </sheetViews>
  <sheetFormatPr defaultColWidth="9.1796875" defaultRowHeight="12.5" x14ac:dyDescent="0.25"/>
  <cols>
    <col min="1" max="1" width="9.1796875" style="62"/>
    <col min="2" max="15" width="23.26953125" style="62" customWidth="1"/>
    <col min="16" max="16" width="20.1796875" style="62" customWidth="1"/>
    <col min="17" max="17" width="18.7265625" style="62" customWidth="1"/>
    <col min="18" max="16384" width="9.1796875" style="62"/>
  </cols>
  <sheetData>
    <row r="1" spans="1:17" ht="15" x14ac:dyDescent="0.25">
      <c r="A1" s="78" t="s">
        <v>2197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 ht="13.5" x14ac:dyDescent="0.25">
      <c r="A2" s="76"/>
      <c r="B2" s="75" t="s">
        <v>547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 ht="13.5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7.5" thickBot="1" x14ac:dyDescent="0.3">
      <c r="A4" s="71" t="s">
        <v>291</v>
      </c>
      <c r="B4" s="70" t="s">
        <v>290</v>
      </c>
      <c r="C4" s="70" t="s">
        <v>289</v>
      </c>
      <c r="D4" s="70" t="s">
        <v>288</v>
      </c>
      <c r="E4" s="70" t="s">
        <v>287</v>
      </c>
      <c r="F4" s="70" t="s">
        <v>286</v>
      </c>
      <c r="G4" s="70" t="s">
        <v>285</v>
      </c>
      <c r="H4" s="70" t="s">
        <v>284</v>
      </c>
      <c r="I4" s="70" t="s">
        <v>283</v>
      </c>
      <c r="J4" s="70" t="s">
        <v>282</v>
      </c>
      <c r="K4" s="70" t="s">
        <v>281</v>
      </c>
      <c r="L4" s="70" t="s">
        <v>280</v>
      </c>
      <c r="M4" s="70" t="s">
        <v>279</v>
      </c>
      <c r="N4" s="70" t="s">
        <v>278</v>
      </c>
      <c r="O4" s="70" t="s">
        <v>277</v>
      </c>
      <c r="P4" s="70" t="s">
        <v>276</v>
      </c>
      <c r="Q4" s="70" t="s">
        <v>275</v>
      </c>
    </row>
    <row r="5" spans="1:17" ht="13.5" x14ac:dyDescent="0.25">
      <c r="A5" s="69"/>
      <c r="B5" s="68" t="s">
        <v>274</v>
      </c>
      <c r="C5" s="67" t="s">
        <v>273</v>
      </c>
      <c r="D5" s="67" t="s">
        <v>272</v>
      </c>
      <c r="E5" s="67" t="s">
        <v>271</v>
      </c>
      <c r="F5" s="67" t="s">
        <v>270</v>
      </c>
      <c r="G5" s="67" t="s">
        <v>269</v>
      </c>
      <c r="H5" s="67" t="s">
        <v>268</v>
      </c>
      <c r="I5" s="67" t="s">
        <v>239</v>
      </c>
      <c r="J5" s="67" t="s">
        <v>267</v>
      </c>
      <c r="K5" s="67" t="s">
        <v>266</v>
      </c>
      <c r="L5" s="67" t="s">
        <v>265</v>
      </c>
      <c r="M5" s="67" t="s">
        <v>264</v>
      </c>
      <c r="N5" s="67" t="s">
        <v>263</v>
      </c>
      <c r="O5" s="67" t="s">
        <v>262</v>
      </c>
      <c r="P5" s="67" t="s">
        <v>261</v>
      </c>
      <c r="Q5" s="66" t="s">
        <v>260</v>
      </c>
    </row>
    <row r="6" spans="1:17" ht="13.5" x14ac:dyDescent="0.25">
      <c r="A6" s="64">
        <v>1</v>
      </c>
      <c r="B6" s="62">
        <v>0.10826446417848745</v>
      </c>
      <c r="C6" s="62">
        <v>0.10850380676017632</v>
      </c>
      <c r="D6" s="62">
        <v>0.10826446417848745</v>
      </c>
      <c r="E6" s="62">
        <v>0.10850380676017632</v>
      </c>
      <c r="F6" s="62">
        <v>8.9327960780811774E-2</v>
      </c>
      <c r="G6" s="62">
        <v>8.512408889746767E-2</v>
      </c>
      <c r="H6" s="62">
        <v>8.8373972072912546E-2</v>
      </c>
      <c r="I6" s="62">
        <v>9.0944783379331096E-2</v>
      </c>
      <c r="J6" s="62">
        <v>8.8974112350167583E-2</v>
      </c>
      <c r="K6" s="62">
        <v>0.10774670404546244</v>
      </c>
      <c r="L6" s="62">
        <v>8.4514514768630825E-2</v>
      </c>
      <c r="M6" s="62">
        <v>7.7208218725958302E-2</v>
      </c>
      <c r="N6" s="62">
        <v>8.4693509827640831E-2</v>
      </c>
      <c r="O6" s="62">
        <v>8.7849756394338507E-2</v>
      </c>
      <c r="P6" s="62">
        <v>8.6162095399484051E-2</v>
      </c>
      <c r="Q6" s="62">
        <v>8.5579924948335856E-2</v>
      </c>
    </row>
    <row r="7" spans="1:17" ht="13.5" x14ac:dyDescent="0.25">
      <c r="A7" s="64">
        <v>2</v>
      </c>
      <c r="B7" s="62">
        <v>0.21171004600190479</v>
      </c>
      <c r="C7" s="62">
        <v>0.2121973221146336</v>
      </c>
      <c r="D7" s="62">
        <v>0.21171004600190479</v>
      </c>
      <c r="E7" s="62">
        <v>0.2121973221146336</v>
      </c>
      <c r="F7" s="62">
        <v>0.17498596144856127</v>
      </c>
      <c r="G7" s="62">
        <v>0.16686903028070443</v>
      </c>
      <c r="H7" s="62">
        <v>0.17315299154946442</v>
      </c>
      <c r="I7" s="62">
        <v>0.17813821146975017</v>
      </c>
      <c r="J7" s="62">
        <v>0.17431393853945867</v>
      </c>
      <c r="K7" s="62">
        <v>0.21082338253041902</v>
      </c>
      <c r="L7" s="62">
        <v>0.16566475558947225</v>
      </c>
      <c r="M7" s="62">
        <v>0.15138777607064208</v>
      </c>
      <c r="N7" s="62">
        <v>0.16602155212344985</v>
      </c>
      <c r="O7" s="62">
        <v>0.17215311895389834</v>
      </c>
      <c r="P7" s="62">
        <v>0.16888967584557274</v>
      </c>
      <c r="Q7" s="62">
        <v>0.1677832123584449</v>
      </c>
    </row>
    <row r="8" spans="1:17" ht="13.5" x14ac:dyDescent="0.25">
      <c r="A8" s="64">
        <v>3</v>
      </c>
      <c r="B8" s="62">
        <v>0.31048861547002882</v>
      </c>
      <c r="C8" s="62">
        <v>0.31123957392438756</v>
      </c>
      <c r="D8" s="62">
        <v>0.31048861547002882</v>
      </c>
      <c r="E8" s="62">
        <v>0.31123957392438756</v>
      </c>
      <c r="F8" s="62">
        <v>0.25704727839818375</v>
      </c>
      <c r="G8" s="62">
        <v>0.2452552673596132</v>
      </c>
      <c r="H8" s="62">
        <v>0.25439997838175432</v>
      </c>
      <c r="I8" s="62">
        <v>0.2616457592406235</v>
      </c>
      <c r="J8" s="62">
        <v>0.25607104622538845</v>
      </c>
      <c r="K8" s="62">
        <v>0.30927840267503881</v>
      </c>
      <c r="L8" s="62">
        <v>0.24350118124573494</v>
      </c>
      <c r="M8" s="62">
        <v>0.22273814118639554</v>
      </c>
      <c r="N8" s="62">
        <v>0.24401853968709528</v>
      </c>
      <c r="O8" s="62">
        <v>0.25294873524816364</v>
      </c>
      <c r="P8" s="62">
        <v>0.24822643794190363</v>
      </c>
      <c r="Q8" s="62">
        <v>0.24656585900342542</v>
      </c>
    </row>
    <row r="9" spans="1:17" ht="13.5" x14ac:dyDescent="0.25">
      <c r="A9" s="64">
        <v>4</v>
      </c>
      <c r="B9" s="62">
        <v>0.40550520345127855</v>
      </c>
      <c r="C9" s="62">
        <v>0.40651257058081747</v>
      </c>
      <c r="D9" s="62">
        <v>0.40550520345127855</v>
      </c>
      <c r="E9" s="62">
        <v>0.40651257058081747</v>
      </c>
      <c r="F9" s="62">
        <v>0.336370846803977</v>
      </c>
      <c r="G9" s="62">
        <v>0.32112299700364694</v>
      </c>
      <c r="H9" s="62">
        <v>0.33295791122253593</v>
      </c>
      <c r="I9" s="62">
        <v>0.34234395938668066</v>
      </c>
      <c r="J9" s="62">
        <v>0.33505190046924288</v>
      </c>
      <c r="K9" s="62">
        <v>0.40377846742441265</v>
      </c>
      <c r="L9" s="62">
        <v>0.31883918242899828</v>
      </c>
      <c r="M9" s="62">
        <v>0.29191896808207179</v>
      </c>
      <c r="N9" s="62">
        <v>0.31950492932278968</v>
      </c>
      <c r="O9" s="62">
        <v>0.33097197146891177</v>
      </c>
      <c r="P9" s="62">
        <v>0.3249158312175201</v>
      </c>
      <c r="Q9" s="62">
        <v>0.32263481220121881</v>
      </c>
    </row>
    <row r="10" spans="1:17" ht="13.5" x14ac:dyDescent="0.25">
      <c r="A10" s="64">
        <v>5</v>
      </c>
      <c r="B10" s="62">
        <v>0.49675605577940507</v>
      </c>
      <c r="C10" s="62">
        <v>0.49801793315535475</v>
      </c>
      <c r="D10" s="62">
        <v>0.49675605577940507</v>
      </c>
      <c r="E10" s="62">
        <v>0.49801793315535475</v>
      </c>
      <c r="F10" s="62">
        <v>0.41286155342832165</v>
      </c>
      <c r="G10" s="62">
        <v>0.39434700452220178</v>
      </c>
      <c r="H10" s="62">
        <v>0.40872307038747036</v>
      </c>
      <c r="I10" s="62">
        <v>0.42012090138803376</v>
      </c>
      <c r="J10" s="62">
        <v>0.41118671171707927</v>
      </c>
      <c r="K10" s="62">
        <v>0.49448661933133764</v>
      </c>
      <c r="L10" s="62">
        <v>0.39157338275269854</v>
      </c>
      <c r="M10" s="62">
        <v>0.35881665643066807</v>
      </c>
      <c r="N10" s="62">
        <v>0.39236097071661657</v>
      </c>
      <c r="O10" s="62">
        <v>0.4061534918263025</v>
      </c>
      <c r="P10" s="62">
        <v>0.39886803421791017</v>
      </c>
      <c r="Q10" s="62">
        <v>0.39593462046721417</v>
      </c>
    </row>
    <row r="11" spans="1:17" ht="13.5" x14ac:dyDescent="0.25">
      <c r="A11" s="64">
        <v>6</v>
      </c>
      <c r="B11" s="62">
        <v>0.58651609207762034</v>
      </c>
      <c r="C11" s="62">
        <v>0.58812377238541858</v>
      </c>
      <c r="D11" s="62">
        <v>0.58651609207762034</v>
      </c>
      <c r="E11" s="62">
        <v>0.58812377238541858</v>
      </c>
      <c r="F11" s="62">
        <v>0.48865744241086739</v>
      </c>
      <c r="G11" s="62">
        <v>0.46705602392608092</v>
      </c>
      <c r="H11" s="62">
        <v>0.48385174619072546</v>
      </c>
      <c r="I11" s="62">
        <v>0.49718105145635616</v>
      </c>
      <c r="J11" s="62">
        <v>0.48659347627111299</v>
      </c>
      <c r="K11" s="62">
        <v>0.58349509194112803</v>
      </c>
      <c r="L11" s="62">
        <v>0.46385336923368742</v>
      </c>
      <c r="M11" s="62">
        <v>0.42576994032946863</v>
      </c>
      <c r="N11" s="62">
        <v>0.46474227791910133</v>
      </c>
      <c r="O11" s="62">
        <v>0.4806440958545708</v>
      </c>
      <c r="P11" s="62">
        <v>0.47221641790121505</v>
      </c>
      <c r="Q11" s="62">
        <v>0.46847267934550052</v>
      </c>
    </row>
    <row r="12" spans="1:17" ht="13.5" x14ac:dyDescent="0.25">
      <c r="A12" s="64">
        <v>7</v>
      </c>
      <c r="B12" s="62">
        <v>0.67291961885715801</v>
      </c>
      <c r="C12" s="62">
        <v>0.6748752955715307</v>
      </c>
      <c r="D12" s="62">
        <v>0.67291961885715801</v>
      </c>
      <c r="E12" s="62">
        <v>0.6748752955715307</v>
      </c>
      <c r="F12" s="62">
        <v>0.56196430378350226</v>
      </c>
      <c r="G12" s="62">
        <v>0.53747652264850765</v>
      </c>
      <c r="H12" s="62">
        <v>0.55654949282165489</v>
      </c>
      <c r="I12" s="62">
        <v>0.57168693451779962</v>
      </c>
      <c r="J12" s="62">
        <v>0.5595407763498762</v>
      </c>
      <c r="K12" s="62">
        <v>0.66917859312504269</v>
      </c>
      <c r="L12" s="62">
        <v>0.53389789169770197</v>
      </c>
      <c r="M12" s="62">
        <v>0.49093999815891376</v>
      </c>
      <c r="N12" s="62">
        <v>0.53486957596661255</v>
      </c>
      <c r="O12" s="62">
        <v>0.55277358241959351</v>
      </c>
      <c r="P12" s="62">
        <v>0.54324318329582366</v>
      </c>
      <c r="Q12" s="62">
        <v>0.5386910792847931</v>
      </c>
    </row>
    <row r="13" spans="1:17" ht="13.5" x14ac:dyDescent="0.25">
      <c r="A13" s="64">
        <v>8</v>
      </c>
      <c r="B13" s="62">
        <v>0.75583806783848639</v>
      </c>
      <c r="C13" s="62">
        <v>0.75804834731917081</v>
      </c>
      <c r="D13" s="62">
        <v>0.75583806783848639</v>
      </c>
      <c r="E13" s="62">
        <v>0.75804834731917081</v>
      </c>
      <c r="F13" s="62">
        <v>0.63256572840483538</v>
      </c>
      <c r="G13" s="62">
        <v>0.60536773861358739</v>
      </c>
      <c r="H13" s="62">
        <v>0.62657172108538295</v>
      </c>
      <c r="I13" s="62">
        <v>0.64339213406049767</v>
      </c>
      <c r="J13" s="62">
        <v>0.62977066909325896</v>
      </c>
      <c r="K13" s="62">
        <v>0.75148796984142607</v>
      </c>
      <c r="L13" s="62">
        <v>0.60142750921866539</v>
      </c>
      <c r="M13" s="62">
        <v>0.55387210781566987</v>
      </c>
      <c r="N13" s="62">
        <v>0.60247220841869598</v>
      </c>
      <c r="O13" s="62">
        <v>0.6222242647030064</v>
      </c>
      <c r="P13" s="62">
        <v>0.6116963838316124</v>
      </c>
      <c r="Q13" s="62">
        <v>0.60628766579732352</v>
      </c>
    </row>
    <row r="14" spans="1:17" ht="13.5" x14ac:dyDescent="0.25">
      <c r="A14" s="64">
        <v>9</v>
      </c>
      <c r="B14" s="62">
        <v>0.84721205299467539</v>
      </c>
      <c r="C14" s="62">
        <v>0.84971285596084511</v>
      </c>
      <c r="D14" s="62">
        <v>0.84721205299467539</v>
      </c>
      <c r="E14" s="62">
        <v>0.84971285596084511</v>
      </c>
      <c r="F14" s="62">
        <v>0.71224414463086272</v>
      </c>
      <c r="G14" s="62">
        <v>0.6824847833006944</v>
      </c>
      <c r="H14" s="62">
        <v>0.70571408634700272</v>
      </c>
      <c r="I14" s="62">
        <v>0.72415131823780921</v>
      </c>
      <c r="J14" s="62">
        <v>0.70904683209046349</v>
      </c>
      <c r="K14" s="62">
        <v>0.84199125857798407</v>
      </c>
      <c r="L14" s="62">
        <v>0.67818606825802552</v>
      </c>
      <c r="M14" s="62">
        <v>0.62614031286500615</v>
      </c>
      <c r="N14" s="62">
        <v>0.67928510611567683</v>
      </c>
      <c r="O14" s="62">
        <v>0.70071950224615076</v>
      </c>
      <c r="P14" s="62">
        <v>0.68930203375983767</v>
      </c>
      <c r="Q14" s="62">
        <v>0.68295024776873736</v>
      </c>
    </row>
    <row r="15" spans="1:17" ht="13.5" x14ac:dyDescent="0.25">
      <c r="A15" s="64">
        <v>10</v>
      </c>
      <c r="B15" s="62">
        <v>0.93336183760567881</v>
      </c>
      <c r="C15" s="62">
        <v>0.93611497303920366</v>
      </c>
      <c r="D15" s="62">
        <v>0.93336183760567881</v>
      </c>
      <c r="E15" s="62">
        <v>0.93611497303920366</v>
      </c>
      <c r="F15" s="62">
        <v>0.78742691251205932</v>
      </c>
      <c r="G15" s="62">
        <v>0.75525584838026205</v>
      </c>
      <c r="H15" s="62">
        <v>0.78039134456772086</v>
      </c>
      <c r="I15" s="62">
        <v>0.80036476686291014</v>
      </c>
      <c r="J15" s="62">
        <v>0.78375435806858618</v>
      </c>
      <c r="K15" s="62">
        <v>0.92697743702634838</v>
      </c>
      <c r="L15" s="62">
        <v>0.75060359248592257</v>
      </c>
      <c r="M15" s="62">
        <v>0.69424208270648791</v>
      </c>
      <c r="N15" s="62">
        <v>0.7517576463959158</v>
      </c>
      <c r="O15" s="62">
        <v>0.77460416073684046</v>
      </c>
      <c r="P15" s="62">
        <v>0.76241877163232408</v>
      </c>
      <c r="Q15" s="62">
        <v>0.75502449145467243</v>
      </c>
    </row>
    <row r="16" spans="1:17" ht="13.5" x14ac:dyDescent="0.25">
      <c r="A16" s="64">
        <v>11</v>
      </c>
      <c r="B16" s="62">
        <v>1.0150905720727579</v>
      </c>
      <c r="C16" s="62">
        <v>1.018119163628211</v>
      </c>
      <c r="D16" s="62">
        <v>1.0150905720727579</v>
      </c>
      <c r="E16" s="62">
        <v>1.018119163628211</v>
      </c>
      <c r="F16" s="62">
        <v>0.8587417133057994</v>
      </c>
      <c r="G16" s="62">
        <v>0.82428605528325138</v>
      </c>
      <c r="H16" s="62">
        <v>0.85122440617717721</v>
      </c>
      <c r="I16" s="62">
        <v>0.87266796171590566</v>
      </c>
      <c r="J16" s="62">
        <v>0.85458701195532516</v>
      </c>
      <c r="K16" s="62">
        <v>1.0073933164890991</v>
      </c>
      <c r="L16" s="62">
        <v>0.81927090221843901</v>
      </c>
      <c r="M16" s="62">
        <v>0.75860968809349283</v>
      </c>
      <c r="N16" s="62">
        <v>0.82048719661973846</v>
      </c>
      <c r="O16" s="62">
        <v>0.84461586394517141</v>
      </c>
      <c r="P16" s="62">
        <v>0.83173109120009225</v>
      </c>
      <c r="Q16" s="62">
        <v>0.82325830063033956</v>
      </c>
    </row>
    <row r="17" spans="1:17" ht="13.5" x14ac:dyDescent="0.25">
      <c r="A17" s="64">
        <v>12</v>
      </c>
      <c r="B17" s="62">
        <v>1.0929973571673564</v>
      </c>
      <c r="C17" s="62">
        <v>1.0963195021049483</v>
      </c>
      <c r="D17" s="62">
        <v>1.0929973571673564</v>
      </c>
      <c r="E17" s="62">
        <v>1.0963195021049483</v>
      </c>
      <c r="F17" s="62">
        <v>0.92671299266396057</v>
      </c>
      <c r="G17" s="62">
        <v>0.89008182896176513</v>
      </c>
      <c r="H17" s="62">
        <v>0.91874294880734242</v>
      </c>
      <c r="I17" s="65">
        <v>0.94160574272253028</v>
      </c>
      <c r="J17" s="62">
        <v>0.92205215015071662</v>
      </c>
      <c r="K17" s="62">
        <v>1.0838679366464001</v>
      </c>
      <c r="L17" s="62">
        <v>0.88470520788483886</v>
      </c>
      <c r="M17" s="62">
        <v>0.81986539362768462</v>
      </c>
      <c r="N17" s="62">
        <v>0.88596079543344408</v>
      </c>
      <c r="O17" s="62">
        <v>0.91128284670075355</v>
      </c>
      <c r="P17" s="62">
        <v>0.8977666142428401</v>
      </c>
      <c r="Q17" s="62">
        <v>0.88819811714517938</v>
      </c>
    </row>
    <row r="18" spans="1:17" ht="13.5" x14ac:dyDescent="0.25">
      <c r="A18" s="64">
        <v>13</v>
      </c>
      <c r="B18" s="62">
        <v>1.1667089146435745</v>
      </c>
      <c r="C18" s="62">
        <v>1.1703165631532968</v>
      </c>
      <c r="D18" s="62">
        <v>1.1667089146435745</v>
      </c>
      <c r="E18" s="62">
        <v>1.1703165631532968</v>
      </c>
      <c r="F18" s="62">
        <v>0.99115143008695095</v>
      </c>
      <c r="G18" s="62">
        <v>0.95249463043887528</v>
      </c>
      <c r="H18" s="62">
        <v>0.98276568634717854</v>
      </c>
      <c r="I18" s="62">
        <v>1.006952051883319</v>
      </c>
      <c r="J18" s="62">
        <v>0.98601390489630802</v>
      </c>
      <c r="K18" s="62">
        <v>1.1563180413004024</v>
      </c>
      <c r="L18" s="62">
        <v>0.94679164641827529</v>
      </c>
      <c r="M18" s="62">
        <v>0.87811468234226908</v>
      </c>
      <c r="N18" s="62">
        <v>0.94807301625258866</v>
      </c>
      <c r="O18" s="62">
        <v>0.9745097192212081</v>
      </c>
      <c r="P18" s="62">
        <v>0.96039211500088206</v>
      </c>
      <c r="Q18" s="62">
        <v>0.94976086996648723</v>
      </c>
    </row>
    <row r="19" spans="1:17" ht="13.5" x14ac:dyDescent="0.25">
      <c r="A19" s="64">
        <v>14</v>
      </c>
      <c r="B19" s="62">
        <v>1.2365781169014074</v>
      </c>
      <c r="C19" s="62">
        <v>1.2403469318004676</v>
      </c>
      <c r="D19" s="62">
        <v>1.2365781169014074</v>
      </c>
      <c r="E19" s="62">
        <v>1.2403469318004676</v>
      </c>
      <c r="F19" s="62">
        <v>1.0522743376306887</v>
      </c>
      <c r="G19" s="62">
        <v>1.0116949783085076</v>
      </c>
      <c r="H19" s="62">
        <v>1.0434783904830627</v>
      </c>
      <c r="I19" s="62">
        <v>1.0689006123308005</v>
      </c>
      <c r="J19" s="62">
        <v>1.0466685559261739</v>
      </c>
      <c r="K19" s="62">
        <v>1.2251086634669646</v>
      </c>
      <c r="L19" s="62">
        <v>1.005677217138683</v>
      </c>
      <c r="M19" s="62">
        <v>0.93340867574667719</v>
      </c>
      <c r="N19" s="62">
        <v>1.0069776717713392</v>
      </c>
      <c r="O19" s="62">
        <v>1.0344437420326877</v>
      </c>
      <c r="P19" s="62">
        <v>1.0197828599856116</v>
      </c>
      <c r="Q19" s="62">
        <v>1.0081386705902389</v>
      </c>
    </row>
    <row r="20" spans="1:17" ht="13.5" x14ac:dyDescent="0.25">
      <c r="A20" s="64">
        <v>15</v>
      </c>
      <c r="B20" s="62">
        <v>1.3031638418298148</v>
      </c>
      <c r="C20" s="62">
        <v>1.3071945815391408</v>
      </c>
      <c r="D20" s="62">
        <v>1.3031638418298148</v>
      </c>
      <c r="E20" s="62">
        <v>1.3071945815391408</v>
      </c>
      <c r="F20" s="62">
        <v>1.1105882828142983</v>
      </c>
      <c r="G20" s="62">
        <v>1.0681897969414225</v>
      </c>
      <c r="H20" s="62">
        <v>1.1014202855089437</v>
      </c>
      <c r="I20" s="62">
        <v>1.1280379732091177</v>
      </c>
      <c r="J20" s="62">
        <v>1.1044570628452324</v>
      </c>
      <c r="K20" s="62">
        <v>1.2903205727715383</v>
      </c>
      <c r="L20" s="62">
        <v>1.0618755172473662</v>
      </c>
      <c r="M20" s="62">
        <v>0.98620455891128911</v>
      </c>
      <c r="N20" s="62">
        <v>1.0631737127788627</v>
      </c>
      <c r="O20" s="62">
        <v>1.0914944041149737</v>
      </c>
      <c r="P20" s="62">
        <v>1.0763668537425979</v>
      </c>
      <c r="Q20" s="62">
        <v>1.0635849653223202</v>
      </c>
    </row>
    <row r="21" spans="1:17" ht="13.5" x14ac:dyDescent="0.25">
      <c r="A21" s="64">
        <v>16</v>
      </c>
      <c r="B21" s="62">
        <v>1.3746417118811178</v>
      </c>
      <c r="C21" s="62">
        <v>1.3789137714207489</v>
      </c>
      <c r="D21" s="62">
        <v>1.3746417118811178</v>
      </c>
      <c r="E21" s="62">
        <v>1.3789137714207489</v>
      </c>
      <c r="F21" s="62">
        <v>1.1742586584022723</v>
      </c>
      <c r="G21" s="62">
        <v>1.1301524533803162</v>
      </c>
      <c r="H21" s="62">
        <v>1.1647436038737655</v>
      </c>
      <c r="I21" s="62">
        <v>1.1925082036598975</v>
      </c>
      <c r="J21" s="62">
        <v>1.1675932473436725</v>
      </c>
      <c r="K21" s="62">
        <v>1.3602876076420745</v>
      </c>
      <c r="L21" s="62">
        <v>1.1235504495321309</v>
      </c>
      <c r="M21" s="62">
        <v>1.0446842607033868</v>
      </c>
      <c r="N21" s="62">
        <v>1.1248376581108883</v>
      </c>
      <c r="O21" s="62">
        <v>1.153913943507979</v>
      </c>
      <c r="P21" s="62">
        <v>1.1383716583750316</v>
      </c>
      <c r="Q21" s="62">
        <v>1.1244551312828148</v>
      </c>
    </row>
    <row r="22" spans="1:17" ht="13.5" x14ac:dyDescent="0.25">
      <c r="A22" s="64">
        <v>17</v>
      </c>
      <c r="B22" s="62">
        <v>1.4419557412680257</v>
      </c>
      <c r="C22" s="62">
        <v>1.4464352288280384</v>
      </c>
      <c r="D22" s="62">
        <v>1.4419557412680257</v>
      </c>
      <c r="E22" s="62">
        <v>1.4464352288280384</v>
      </c>
      <c r="F22" s="62">
        <v>1.2342192028349324</v>
      </c>
      <c r="G22" s="62">
        <v>1.1885252955114474</v>
      </c>
      <c r="H22" s="62">
        <v>1.2243853156622606</v>
      </c>
      <c r="I22" s="62">
        <v>1.253232184375175</v>
      </c>
      <c r="J22" s="62">
        <v>1.227037664928722</v>
      </c>
      <c r="K22" s="62">
        <v>1.4261206245948066</v>
      </c>
      <c r="L22" s="62">
        <v>1.1816347593349317</v>
      </c>
      <c r="M22" s="62">
        <v>1.0997183217536219</v>
      </c>
      <c r="N22" s="62">
        <v>1.1829176906839804</v>
      </c>
      <c r="O22" s="62">
        <v>1.212666668110173</v>
      </c>
      <c r="P22" s="62">
        <v>1.1967573869614403</v>
      </c>
      <c r="Q22" s="62">
        <v>1.1817515271340053</v>
      </c>
    </row>
    <row r="23" spans="1:17" ht="13.5" x14ac:dyDescent="0.25">
      <c r="A23" s="64">
        <v>18</v>
      </c>
      <c r="B23" s="62">
        <v>1.5052077278506986</v>
      </c>
      <c r="C23" s="62">
        <v>1.5099448143658902</v>
      </c>
      <c r="D23" s="62">
        <v>1.5052077278506986</v>
      </c>
      <c r="E23" s="62">
        <v>1.5099448143658902</v>
      </c>
      <c r="F23" s="62">
        <v>1.2906256650424965</v>
      </c>
      <c r="G23" s="62">
        <v>1.2434709898977789</v>
      </c>
      <c r="H23" s="62">
        <v>1.2805214568734737</v>
      </c>
      <c r="I23" s="62">
        <v>1.3103789596800599</v>
      </c>
      <c r="J23" s="62">
        <v>1.2829620269790278</v>
      </c>
      <c r="K23" s="62">
        <v>1.4879738228855324</v>
      </c>
      <c r="L23" s="62">
        <v>1.2363161680974462</v>
      </c>
      <c r="M23" s="62">
        <v>1.1515697787951789</v>
      </c>
      <c r="N23" s="62">
        <v>1.2375994623235618</v>
      </c>
      <c r="O23" s="62">
        <v>1.2679623363826162</v>
      </c>
      <c r="P23" s="62">
        <v>1.2517048094691579</v>
      </c>
      <c r="Q23" s="62">
        <v>1.2356640572338022</v>
      </c>
    </row>
    <row r="24" spans="1:17" ht="13.5" x14ac:dyDescent="0.25">
      <c r="A24" s="64">
        <v>19</v>
      </c>
      <c r="B24" s="62">
        <v>1.5682969966726521</v>
      </c>
      <c r="C24" s="62">
        <v>1.5699584898658019</v>
      </c>
      <c r="D24" s="62">
        <v>1.5649599873005464</v>
      </c>
      <c r="E24" s="62">
        <v>1.5699584898658019</v>
      </c>
      <c r="F24" s="62">
        <v>1.3438461984647367</v>
      </c>
      <c r="G24" s="62">
        <v>1.2952977691905989</v>
      </c>
      <c r="H24" s="62">
        <v>1.3334880938784097</v>
      </c>
      <c r="I24" s="62">
        <v>1.3643101986895314</v>
      </c>
      <c r="J24" s="62">
        <v>1.3357206900058503</v>
      </c>
      <c r="K24" s="62">
        <v>1.5465304215632942</v>
      </c>
      <c r="L24" s="62">
        <v>1.2878880191925977</v>
      </c>
      <c r="M24" s="62">
        <v>1.2004430618793305</v>
      </c>
      <c r="N24" s="62">
        <v>1.2891566166275672</v>
      </c>
      <c r="O24" s="62">
        <v>1.3201485780830118</v>
      </c>
      <c r="P24" s="62">
        <v>1.3035533630579037</v>
      </c>
      <c r="Q24" s="62">
        <v>1.2865335582419832</v>
      </c>
    </row>
    <row r="25" spans="1:17" ht="13.5" x14ac:dyDescent="0.25">
      <c r="A25" s="64">
        <v>20</v>
      </c>
      <c r="B25" s="62">
        <v>1.6314674491379657</v>
      </c>
      <c r="C25" s="62">
        <v>1.6267845859443164</v>
      </c>
      <c r="D25" s="62">
        <v>1.621580549601326</v>
      </c>
      <c r="E25" s="62">
        <v>1.6267845859443164</v>
      </c>
      <c r="F25" s="62">
        <v>1.3943258387928787</v>
      </c>
      <c r="G25" s="62">
        <v>1.3444649098567798</v>
      </c>
      <c r="H25" s="62">
        <v>1.3837281546045084</v>
      </c>
      <c r="I25" s="62">
        <v>1.4154574701087781</v>
      </c>
      <c r="J25" s="62">
        <v>1.385737444001075</v>
      </c>
      <c r="K25" s="62">
        <v>1.6018928111000572</v>
      </c>
      <c r="L25" s="62">
        <v>1.336812363712726</v>
      </c>
      <c r="M25" s="62">
        <v>1.2468760101184242</v>
      </c>
      <c r="N25" s="62">
        <v>1.3380620279399396</v>
      </c>
      <c r="O25" s="62">
        <v>1.3695735240203228</v>
      </c>
      <c r="P25" s="62">
        <v>1.3527016272645378</v>
      </c>
      <c r="Q25" s="62">
        <v>1.3346577602648082</v>
      </c>
    </row>
    <row r="26" spans="1:17" ht="13.5" x14ac:dyDescent="0.25">
      <c r="A26" s="64">
        <v>21</v>
      </c>
      <c r="B26" s="62">
        <v>1.6945057603120581</v>
      </c>
      <c r="C26" s="62">
        <v>1.6804187188302289</v>
      </c>
      <c r="D26" s="62">
        <v>1.6750201672957699</v>
      </c>
      <c r="E26" s="62">
        <v>1.6804187188302289</v>
      </c>
      <c r="F26" s="62">
        <v>1.4419793253760544</v>
      </c>
      <c r="G26" s="62">
        <v>1.3908808880189445</v>
      </c>
      <c r="H26" s="62">
        <v>1.4311559014748712</v>
      </c>
      <c r="I26" s="62">
        <v>1.4637409199707632</v>
      </c>
      <c r="J26" s="62">
        <v>1.4329509165411749</v>
      </c>
      <c r="K26" s="62">
        <v>1.6541361168928708</v>
      </c>
      <c r="L26" s="62">
        <v>1.3829998121051004</v>
      </c>
      <c r="M26" s="62">
        <v>1.2907168368466631</v>
      </c>
      <c r="N26" s="62">
        <v>1.3842294577228582</v>
      </c>
      <c r="O26" s="62">
        <v>1.4162268266715443</v>
      </c>
      <c r="P26" s="62">
        <v>1.3990965751699724</v>
      </c>
      <c r="Q26" s="62">
        <v>1.3800788252163751</v>
      </c>
    </row>
    <row r="27" spans="1:17" ht="13.5" x14ac:dyDescent="0.25">
      <c r="A27" s="64">
        <v>22</v>
      </c>
      <c r="B27" s="62">
        <v>1.7574283399860258</v>
      </c>
      <c r="C27" s="62">
        <v>1.7310227558982876</v>
      </c>
      <c r="D27" s="62">
        <v>1.7254401046693164</v>
      </c>
      <c r="E27" s="62">
        <v>1.7310227558982876</v>
      </c>
      <c r="F27" s="62">
        <v>1.4869469187789353</v>
      </c>
      <c r="G27" s="62">
        <v>1.4346815729260067</v>
      </c>
      <c r="H27" s="62">
        <v>1.4759107758314824</v>
      </c>
      <c r="I27" s="62">
        <v>1.5093029867901988</v>
      </c>
      <c r="J27" s="62">
        <v>1.4775002366696914</v>
      </c>
      <c r="K27" s="62">
        <v>1.7034185636199002</v>
      </c>
      <c r="L27" s="62">
        <v>1.4265853753135382</v>
      </c>
      <c r="M27" s="62">
        <v>1.3320919343327318</v>
      </c>
      <c r="N27" s="62">
        <v>1.427794106454837</v>
      </c>
      <c r="O27" s="62">
        <v>1.460245888881019</v>
      </c>
      <c r="P27" s="62">
        <v>1.442874390037117</v>
      </c>
      <c r="Q27" s="62">
        <v>1.422930482298836</v>
      </c>
    </row>
    <row r="28" spans="1:17" ht="13.5" x14ac:dyDescent="0.25">
      <c r="A28" s="64">
        <v>23</v>
      </c>
      <c r="B28" s="62">
        <v>1.8202482465114109</v>
      </c>
      <c r="C28" s="62">
        <v>1.7787510224083296</v>
      </c>
      <c r="D28" s="62">
        <v>1.7729941175776198</v>
      </c>
      <c r="E28" s="62">
        <v>1.7787510224083296</v>
      </c>
      <c r="F28" s="62">
        <v>1.5293626382788676</v>
      </c>
      <c r="G28" s="62">
        <v>1.4759968548225342</v>
      </c>
      <c r="H28" s="62">
        <v>1.5181260271466046</v>
      </c>
      <c r="I28" s="62">
        <v>1.5522797392514143</v>
      </c>
      <c r="J28" s="62">
        <v>1.5195183482035848</v>
      </c>
      <c r="K28" s="62">
        <v>1.749891016765337</v>
      </c>
      <c r="L28" s="62">
        <v>1.467698137811605</v>
      </c>
      <c r="M28" s="62">
        <v>1.3711222909658247</v>
      </c>
      <c r="N28" s="62">
        <v>1.4688852298393333</v>
      </c>
      <c r="O28" s="62">
        <v>1.5017620243571768</v>
      </c>
      <c r="P28" s="62">
        <v>1.4841652469521125</v>
      </c>
      <c r="Q28" s="62">
        <v>1.4633405722612611</v>
      </c>
    </row>
    <row r="29" spans="1:17" ht="13.5" x14ac:dyDescent="0.25">
      <c r="A29" s="64">
        <v>24</v>
      </c>
      <c r="B29" s="62">
        <v>1.8829752788432008</v>
      </c>
      <c r="C29" s="62">
        <v>1.8237506151882514</v>
      </c>
      <c r="D29" s="62">
        <v>1.8178287652114637</v>
      </c>
      <c r="E29" s="62">
        <v>1.8237506151882514</v>
      </c>
      <c r="F29" s="62">
        <v>1.5693544960878372</v>
      </c>
      <c r="G29" s="62">
        <v>1.5149508632605913</v>
      </c>
      <c r="H29" s="62">
        <v>1.5579289442209237</v>
      </c>
      <c r="I29" s="62">
        <v>1.5928011181451205</v>
      </c>
      <c r="J29" s="62">
        <v>1.5591322411725379</v>
      </c>
      <c r="K29" s="62">
        <v>1.7936972870647201</v>
      </c>
      <c r="L29" s="62">
        <v>1.5064614726596379</v>
      </c>
      <c r="M29" s="62">
        <v>1.4079236741929555</v>
      </c>
      <c r="N29" s="62">
        <v>1.5076263553467448</v>
      </c>
      <c r="O29" s="62">
        <v>1.5409006836590042</v>
      </c>
      <c r="P29" s="62">
        <v>1.5230935334644884</v>
      </c>
      <c r="Q29" s="62">
        <v>1.5014312622175094</v>
      </c>
    </row>
    <row r="30" spans="1:17" ht="13.5" x14ac:dyDescent="0.25">
      <c r="A30" s="64">
        <v>25</v>
      </c>
      <c r="B30" s="62">
        <v>1.9455570023927977</v>
      </c>
      <c r="C30" s="62">
        <v>1.8661253064764955</v>
      </c>
      <c r="D30" s="62">
        <v>1.8600464500931086</v>
      </c>
      <c r="E30" s="62">
        <v>1.8661253064764955</v>
      </c>
      <c r="F30" s="62">
        <v>1.6070001945318073</v>
      </c>
      <c r="G30" s="62">
        <v>1.5516154897102394</v>
      </c>
      <c r="H30" s="62">
        <v>1.595396264602869</v>
      </c>
      <c r="I30" s="62">
        <v>1.6309480848604618</v>
      </c>
      <c r="J30" s="62">
        <v>1.5964153008028446</v>
      </c>
      <c r="K30" s="62">
        <v>1.83492784711743</v>
      </c>
      <c r="L30" s="62">
        <v>1.5429464462549221</v>
      </c>
      <c r="M30" s="62">
        <v>1.4425576587981959</v>
      </c>
      <c r="N30" s="62">
        <v>1.5440870909393527</v>
      </c>
      <c r="O30" s="62">
        <v>1.5777312520000875</v>
      </c>
      <c r="P30" s="62">
        <v>1.5597290072468724</v>
      </c>
      <c r="Q30" s="62">
        <v>1.5372624912361006</v>
      </c>
    </row>
    <row r="31" spans="1:17" ht="13.5" x14ac:dyDescent="0.25">
      <c r="A31" s="64">
        <v>26</v>
      </c>
      <c r="B31" s="62">
        <v>2.0080295117764462</v>
      </c>
      <c r="C31" s="62">
        <v>1.9060325522031025</v>
      </c>
      <c r="D31" s="62">
        <v>1.8998042258972681</v>
      </c>
      <c r="E31" s="62">
        <v>1.9060325522031025</v>
      </c>
      <c r="F31" s="62">
        <v>1.6424410565254011</v>
      </c>
      <c r="G31" s="62">
        <v>1.5861288166029286</v>
      </c>
      <c r="H31" s="62">
        <v>1.6306686977524927</v>
      </c>
      <c r="I31" s="62">
        <v>1.6668635412678496</v>
      </c>
      <c r="J31" s="62">
        <v>1.6315082260519072</v>
      </c>
      <c r="K31" s="62">
        <v>1.8737380993733237</v>
      </c>
      <c r="L31" s="62">
        <v>1.5772904844088509</v>
      </c>
      <c r="M31" s="62">
        <v>1.4751551674407852</v>
      </c>
      <c r="N31" s="62">
        <v>1.5784051302064874</v>
      </c>
      <c r="O31" s="62">
        <v>1.61239328292955</v>
      </c>
      <c r="P31" s="62">
        <v>1.5942101732349423</v>
      </c>
      <c r="Q31" s="62">
        <v>1.5709714451011365</v>
      </c>
    </row>
    <row r="32" spans="1:17" ht="13.5" x14ac:dyDescent="0.25">
      <c r="A32" s="64">
        <v>27</v>
      </c>
      <c r="B32" s="62">
        <v>2.0704273698421432</v>
      </c>
      <c r="C32" s="62">
        <v>1.9436201724552484</v>
      </c>
      <c r="D32" s="62">
        <v>1.9372495319121943</v>
      </c>
      <c r="E32" s="62">
        <v>1.9436201724552484</v>
      </c>
      <c r="F32" s="62">
        <v>1.6758097313283817</v>
      </c>
      <c r="G32" s="62">
        <v>1.6186204439577176</v>
      </c>
      <c r="H32" s="62">
        <v>1.6638783161553998</v>
      </c>
      <c r="I32" s="62">
        <v>1.7006816239042242</v>
      </c>
      <c r="J32" s="62">
        <v>1.6645430677833493</v>
      </c>
      <c r="K32" s="62">
        <v>1.910273897760693</v>
      </c>
      <c r="L32" s="62">
        <v>1.6096225705128917</v>
      </c>
      <c r="M32" s="62">
        <v>1.5058390717957317</v>
      </c>
      <c r="N32" s="62">
        <v>1.6107097016871934</v>
      </c>
      <c r="O32" s="62">
        <v>1.645017742647686</v>
      </c>
      <c r="P32" s="62">
        <v>1.6266670188347681</v>
      </c>
      <c r="Q32" s="62">
        <v>1.6026868436723196</v>
      </c>
    </row>
    <row r="33" spans="1:17" ht="13.5" x14ac:dyDescent="0.25">
      <c r="A33" s="64">
        <v>28</v>
      </c>
      <c r="B33" s="62">
        <v>2.132783720519845</v>
      </c>
      <c r="C33" s="62">
        <v>1.9790269493155836</v>
      </c>
      <c r="D33" s="62">
        <v>1.9725207896791863</v>
      </c>
      <c r="E33" s="62">
        <v>1.9790269493155836</v>
      </c>
      <c r="F33" s="62">
        <v>1.7072307337384429</v>
      </c>
      <c r="G33" s="62">
        <v>1.6492120170047475</v>
      </c>
      <c r="H33" s="62">
        <v>1.6951490922758414</v>
      </c>
      <c r="I33" s="62">
        <v>1.7325282486465716</v>
      </c>
      <c r="J33" s="62">
        <v>1.6956437669026911</v>
      </c>
      <c r="K33" s="62">
        <v>1.9446721417131898</v>
      </c>
      <c r="L33" s="62">
        <v>1.6400637706887891</v>
      </c>
      <c r="M33" s="62">
        <v>1.5347246936919818</v>
      </c>
      <c r="N33" s="62">
        <v>1.6411220956860133</v>
      </c>
      <c r="O33" s="62">
        <v>1.6757275447645208</v>
      </c>
      <c r="P33" s="62">
        <v>1.6572215441130116</v>
      </c>
      <c r="Q33" s="62">
        <v>1.6325294690933487</v>
      </c>
    </row>
    <row r="34" spans="1:17" ht="13.5" x14ac:dyDescent="0.25">
      <c r="A34" s="64">
        <v>29</v>
      </c>
      <c r="B34" s="62">
        <v>2.1951303950240262</v>
      </c>
      <c r="C34" s="62">
        <v>2.0123831872672637</v>
      </c>
      <c r="D34" s="62">
        <v>2.0057479622683783</v>
      </c>
      <c r="E34" s="62">
        <v>2.0123831872672637</v>
      </c>
      <c r="F34" s="62">
        <v>1.7368209494792861</v>
      </c>
      <c r="G34" s="62">
        <v>1.6780177207161842</v>
      </c>
      <c r="H34" s="62">
        <v>1.724597401843849</v>
      </c>
      <c r="I34" s="62">
        <v>1.762521621246123</v>
      </c>
      <c r="J34" s="62">
        <v>1.7249266587326653</v>
      </c>
      <c r="K34" s="62">
        <v>1.9770613329357227</v>
      </c>
      <c r="L34" s="62">
        <v>1.6687277260007682</v>
      </c>
      <c r="M34" s="62">
        <v>1.5619202748047765</v>
      </c>
      <c r="N34" s="62">
        <v>1.6697561580356786</v>
      </c>
      <c r="O34" s="62">
        <v>1.7046380514932848</v>
      </c>
      <c r="P34" s="62">
        <v>1.6859882587178556</v>
      </c>
      <c r="Q34" s="62">
        <v>1.6606126608047251</v>
      </c>
    </row>
    <row r="35" spans="1:17" ht="14" thickBot="1" x14ac:dyDescent="0.3">
      <c r="A35" s="63">
        <v>30</v>
      </c>
      <c r="B35" s="62">
        <v>2.2574980118390635</v>
      </c>
      <c r="C35" s="62">
        <v>2.0438112385236424</v>
      </c>
      <c r="D35" s="62">
        <v>2.0370530785446261</v>
      </c>
      <c r="E35" s="62">
        <v>2.0438112385236424</v>
      </c>
      <c r="F35" s="62">
        <v>1.7646901089151821</v>
      </c>
      <c r="G35" s="62">
        <v>1.7051447433314524</v>
      </c>
      <c r="H35" s="62">
        <v>1.7523324955989146</v>
      </c>
      <c r="I35" s="62">
        <v>1.7907727158751536</v>
      </c>
      <c r="J35" s="62">
        <v>1.7525009457574514</v>
      </c>
      <c r="K35" s="62">
        <v>2.0075620972591661</v>
      </c>
      <c r="L35" s="62">
        <v>1.6957211138068484</v>
      </c>
      <c r="M35" s="62">
        <v>1.5875274168857643</v>
      </c>
      <c r="N35" s="62">
        <v>1.6967187528915031</v>
      </c>
      <c r="O35" s="62">
        <v>1.7318575433964383</v>
      </c>
      <c r="P35" s="62">
        <v>1.7130746476292738</v>
      </c>
      <c r="Q35" s="62">
        <v>1.6870427794570058</v>
      </c>
    </row>
    <row r="36" spans="1:17" ht="14" thickBot="1" x14ac:dyDescent="0.3">
      <c r="A36" s="63">
        <v>31</v>
      </c>
      <c r="B36" s="62">
        <v>2.3139354621350403</v>
      </c>
      <c r="C36" s="62">
        <v>2.0949065194867336</v>
      </c>
      <c r="D36" s="62">
        <v>2.0879794055082419</v>
      </c>
      <c r="E36" s="62">
        <v>2.0949065194867336</v>
      </c>
      <c r="F36" s="62">
        <v>1.8088073616380616</v>
      </c>
      <c r="G36" s="62">
        <v>1.7477733619147386</v>
      </c>
      <c r="H36" s="62">
        <v>1.7961408079888874</v>
      </c>
      <c r="I36" s="62">
        <v>1.8355420337720325</v>
      </c>
      <c r="J36" s="62">
        <v>1.7963134694013876</v>
      </c>
      <c r="K36" s="62">
        <v>2.0577511496906453</v>
      </c>
      <c r="L36" s="62">
        <v>1.7381141416520196</v>
      </c>
      <c r="M36" s="62">
        <v>1.6272156023079083</v>
      </c>
      <c r="N36" s="62">
        <v>1.7391367217137907</v>
      </c>
      <c r="O36" s="62">
        <v>1.7751539819813493</v>
      </c>
      <c r="P36" s="62">
        <v>1.7559015138200056</v>
      </c>
      <c r="Q36" s="62">
        <v>1.7292188489434308</v>
      </c>
    </row>
    <row r="37" spans="1:17" ht="14" thickBot="1" x14ac:dyDescent="0.3">
      <c r="A37" s="63">
        <v>32</v>
      </c>
      <c r="B37" s="62">
        <v>2.3717838486884162</v>
      </c>
      <c r="C37" s="62">
        <v>2.1472791824739019</v>
      </c>
      <c r="D37" s="62">
        <v>2.1401788906459478</v>
      </c>
      <c r="E37" s="62">
        <v>2.1472791824739019</v>
      </c>
      <c r="F37" s="62">
        <v>1.8540275456790132</v>
      </c>
      <c r="G37" s="62">
        <v>1.791467695962607</v>
      </c>
      <c r="H37" s="62">
        <v>1.8410443281886095</v>
      </c>
      <c r="I37" s="62">
        <v>1.8814305846163333</v>
      </c>
      <c r="J37" s="62">
        <v>1.8412213061364222</v>
      </c>
      <c r="K37" s="62">
        <v>2.1091949284329115</v>
      </c>
      <c r="L37" s="62">
        <v>1.7815669951933202</v>
      </c>
      <c r="M37" s="62">
        <v>1.667895992365606</v>
      </c>
      <c r="N37" s="62">
        <v>1.7826151397566354</v>
      </c>
      <c r="O37" s="62">
        <v>1.819532831530883</v>
      </c>
      <c r="P37" s="62">
        <v>1.7997990516655058</v>
      </c>
      <c r="Q37" s="62">
        <v>1.7724493201670166</v>
      </c>
    </row>
    <row r="38" spans="1:17" ht="14" thickBot="1" x14ac:dyDescent="0.3">
      <c r="A38" s="63">
        <v>33</v>
      </c>
      <c r="B38" s="62">
        <v>2.4310784449056264</v>
      </c>
      <c r="C38" s="62">
        <v>2.2009611620357497</v>
      </c>
      <c r="D38" s="62">
        <v>2.1936833629120964</v>
      </c>
      <c r="E38" s="62">
        <v>2.2009611620357497</v>
      </c>
      <c r="F38" s="62">
        <v>1.9003782343209885</v>
      </c>
      <c r="G38" s="62">
        <v>1.8362543883616722</v>
      </c>
      <c r="H38" s="62">
        <v>1.8870704363933248</v>
      </c>
      <c r="I38" s="62">
        <v>1.9284663492317415</v>
      </c>
      <c r="J38" s="62">
        <v>1.8872518387898327</v>
      </c>
      <c r="K38" s="62">
        <v>2.1619248016437345</v>
      </c>
      <c r="L38" s="62">
        <v>1.8261061700731531</v>
      </c>
      <c r="M38" s="62">
        <v>1.7095933921747462</v>
      </c>
      <c r="N38" s="62">
        <v>1.8271805182505514</v>
      </c>
      <c r="O38" s="62">
        <v>1.8650211523191551</v>
      </c>
      <c r="P38" s="62">
        <v>1.8447940279571435</v>
      </c>
      <c r="Q38" s="62">
        <v>1.8167605531711921</v>
      </c>
    </row>
    <row r="39" spans="1:17" ht="14" thickBot="1" x14ac:dyDescent="0.3">
      <c r="A39" s="63">
        <v>34</v>
      </c>
      <c r="B39" s="62">
        <v>2.4918554060282672</v>
      </c>
      <c r="C39" s="62">
        <v>2.2559851910866433</v>
      </c>
      <c r="D39" s="62">
        <v>2.2485254469848988</v>
      </c>
      <c r="E39" s="62">
        <v>2.2559851910866433</v>
      </c>
      <c r="F39" s="62">
        <v>1.9478876901790132</v>
      </c>
      <c r="G39" s="62">
        <v>1.8821607480707141</v>
      </c>
      <c r="H39" s="62">
        <v>1.9342471973031579</v>
      </c>
      <c r="I39" s="62">
        <v>1.976678007962535</v>
      </c>
      <c r="J39" s="62">
        <v>1.9344331347595785</v>
      </c>
      <c r="K39" s="62">
        <v>2.2159729216848278</v>
      </c>
      <c r="L39" s="62">
        <v>1.8717588243249819</v>
      </c>
      <c r="M39" s="62">
        <v>1.7523332269791148</v>
      </c>
      <c r="N39" s="62">
        <v>1.8728600312068151</v>
      </c>
      <c r="O39" s="62">
        <v>1.911646681127134</v>
      </c>
      <c r="P39" s="62">
        <v>1.8909138786560722</v>
      </c>
      <c r="Q39" s="62">
        <v>1.8621795670004719</v>
      </c>
    </row>
    <row r="40" spans="1:17" ht="14" thickBot="1" x14ac:dyDescent="0.3">
      <c r="A40" s="63">
        <v>35</v>
      </c>
      <c r="B40" s="62">
        <v>2.554151791178974</v>
      </c>
      <c r="C40" s="62">
        <v>2.3123848208638096</v>
      </c>
      <c r="D40" s="62">
        <v>2.3047385831595211</v>
      </c>
      <c r="E40" s="62">
        <v>2.3123848208638096</v>
      </c>
      <c r="F40" s="62">
        <v>1.9965848824334884</v>
      </c>
      <c r="G40" s="62">
        <v>1.9292147667724819</v>
      </c>
      <c r="H40" s="62">
        <v>1.9826033772357368</v>
      </c>
      <c r="I40" s="62">
        <v>2.0260949581615986</v>
      </c>
      <c r="J40" s="62">
        <v>1.9827939631285678</v>
      </c>
      <c r="K40" s="62">
        <v>2.2713722447269484</v>
      </c>
      <c r="L40" s="62">
        <v>1.9185527949331065</v>
      </c>
      <c r="M40" s="62">
        <v>1.7961415576535926</v>
      </c>
      <c r="N40" s="62">
        <v>1.9196815319869855</v>
      </c>
      <c r="O40" s="62">
        <v>1.9594378481553123</v>
      </c>
      <c r="P40" s="62">
        <v>1.9381867256224741</v>
      </c>
      <c r="Q40" s="62">
        <v>1.9087340561754838</v>
      </c>
    </row>
    <row r="41" spans="1:17" ht="14" thickBot="1" x14ac:dyDescent="0.3">
      <c r="A41" s="63">
        <v>36</v>
      </c>
      <c r="B41" s="62">
        <v>2.6180055859584481</v>
      </c>
      <c r="C41" s="62">
        <v>2.3701944413854048</v>
      </c>
      <c r="D41" s="62">
        <v>2.362357047738509</v>
      </c>
      <c r="E41" s="62">
        <v>2.3701944413854048</v>
      </c>
      <c r="F41" s="62">
        <v>2.0464995044943257</v>
      </c>
      <c r="G41" s="62">
        <v>1.9774451359417939</v>
      </c>
      <c r="H41" s="62">
        <v>2.0321684616666302</v>
      </c>
      <c r="I41" s="62">
        <v>2.0767473321156387</v>
      </c>
      <c r="J41" s="62">
        <v>2.032363812206782</v>
      </c>
      <c r="K41" s="62">
        <v>2.3281565508451223</v>
      </c>
      <c r="L41" s="62">
        <v>1.9665166148064341</v>
      </c>
      <c r="M41" s="62">
        <v>1.8410450965949325</v>
      </c>
      <c r="N41" s="62">
        <v>1.9676735702866601</v>
      </c>
      <c r="O41" s="62">
        <v>2.0084237943591949</v>
      </c>
      <c r="P41" s="62">
        <v>1.9866413937630358</v>
      </c>
      <c r="Q41" s="62">
        <v>1.9564524075798708</v>
      </c>
    </row>
    <row r="42" spans="1:17" ht="14" thickBot="1" x14ac:dyDescent="0.3">
      <c r="A42" s="63">
        <v>37</v>
      </c>
      <c r="B42" s="62">
        <v>2.6834557256074092</v>
      </c>
      <c r="C42" s="62">
        <v>2.4294493024200401</v>
      </c>
      <c r="D42" s="62">
        <v>2.4214159739319716</v>
      </c>
      <c r="E42" s="62">
        <v>2.4294493024200401</v>
      </c>
      <c r="F42" s="62">
        <v>2.0976619921066839</v>
      </c>
      <c r="G42" s="62">
        <v>2.0268812643403389</v>
      </c>
      <c r="H42" s="62">
        <v>2.082972673208296</v>
      </c>
      <c r="I42" s="62">
        <v>2.1286660154185295</v>
      </c>
      <c r="J42" s="62">
        <v>2.0831729075119516</v>
      </c>
      <c r="K42" s="62">
        <v>2.3863604646162502</v>
      </c>
      <c r="L42" s="62">
        <v>2.0156795301765951</v>
      </c>
      <c r="M42" s="62">
        <v>1.8870712240098058</v>
      </c>
      <c r="N42" s="62">
        <v>2.0168654095438265</v>
      </c>
      <c r="O42" s="62">
        <v>2.0586343892181747</v>
      </c>
      <c r="P42" s="62">
        <v>2.0363074286071119</v>
      </c>
      <c r="Q42" s="62">
        <v>2.0053637177693675</v>
      </c>
    </row>
    <row r="43" spans="1:17" ht="14" thickBot="1" x14ac:dyDescent="0.3">
      <c r="A43" s="63">
        <v>38</v>
      </c>
      <c r="B43" s="62">
        <v>2.7505421187475942</v>
      </c>
      <c r="C43" s="62">
        <v>2.4901855349805411</v>
      </c>
      <c r="D43" s="62">
        <v>2.4819513732802707</v>
      </c>
      <c r="E43" s="62">
        <v>2.4901855349805411</v>
      </c>
      <c r="F43" s="62">
        <v>2.1501035419093508</v>
      </c>
      <c r="G43" s="62">
        <v>2.0775532959488472</v>
      </c>
      <c r="H43" s="62">
        <v>2.1350469900385036</v>
      </c>
      <c r="I43" s="62">
        <v>2.1818826658039927</v>
      </c>
      <c r="J43" s="62">
        <v>2.1352522301997503</v>
      </c>
      <c r="K43" s="62">
        <v>2.4460194762316565</v>
      </c>
      <c r="L43" s="62">
        <v>2.0660715184310101</v>
      </c>
      <c r="M43" s="62">
        <v>1.934248004610051</v>
      </c>
      <c r="N43" s="62">
        <v>2.0672870447824221</v>
      </c>
      <c r="O43" s="62">
        <v>2.1101002489486289</v>
      </c>
      <c r="P43" s="62">
        <v>2.0872151143222899</v>
      </c>
      <c r="Q43" s="62">
        <v>2.0554978107136015</v>
      </c>
    </row>
    <row r="44" spans="1:17" ht="14" thickBot="1" x14ac:dyDescent="0.3">
      <c r="A44" s="63">
        <v>39</v>
      </c>
      <c r="B44" s="62">
        <v>2.8193056717162843</v>
      </c>
      <c r="C44" s="62">
        <v>2.5524401733550546</v>
      </c>
      <c r="D44" s="62">
        <v>2.5440001576122775</v>
      </c>
      <c r="E44" s="62">
        <v>2.5524401733550546</v>
      </c>
      <c r="F44" s="62">
        <v>2.2038561304570847</v>
      </c>
      <c r="G44" s="62">
        <v>2.1294921283475685</v>
      </c>
      <c r="H44" s="62">
        <v>2.1884231647894663</v>
      </c>
      <c r="I44" s="62">
        <v>2.2364297324490927</v>
      </c>
      <c r="J44" s="62">
        <v>2.188633535954744</v>
      </c>
      <c r="K44" s="62">
        <v>2.5071699631374478</v>
      </c>
      <c r="L44" s="62">
        <v>2.1177233063917855</v>
      </c>
      <c r="M44" s="62">
        <v>1.9826042047253023</v>
      </c>
      <c r="N44" s="62">
        <v>2.1189692209019828</v>
      </c>
      <c r="O44" s="62">
        <v>2.1628527551723447</v>
      </c>
      <c r="P44" s="62">
        <v>2.1393954921803471</v>
      </c>
      <c r="Q44" s="62">
        <v>2.1068852559814415</v>
      </c>
    </row>
    <row r="45" spans="1:17" ht="14" thickBot="1" x14ac:dyDescent="0.3">
      <c r="A45" s="63">
        <v>40</v>
      </c>
      <c r="B45" s="62">
        <v>2.8897883135091913</v>
      </c>
      <c r="C45" s="62">
        <v>2.6162511776889308</v>
      </c>
      <c r="D45" s="62">
        <v>2.6076001615525843</v>
      </c>
      <c r="E45" s="62">
        <v>2.6162511776889308</v>
      </c>
      <c r="F45" s="62">
        <v>2.2589525337185119</v>
      </c>
      <c r="G45" s="62">
        <v>2.1827294315562575</v>
      </c>
      <c r="H45" s="62">
        <v>2.2431337439092029</v>
      </c>
      <c r="I45" s="62">
        <v>2.2923404757603199</v>
      </c>
      <c r="J45" s="62">
        <v>2.2433493743536124</v>
      </c>
      <c r="K45" s="62">
        <v>2.569849212215884</v>
      </c>
      <c r="L45" s="62">
        <v>2.17066638905158</v>
      </c>
      <c r="M45" s="62">
        <v>2.032169309843435</v>
      </c>
      <c r="N45" s="62">
        <v>2.1719434514245322</v>
      </c>
      <c r="O45" s="62">
        <v>2.2169240740516534</v>
      </c>
      <c r="P45" s="62">
        <v>2.1928803794848557</v>
      </c>
      <c r="Q45" s="62">
        <v>2.1595573873809775</v>
      </c>
    </row>
    <row r="46" spans="1:17" ht="14" thickBot="1" x14ac:dyDescent="0.3">
      <c r="A46" s="63">
        <v>41</v>
      </c>
      <c r="B46" s="62">
        <v>2.962033021346921</v>
      </c>
      <c r="C46" s="62">
        <v>2.6816574571311542</v>
      </c>
      <c r="D46" s="62">
        <v>2.6727901655913988</v>
      </c>
      <c r="E46" s="62">
        <v>2.6816574571311542</v>
      </c>
      <c r="F46" s="62">
        <v>2.3154263470614747</v>
      </c>
      <c r="G46" s="62">
        <v>2.2372976673451639</v>
      </c>
      <c r="H46" s="62">
        <v>2.2992120875069331</v>
      </c>
      <c r="I46" s="62">
        <v>2.3496489876543278</v>
      </c>
      <c r="J46" s="62">
        <v>2.2994331087124529</v>
      </c>
      <c r="K46" s="62">
        <v>2.6340954425212812</v>
      </c>
      <c r="L46" s="62">
        <v>2.2249330487778693</v>
      </c>
      <c r="M46" s="62">
        <v>2.0829735425895208</v>
      </c>
      <c r="N46" s="62">
        <v>2.2262420377101453</v>
      </c>
      <c r="O46" s="62">
        <v>2.2723471759029445</v>
      </c>
      <c r="P46" s="62">
        <v>2.2477023889719772</v>
      </c>
      <c r="Q46" s="62">
        <v>2.2135463220655018</v>
      </c>
    </row>
    <row r="47" spans="1:17" ht="14" thickBot="1" x14ac:dyDescent="0.3">
      <c r="A47" s="63">
        <v>42</v>
      </c>
      <c r="B47" s="62">
        <v>3.0360838468805942</v>
      </c>
      <c r="C47" s="62">
        <v>2.7486988935594332</v>
      </c>
      <c r="D47" s="62">
        <v>2.7396099197311838</v>
      </c>
      <c r="E47" s="62">
        <v>2.7486988935594332</v>
      </c>
      <c r="F47" s="62">
        <v>2.3733120057380117</v>
      </c>
      <c r="G47" s="62">
        <v>2.293230109028793</v>
      </c>
      <c r="H47" s="62">
        <v>2.3566923896946066</v>
      </c>
      <c r="I47" s="62">
        <v>2.4083902123456862</v>
      </c>
      <c r="J47" s="62">
        <v>2.3569189364302643</v>
      </c>
      <c r="K47" s="62">
        <v>2.6999478285843135</v>
      </c>
      <c r="L47" s="62">
        <v>2.2805563749973161</v>
      </c>
      <c r="M47" s="62">
        <v>2.135047881154259</v>
      </c>
      <c r="N47" s="62">
        <v>2.2818980886528988</v>
      </c>
      <c r="O47" s="62">
        <v>2.3291558553005181</v>
      </c>
      <c r="P47" s="62">
        <v>2.3038949486962768</v>
      </c>
      <c r="Q47" s="62">
        <v>2.2688849801171393</v>
      </c>
    </row>
    <row r="48" spans="1:17" ht="14" thickBot="1" x14ac:dyDescent="0.3">
      <c r="A48" s="63">
        <v>43</v>
      </c>
      <c r="B48" s="62">
        <v>3.1119859430526091</v>
      </c>
      <c r="C48" s="62">
        <v>2.8174163658984188</v>
      </c>
      <c r="D48" s="62">
        <v>2.8081001677244632</v>
      </c>
      <c r="E48" s="62">
        <v>2.8174163658984188</v>
      </c>
      <c r="F48" s="62">
        <v>2.4326448058814618</v>
      </c>
      <c r="G48" s="62">
        <v>2.3505608617545128</v>
      </c>
      <c r="H48" s="62">
        <v>2.4156096994369718</v>
      </c>
      <c r="I48" s="62">
        <v>2.4685999676543284</v>
      </c>
      <c r="J48" s="62">
        <v>2.4158419098410211</v>
      </c>
      <c r="K48" s="62">
        <v>2.7674465242989212</v>
      </c>
      <c r="L48" s="62">
        <v>2.3375702843722492</v>
      </c>
      <c r="M48" s="62">
        <v>2.1884240781831155</v>
      </c>
      <c r="N48" s="62">
        <v>2.3389455408692212</v>
      </c>
      <c r="O48" s="62">
        <v>2.3873847516830309</v>
      </c>
      <c r="P48" s="62">
        <v>2.3614923224136835</v>
      </c>
      <c r="Q48" s="62">
        <v>2.3256071046200679</v>
      </c>
    </row>
    <row r="49" spans="1:17" ht="14" thickBot="1" x14ac:dyDescent="0.3">
      <c r="A49" s="63">
        <v>44</v>
      </c>
      <c r="B49" s="62">
        <v>3.1897855916289242</v>
      </c>
      <c r="C49" s="62">
        <v>2.8878517750458794</v>
      </c>
      <c r="D49" s="62">
        <v>2.8783026719175746</v>
      </c>
      <c r="E49" s="62">
        <v>2.8878517750458794</v>
      </c>
      <c r="F49" s="62">
        <v>2.4934609260284986</v>
      </c>
      <c r="G49" s="62">
        <v>2.4093248832983756</v>
      </c>
      <c r="H49" s="62">
        <v>2.475999941922896</v>
      </c>
      <c r="I49" s="62">
        <v>2.5303149668456868</v>
      </c>
      <c r="J49" s="62">
        <v>2.4762379575870468</v>
      </c>
      <c r="K49" s="62">
        <v>2.8366326874063943</v>
      </c>
      <c r="L49" s="62">
        <v>2.3960095414815554</v>
      </c>
      <c r="M49" s="62">
        <v>2.2431346801376932</v>
      </c>
      <c r="N49" s="62">
        <v>2.3974191793909516</v>
      </c>
      <c r="O49" s="62">
        <v>2.4470693704751065</v>
      </c>
      <c r="P49" s="62">
        <v>2.4205296304740256</v>
      </c>
      <c r="Q49" s="62">
        <v>2.3837472822355696</v>
      </c>
    </row>
    <row r="50" spans="1:17" ht="14" thickBot="1" x14ac:dyDescent="0.3">
      <c r="A50" s="63">
        <v>45</v>
      </c>
      <c r="B50" s="62">
        <v>3.2695302314196475</v>
      </c>
      <c r="C50" s="62">
        <v>2.9600480694220264</v>
      </c>
      <c r="D50" s="62">
        <v>2.9502602387155141</v>
      </c>
      <c r="E50" s="62">
        <v>2.9600480694220264</v>
      </c>
      <c r="F50" s="62">
        <v>2.5557974491792108</v>
      </c>
      <c r="G50" s="62">
        <v>2.469558005380835</v>
      </c>
      <c r="H50" s="62">
        <v>2.5378999404709686</v>
      </c>
      <c r="I50" s="62">
        <v>2.5935728410168291</v>
      </c>
      <c r="J50" s="62">
        <v>2.5381439065267228</v>
      </c>
      <c r="K50" s="62">
        <v>2.9075485045915541</v>
      </c>
      <c r="L50" s="62">
        <v>2.4559097800185943</v>
      </c>
      <c r="M50" s="62">
        <v>2.2992130471411354</v>
      </c>
      <c r="N50" s="62">
        <v>2.4573546588757256</v>
      </c>
      <c r="O50" s="62">
        <v>2.5082461047369842</v>
      </c>
      <c r="P50" s="62">
        <v>2.4810428712358763</v>
      </c>
      <c r="Q50" s="62">
        <v>2.4433409642914588</v>
      </c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10" sqref="C10"/>
    </sheetView>
  </sheetViews>
  <sheetFormatPr defaultColWidth="9.1796875" defaultRowHeight="12.5" x14ac:dyDescent="0.25"/>
  <cols>
    <col min="1" max="1" width="9.1796875" style="62"/>
    <col min="2" max="2" width="26.54296875" style="62" customWidth="1"/>
    <col min="3" max="7" width="23.453125" style="62" customWidth="1"/>
    <col min="8" max="16384" width="9.1796875" style="62"/>
  </cols>
  <sheetData>
    <row r="1" spans="1:7" ht="15" x14ac:dyDescent="0.25">
      <c r="A1" s="96" t="s">
        <v>2198</v>
      </c>
      <c r="B1" s="91"/>
      <c r="C1" s="91"/>
      <c r="D1" s="91"/>
      <c r="E1" s="91"/>
      <c r="F1" s="92"/>
      <c r="G1" s="92"/>
    </row>
    <row r="2" spans="1:7" ht="13.5" x14ac:dyDescent="0.25">
      <c r="A2" s="95"/>
      <c r="B2" s="94" t="s">
        <v>298</v>
      </c>
      <c r="C2" s="93"/>
      <c r="D2" s="91"/>
      <c r="E2" s="91"/>
      <c r="F2" s="92"/>
      <c r="G2" s="92"/>
    </row>
    <row r="3" spans="1:7" ht="13.5" x14ac:dyDescent="0.25">
      <c r="A3" s="91"/>
      <c r="B3" s="91"/>
      <c r="C3" s="91"/>
      <c r="D3" s="91" t="s">
        <v>297</v>
      </c>
      <c r="E3" s="91"/>
      <c r="F3" s="91" t="s">
        <v>297</v>
      </c>
      <c r="G3" s="91" t="s">
        <v>297</v>
      </c>
    </row>
    <row r="4" spans="1:7" ht="27" x14ac:dyDescent="0.25">
      <c r="A4" s="90" t="s">
        <v>291</v>
      </c>
      <c r="B4" s="90" t="s">
        <v>290</v>
      </c>
      <c r="C4" s="90" t="s">
        <v>296</v>
      </c>
      <c r="D4" s="89" t="s">
        <v>295</v>
      </c>
      <c r="E4" s="89" t="s">
        <v>294</v>
      </c>
      <c r="F4" s="89" t="s">
        <v>293</v>
      </c>
      <c r="G4" s="89" t="s">
        <v>292</v>
      </c>
    </row>
    <row r="5" spans="1:7" ht="13.5" x14ac:dyDescent="0.25">
      <c r="A5" s="88"/>
      <c r="B5" s="87" t="s">
        <v>274</v>
      </c>
      <c r="C5" s="87" t="s">
        <v>270</v>
      </c>
      <c r="D5" s="87" t="s">
        <v>266</v>
      </c>
      <c r="E5" s="87" t="s">
        <v>263</v>
      </c>
      <c r="F5" s="87" t="s">
        <v>260</v>
      </c>
      <c r="G5" s="87" t="s">
        <v>261</v>
      </c>
    </row>
    <row r="6" spans="1:7" ht="13.5" x14ac:dyDescent="0.25">
      <c r="A6" s="85">
        <v>1</v>
      </c>
      <c r="B6" s="86">
        <v>0.89740036114224941</v>
      </c>
      <c r="C6" s="86">
        <v>0.81879993587810096</v>
      </c>
      <c r="D6" s="86">
        <v>0.96140555348138612</v>
      </c>
      <c r="E6" s="86">
        <v>0.809797542151653</v>
      </c>
      <c r="F6" s="86">
        <v>0.81191695446198953</v>
      </c>
      <c r="G6" s="86">
        <v>0.79921432111158563</v>
      </c>
    </row>
    <row r="7" spans="1:7" ht="13.5" x14ac:dyDescent="0.25">
      <c r="A7" s="85">
        <v>2</v>
      </c>
      <c r="B7" s="83">
        <v>1.7530412675970823</v>
      </c>
      <c r="C7" s="83">
        <v>1.5998552867805045</v>
      </c>
      <c r="D7" s="83">
        <v>1.8766032681258262</v>
      </c>
      <c r="E7" s="83">
        <v>1.5822671081752879</v>
      </c>
      <c r="F7" s="83">
        <v>1.5863779043734731</v>
      </c>
      <c r="G7" s="83">
        <v>1.5616517276988282</v>
      </c>
    </row>
    <row r="8" spans="1:7" ht="13.5" x14ac:dyDescent="0.25">
      <c r="A8" s="85">
        <v>3</v>
      </c>
      <c r="B8" s="83">
        <v>2.5689374245564029</v>
      </c>
      <c r="C8" s="83">
        <v>2.3484403182096036</v>
      </c>
      <c r="D8" s="83">
        <v>2.7469307197319628</v>
      </c>
      <c r="E8" s="83">
        <v>2.3230496789045647</v>
      </c>
      <c r="F8" s="83">
        <v>2.3289414396037955</v>
      </c>
      <c r="G8" s="83">
        <v>2.2931087173322977</v>
      </c>
    </row>
    <row r="9" spans="1:7" ht="13.5" x14ac:dyDescent="0.25">
      <c r="A9" s="85">
        <v>4</v>
      </c>
      <c r="B9" s="83">
        <v>3.3576429282798785</v>
      </c>
      <c r="C9" s="83">
        <v>3.0740248639936247</v>
      </c>
      <c r="D9" s="83">
        <v>3.5868326215882886</v>
      </c>
      <c r="E9" s="83">
        <v>3.041259181923361</v>
      </c>
      <c r="F9" s="83">
        <v>3.0488225877920518</v>
      </c>
      <c r="G9" s="83">
        <v>3.002661303246799</v>
      </c>
    </row>
    <row r="10" spans="1:7" ht="13.5" x14ac:dyDescent="0.25">
      <c r="A10" s="85">
        <v>5</v>
      </c>
      <c r="B10" s="83">
        <v>4.1154404453131255</v>
      </c>
      <c r="C10" s="83">
        <v>3.7721160231850503</v>
      </c>
      <c r="D10" s="83">
        <v>4.3936574683894971</v>
      </c>
      <c r="E10" s="83">
        <v>3.7322971991601848</v>
      </c>
      <c r="F10" s="83">
        <v>3.7414616029450904</v>
      </c>
      <c r="G10" s="83">
        <v>3.6855148710703709</v>
      </c>
    </row>
    <row r="11" spans="1:7" ht="13.5" x14ac:dyDescent="0.25">
      <c r="A11" s="85">
        <v>6</v>
      </c>
      <c r="B11" s="83">
        <v>4.8647418752095231</v>
      </c>
      <c r="C11" s="83">
        <v>4.4685302588124962</v>
      </c>
      <c r="D11" s="83">
        <v>5.1871989256998221</v>
      </c>
      <c r="E11" s="83">
        <v>4.4223506689783703</v>
      </c>
      <c r="F11" s="83">
        <v>4.4329028545802283</v>
      </c>
      <c r="G11" s="83">
        <v>4.3683392640602277</v>
      </c>
    </row>
    <row r="12" spans="1:7" ht="13.5" x14ac:dyDescent="0.25">
      <c r="A12" s="85">
        <v>7</v>
      </c>
      <c r="B12" s="83">
        <v>5.6041289343291316</v>
      </c>
      <c r="C12" s="83">
        <v>5.1612192298308415</v>
      </c>
      <c r="D12" s="83">
        <v>5.9664536198477389</v>
      </c>
      <c r="E12" s="83">
        <v>5.1093111668408779</v>
      </c>
      <c r="F12" s="83">
        <v>5.1210583784697272</v>
      </c>
      <c r="G12" s="83">
        <v>5.0489369788671512</v>
      </c>
    </row>
    <row r="13" spans="1:7" ht="13.5" x14ac:dyDescent="0.25">
      <c r="A13" s="85">
        <v>8</v>
      </c>
      <c r="B13" s="83">
        <v>6.3324138392305382</v>
      </c>
      <c r="C13" s="83">
        <v>5.8484348923212632</v>
      </c>
      <c r="D13" s="83">
        <v>6.7306008587353103</v>
      </c>
      <c r="E13" s="83">
        <v>5.7913773086110378</v>
      </c>
      <c r="F13" s="83">
        <v>5.8041448830818343</v>
      </c>
      <c r="G13" s="83">
        <v>5.7254276507477808</v>
      </c>
    </row>
    <row r="14" spans="1:7" ht="13.5" x14ac:dyDescent="0.25">
      <c r="A14" s="85">
        <v>9</v>
      </c>
      <c r="B14" s="83">
        <v>7.0347284238677235</v>
      </c>
      <c r="C14" s="83">
        <v>6.5109583874662276</v>
      </c>
      <c r="D14" s="83">
        <v>7.466611754635589</v>
      </c>
      <c r="E14" s="83">
        <v>6.4489998143165383</v>
      </c>
      <c r="F14" s="83">
        <v>6.462707239508279</v>
      </c>
      <c r="G14" s="83">
        <v>6.3776673651630382</v>
      </c>
    </row>
    <row r="15" spans="1:7" ht="13.5" x14ac:dyDescent="0.25">
      <c r="A15" s="85">
        <v>10</v>
      </c>
      <c r="B15" s="83">
        <v>7.7156859249738208</v>
      </c>
      <c r="C15" s="83">
        <v>7.1529424306693103</v>
      </c>
      <c r="D15" s="83">
        <v>8.1802010687406685</v>
      </c>
      <c r="E15" s="83">
        <v>7.0861915055606612</v>
      </c>
      <c r="F15" s="83">
        <v>7.1008050724465024</v>
      </c>
      <c r="G15" s="83">
        <v>7.0095884555989638</v>
      </c>
    </row>
    <row r="16" spans="1:7" ht="13.5" x14ac:dyDescent="0.25">
      <c r="A16" s="85">
        <v>11</v>
      </c>
      <c r="B16" s="83">
        <v>8.3814672267569037</v>
      </c>
      <c r="C16" s="83">
        <v>7.7817373151642073</v>
      </c>
      <c r="D16" s="83">
        <v>8.8772208554843424</v>
      </c>
      <c r="E16" s="83">
        <v>7.7102574051801316</v>
      </c>
      <c r="F16" s="83">
        <v>7.7257675401194676</v>
      </c>
      <c r="G16" s="83">
        <v>7.6289570215101765</v>
      </c>
    </row>
    <row r="17" spans="1:7" ht="13.5" x14ac:dyDescent="0.25">
      <c r="A17" s="85">
        <v>12</v>
      </c>
      <c r="B17" s="83">
        <v>9.0382527189643582</v>
      </c>
      <c r="C17" s="83">
        <v>8.4035789771701452</v>
      </c>
      <c r="D17" s="83">
        <v>9.563069018601519</v>
      </c>
      <c r="E17" s="83">
        <v>8.3277384738044908</v>
      </c>
      <c r="F17" s="83">
        <v>8.3440473052798687</v>
      </c>
      <c r="G17" s="83">
        <v>8.2419011110206348</v>
      </c>
    </row>
    <row r="18" spans="1:7" ht="13.5" x14ac:dyDescent="0.25">
      <c r="A18" s="85">
        <v>13</v>
      </c>
      <c r="B18" s="83">
        <v>9.6779309418467143</v>
      </c>
      <c r="C18" s="83">
        <v>9.0090646643852761</v>
      </c>
      <c r="D18" s="83">
        <v>10.230171351950933</v>
      </c>
      <c r="E18" s="83">
        <v>8.9291572642676638</v>
      </c>
      <c r="F18" s="83">
        <v>8.9461847189088566</v>
      </c>
      <c r="G18" s="83">
        <v>8.8387843468735756</v>
      </c>
    </row>
    <row r="19" spans="1:7" ht="13.5" x14ac:dyDescent="0.25">
      <c r="A19" s="85">
        <v>14</v>
      </c>
      <c r="B19" s="83">
        <v>10.300846936819696</v>
      </c>
      <c r="C19" s="83">
        <v>9.6025378328158837</v>
      </c>
      <c r="D19" s="83">
        <v>10.878664890500664</v>
      </c>
      <c r="E19" s="83">
        <v>9.5189229384162939</v>
      </c>
      <c r="F19" s="83">
        <v>9.5366306977902529</v>
      </c>
      <c r="G19" s="83">
        <v>9.4246492811623455</v>
      </c>
    </row>
    <row r="20" spans="1:7" ht="13.5" x14ac:dyDescent="0.25">
      <c r="A20" s="85">
        <v>15</v>
      </c>
      <c r="B20" s="83">
        <v>10.911258270506563</v>
      </c>
      <c r="C20" s="83">
        <v>10.185193489744005</v>
      </c>
      <c r="D20" s="83">
        <v>11.514104422634107</v>
      </c>
      <c r="E20" s="83">
        <v>10.0979972195621</v>
      </c>
      <c r="F20" s="83">
        <v>10.116376655665324</v>
      </c>
      <c r="G20" s="83">
        <v>10.000114235272545</v>
      </c>
    </row>
    <row r="21" spans="1:7" ht="13.5" x14ac:dyDescent="0.25">
      <c r="A21" s="85">
        <v>16</v>
      </c>
      <c r="B21" s="83">
        <v>11.507964544269097</v>
      </c>
      <c r="C21" s="83">
        <v>10.753312072313253</v>
      </c>
      <c r="D21" s="83">
        <v>12.135137828258019</v>
      </c>
      <c r="E21" s="83">
        <v>10.662565045673464</v>
      </c>
      <c r="F21" s="83">
        <v>10.681611758410288</v>
      </c>
      <c r="G21" s="83">
        <v>10.561072949143771</v>
      </c>
    </row>
    <row r="22" spans="1:7" ht="13.5" x14ac:dyDescent="0.25">
      <c r="A22" s="85">
        <v>17</v>
      </c>
      <c r="B22" s="83">
        <v>12.078582816590261</v>
      </c>
      <c r="C22" s="83">
        <v>11.295447516648434</v>
      </c>
      <c r="D22" s="83">
        <v>12.72902625513618</v>
      </c>
      <c r="E22" s="83">
        <v>11.201308965537798</v>
      </c>
      <c r="F22" s="83">
        <v>11.220982956270898</v>
      </c>
      <c r="G22" s="83">
        <v>11.096228143897818</v>
      </c>
    </row>
    <row r="23" spans="1:7" ht="13.5" x14ac:dyDescent="0.25">
      <c r="A23" s="85">
        <v>18</v>
      </c>
      <c r="B23" s="83">
        <v>12.633757357366104</v>
      </c>
      <c r="C23" s="83">
        <v>11.824804031720962</v>
      </c>
      <c r="D23" s="83">
        <v>13.306394557602834</v>
      </c>
      <c r="E23" s="83">
        <v>11.727474497558104</v>
      </c>
      <c r="F23" s="83">
        <v>11.747736880371908</v>
      </c>
      <c r="G23" s="83">
        <v>11.61915081403933</v>
      </c>
    </row>
    <row r="24" spans="1:7" ht="13.5" x14ac:dyDescent="0.25">
      <c r="A24" s="85">
        <v>19</v>
      </c>
      <c r="B24" s="83">
        <v>13.181415132762051</v>
      </c>
      <c r="C24" s="83">
        <v>12.346514513581187</v>
      </c>
      <c r="D24" s="83">
        <v>13.876874419174811</v>
      </c>
      <c r="E24" s="83">
        <v>12.245840282491411</v>
      </c>
      <c r="F24" s="83">
        <v>12.266736605695252</v>
      </c>
      <c r="G24" s="83">
        <v>12.134554586521393</v>
      </c>
    </row>
    <row r="25" spans="1:7" ht="13.5" x14ac:dyDescent="0.25">
      <c r="A25" s="85">
        <v>20</v>
      </c>
      <c r="B25" s="83">
        <v>13.713759429231397</v>
      </c>
      <c r="C25" s="83">
        <v>12.854199367046983</v>
      </c>
      <c r="D25" s="83">
        <v>14.431417349782459</v>
      </c>
      <c r="E25" s="83">
        <v>12.750269409405735</v>
      </c>
      <c r="F25" s="83">
        <v>12.771787393869769</v>
      </c>
      <c r="G25" s="83">
        <v>12.636228791575714</v>
      </c>
    </row>
    <row r="26" spans="1:7" ht="13.5" x14ac:dyDescent="0.25">
      <c r="A26" s="85">
        <v>21</v>
      </c>
      <c r="B26" s="83">
        <v>14.22986959182594</v>
      </c>
      <c r="C26" s="83">
        <v>13.346789095954966</v>
      </c>
      <c r="D26" s="83">
        <v>14.968679072217892</v>
      </c>
      <c r="E26" s="83">
        <v>13.239750461632763</v>
      </c>
      <c r="F26" s="83">
        <v>13.261856069971941</v>
      </c>
      <c r="G26" s="83">
        <v>13.123112443693978</v>
      </c>
    </row>
    <row r="27" spans="1:7" ht="13.5" x14ac:dyDescent="0.25">
      <c r="A27" s="85">
        <v>22</v>
      </c>
      <c r="B27" s="83">
        <v>14.730779155829575</v>
      </c>
      <c r="C27" s="83">
        <v>13.825134786304499</v>
      </c>
      <c r="D27" s="83">
        <v>15.48980949433923</v>
      </c>
      <c r="E27" s="83">
        <v>13.715110268415453</v>
      </c>
      <c r="F27" s="83">
        <v>13.737775458499218</v>
      </c>
      <c r="G27" s="83">
        <v>13.596019922505235</v>
      </c>
    </row>
    <row r="28" spans="1:7" ht="13.5" x14ac:dyDescent="0.25">
      <c r="A28" s="85">
        <v>23</v>
      </c>
      <c r="B28" s="83">
        <v>15.217121675368682</v>
      </c>
      <c r="C28" s="83">
        <v>14.289875157633642</v>
      </c>
      <c r="D28" s="83">
        <v>15.995503259908698</v>
      </c>
      <c r="E28" s="83">
        <v>14.176981049830877</v>
      </c>
      <c r="F28" s="83">
        <v>14.200180126957264</v>
      </c>
      <c r="G28" s="83">
        <v>14.055585462082595</v>
      </c>
    </row>
    <row r="29" spans="1:7" ht="13.5" x14ac:dyDescent="0.25">
      <c r="A29" s="85">
        <v>24</v>
      </c>
      <c r="B29" s="83">
        <v>15.689498350454405</v>
      </c>
      <c r="C29" s="83">
        <v>14.74159067225639</v>
      </c>
      <c r="D29" s="83">
        <v>16.486394554303946</v>
      </c>
      <c r="E29" s="83">
        <v>14.625940674958619</v>
      </c>
      <c r="F29" s="83">
        <v>14.64964969130987</v>
      </c>
      <c r="G29" s="83">
        <v>14.50237920243309</v>
      </c>
    </row>
    <row r="30" spans="1:7" ht="13.5" x14ac:dyDescent="0.25">
      <c r="A30" s="85">
        <v>25</v>
      </c>
      <c r="B30" s="83">
        <v>16.143326773708047</v>
      </c>
      <c r="C30" s="83">
        <v>15.175407019252569</v>
      </c>
      <c r="D30" s="83">
        <v>16.958189557188202</v>
      </c>
      <c r="E30" s="83">
        <v>15.057087262081817</v>
      </c>
      <c r="F30" s="83">
        <v>15.08129307314864</v>
      </c>
      <c r="G30" s="83">
        <v>14.931417819995897</v>
      </c>
    </row>
    <row r="31" spans="1:7" ht="13.5" x14ac:dyDescent="0.25">
      <c r="A31" s="85">
        <v>26</v>
      </c>
      <c r="B31" s="83">
        <v>16.578411439167308</v>
      </c>
      <c r="C31" s="83">
        <v>15.591465036568181</v>
      </c>
      <c r="D31" s="83">
        <v>17.410323356591459</v>
      </c>
      <c r="E31" s="83">
        <v>15.470607419874579</v>
      </c>
      <c r="F31" s="83">
        <v>15.495282761366724</v>
      </c>
      <c r="G31" s="83">
        <v>15.342943674052938</v>
      </c>
    </row>
    <row r="32" spans="1:7" ht="13.5" x14ac:dyDescent="0.25">
      <c r="A32" s="85">
        <v>27</v>
      </c>
      <c r="B32" s="83">
        <v>16.995537040727296</v>
      </c>
      <c r="C32" s="83">
        <v>15.990498301147383</v>
      </c>
      <c r="D32" s="83">
        <v>17.843629941419639</v>
      </c>
      <c r="E32" s="83">
        <v>15.867227860490534</v>
      </c>
      <c r="F32" s="83">
        <v>15.892347028228116</v>
      </c>
      <c r="G32" s="83">
        <v>15.737677066974081</v>
      </c>
    </row>
    <row r="33" spans="1:7" ht="13.5" x14ac:dyDescent="0.25">
      <c r="A33" s="85">
        <v>28</v>
      </c>
      <c r="B33" s="83">
        <v>17.395454766812353</v>
      </c>
      <c r="C33" s="83">
        <v>16.373209671026451</v>
      </c>
      <c r="D33" s="83">
        <v>18.258907023630396</v>
      </c>
      <c r="E33" s="83">
        <v>16.247644952523085</v>
      </c>
      <c r="F33" s="83">
        <v>16.273183710182554</v>
      </c>
      <c r="G33" s="83">
        <v>16.116308332370995</v>
      </c>
    </row>
    <row r="34" spans="1:7" ht="13.5" x14ac:dyDescent="0.25">
      <c r="A34" s="85">
        <v>29</v>
      </c>
      <c r="B34" s="83">
        <v>17.778883771116281</v>
      </c>
      <c r="C34" s="83">
        <v>16.74027259749808</v>
      </c>
      <c r="D34" s="83">
        <v>18.656917670651961</v>
      </c>
      <c r="E34" s="83">
        <v>16.612526011756849</v>
      </c>
      <c r="F34" s="83">
        <v>16.638461504205768</v>
      </c>
      <c r="G34" s="83">
        <v>16.479499103325956</v>
      </c>
    </row>
    <row r="35" spans="1:7" ht="13.5" x14ac:dyDescent="0.25">
      <c r="A35" s="84">
        <v>30</v>
      </c>
      <c r="B35" s="83">
        <v>18.146512576376317</v>
      </c>
      <c r="C35" s="83">
        <v>17.092332379647278</v>
      </c>
      <c r="D35" s="83">
        <v>19.038391861136738</v>
      </c>
      <c r="E35" s="83">
        <v>16.962510535553907</v>
      </c>
      <c r="F35" s="83">
        <v>16.988821207430238</v>
      </c>
      <c r="G35" s="83">
        <v>16.827883525635553</v>
      </c>
    </row>
    <row r="36" spans="1:7" ht="14" thickBot="1" x14ac:dyDescent="0.3">
      <c r="A36" s="82">
        <v>31</v>
      </c>
      <c r="B36" s="81">
        <v>18.600175390785726</v>
      </c>
      <c r="C36" s="81">
        <v>17.519640689138459</v>
      </c>
      <c r="D36" s="81">
        <v>19.514351657665156</v>
      </c>
      <c r="E36" s="81">
        <v>17.386573298942753</v>
      </c>
      <c r="F36" s="81">
        <v>17.413541737615994</v>
      </c>
      <c r="G36" s="81">
        <v>17.24858061377644</v>
      </c>
    </row>
    <row r="37" spans="1:7" ht="14" thickBot="1" x14ac:dyDescent="0.3">
      <c r="A37" s="80">
        <v>32</v>
      </c>
      <c r="B37" s="79">
        <v>19.065179775555368</v>
      </c>
      <c r="C37" s="79">
        <v>17.957631706366922</v>
      </c>
      <c r="D37" s="79">
        <v>20.002210449106784</v>
      </c>
      <c r="E37" s="79">
        <v>17.821237631416324</v>
      </c>
      <c r="F37" s="79">
        <v>17.848880281056392</v>
      </c>
      <c r="G37" s="79">
        <v>17.679795129120851</v>
      </c>
    </row>
    <row r="38" spans="1:7" ht="14" thickBot="1" x14ac:dyDescent="0.3">
      <c r="A38" s="80">
        <v>33</v>
      </c>
      <c r="B38" s="79">
        <v>19.541809269944252</v>
      </c>
      <c r="C38" s="79">
        <v>18.406572499026094</v>
      </c>
      <c r="D38" s="79">
        <v>20.502265710334452</v>
      </c>
      <c r="E38" s="79">
        <v>18.26676857220173</v>
      </c>
      <c r="F38" s="79">
        <v>18.295102288082802</v>
      </c>
      <c r="G38" s="79">
        <v>18.121790007348874</v>
      </c>
    </row>
    <row r="39" spans="1:7" ht="14" thickBot="1" x14ac:dyDescent="0.3">
      <c r="A39" s="80">
        <v>34</v>
      </c>
      <c r="B39" s="79">
        <v>20.030354501692859</v>
      </c>
      <c r="C39" s="79">
        <v>18.866736811501745</v>
      </c>
      <c r="D39" s="79">
        <v>21.014822353092814</v>
      </c>
      <c r="E39" s="79">
        <v>18.723437786506775</v>
      </c>
      <c r="F39" s="79">
        <v>18.752479845284871</v>
      </c>
      <c r="G39" s="79">
        <v>18.574834757532596</v>
      </c>
    </row>
    <row r="40" spans="1:7" ht="14" thickBot="1" x14ac:dyDescent="0.3">
      <c r="A40" s="80">
        <v>35</v>
      </c>
      <c r="B40" s="79">
        <v>20.531113364235182</v>
      </c>
      <c r="C40" s="79">
        <v>19.338405231789288</v>
      </c>
      <c r="D40" s="79">
        <v>21.540192911920133</v>
      </c>
      <c r="E40" s="79">
        <v>19.191523731169443</v>
      </c>
      <c r="F40" s="79">
        <v>19.221291841416992</v>
      </c>
      <c r="G40" s="79">
        <v>19.03920562647091</v>
      </c>
    </row>
    <row r="41" spans="1:7" ht="14" thickBot="1" x14ac:dyDescent="0.3">
      <c r="A41" s="80">
        <v>36</v>
      </c>
      <c r="B41" s="79">
        <v>21.04439119834106</v>
      </c>
      <c r="C41" s="79">
        <v>19.82186536258402</v>
      </c>
      <c r="D41" s="79">
        <v>22.078697734718137</v>
      </c>
      <c r="E41" s="79">
        <v>19.671311824448679</v>
      </c>
      <c r="F41" s="79">
        <v>19.701824137452416</v>
      </c>
      <c r="G41" s="79">
        <v>19.515185767132682</v>
      </c>
    </row>
    <row r="42" spans="1:7" ht="14" thickBot="1" x14ac:dyDescent="0.3">
      <c r="A42" s="80">
        <v>37</v>
      </c>
      <c r="B42" s="79">
        <v>21.570500978299588</v>
      </c>
      <c r="C42" s="79">
        <v>20.31741199664862</v>
      </c>
      <c r="D42" s="79">
        <v>22.63066517808609</v>
      </c>
      <c r="E42" s="79">
        <v>20.163094620059898</v>
      </c>
      <c r="F42" s="79">
        <v>20.194369740888725</v>
      </c>
      <c r="G42" s="79">
        <v>20.003065411310999</v>
      </c>
    </row>
    <row r="43" spans="1:7" ht="14" thickBot="1" x14ac:dyDescent="0.3">
      <c r="A43" s="80">
        <v>38</v>
      </c>
      <c r="B43" s="79">
        <v>22.109763502757076</v>
      </c>
      <c r="C43" s="79">
        <v>20.825347296564836</v>
      </c>
      <c r="D43" s="79">
        <v>23.196431807538243</v>
      </c>
      <c r="E43" s="79">
        <v>20.667171985561396</v>
      </c>
      <c r="F43" s="79">
        <v>20.699228984410944</v>
      </c>
      <c r="G43" s="79">
        <v>20.503142046593773</v>
      </c>
    </row>
    <row r="44" spans="1:7" ht="14" thickBot="1" x14ac:dyDescent="0.3">
      <c r="A44" s="80">
        <v>39</v>
      </c>
      <c r="B44" s="79">
        <v>22.662507590326001</v>
      </c>
      <c r="C44" s="79">
        <v>21.345980978978957</v>
      </c>
      <c r="D44" s="79">
        <v>23.7763426027267</v>
      </c>
      <c r="E44" s="79">
        <v>21.183851285200429</v>
      </c>
      <c r="F44" s="79">
        <v>21.216709709021217</v>
      </c>
      <c r="G44" s="79">
        <v>21.015720597758616</v>
      </c>
    </row>
    <row r="45" spans="1:7" ht="14" thickBot="1" x14ac:dyDescent="0.3">
      <c r="A45" s="80">
        <v>40</v>
      </c>
      <c r="B45" s="79">
        <v>23.229070280084152</v>
      </c>
      <c r="C45" s="79">
        <v>21.879630503453431</v>
      </c>
      <c r="D45" s="79">
        <v>24.370751167794868</v>
      </c>
      <c r="E45" s="79">
        <v>21.713447567330441</v>
      </c>
      <c r="F45" s="79">
        <v>21.747127451746746</v>
      </c>
      <c r="G45" s="79">
        <v>21.541113612702581</v>
      </c>
    </row>
    <row r="46" spans="1:7" ht="14" thickBot="1" x14ac:dyDescent="0.3">
      <c r="A46" s="80">
        <v>41</v>
      </c>
      <c r="B46" s="79">
        <v>23.809797037086256</v>
      </c>
      <c r="C46" s="79">
        <v>22.426621266039767</v>
      </c>
      <c r="D46" s="79">
        <v>24.980019946989739</v>
      </c>
      <c r="E46" s="79">
        <v>22.256283756513703</v>
      </c>
      <c r="F46" s="79">
        <v>22.290805638040414</v>
      </c>
      <c r="G46" s="79">
        <v>22.079641453020145</v>
      </c>
    </row>
    <row r="47" spans="1:7" ht="14" thickBot="1" x14ac:dyDescent="0.3">
      <c r="A47" s="80">
        <v>42</v>
      </c>
      <c r="B47" s="79">
        <v>24.40504196301341</v>
      </c>
      <c r="C47" s="79">
        <v>22.987286797690761</v>
      </c>
      <c r="D47" s="79">
        <v>25.604520445664484</v>
      </c>
      <c r="E47" s="79">
        <v>22.812690850426545</v>
      </c>
      <c r="F47" s="79">
        <v>22.848075778991426</v>
      </c>
      <c r="G47" s="79">
        <v>22.631632489345648</v>
      </c>
    </row>
    <row r="48" spans="1:7" ht="14" thickBot="1" x14ac:dyDescent="0.3">
      <c r="A48" s="80">
        <v>43</v>
      </c>
      <c r="B48" s="79">
        <v>25.015168012088747</v>
      </c>
      <c r="C48" s="79">
        <v>23.561968967633028</v>
      </c>
      <c r="D48" s="79">
        <v>26.244633456806095</v>
      </c>
      <c r="E48" s="79">
        <v>23.383008121687208</v>
      </c>
      <c r="F48" s="79">
        <v>23.419277673466212</v>
      </c>
      <c r="G48" s="79">
        <v>23.197423301579288</v>
      </c>
    </row>
    <row r="49" spans="1:7" ht="14" thickBot="1" x14ac:dyDescent="0.3">
      <c r="A49" s="80">
        <v>44</v>
      </c>
      <c r="B49" s="79">
        <v>25.640547212390967</v>
      </c>
      <c r="C49" s="79">
        <v>24.151018191823855</v>
      </c>
      <c r="D49" s="79">
        <v>26.900749293226248</v>
      </c>
      <c r="E49" s="79">
        <v>23.967583324729389</v>
      </c>
      <c r="F49" s="79">
        <v>24.004759615302866</v>
      </c>
      <c r="G49" s="79">
        <v>23.777358884118769</v>
      </c>
    </row>
    <row r="50" spans="1:7" ht="14" thickBot="1" x14ac:dyDescent="0.3">
      <c r="A50" s="80">
        <v>45</v>
      </c>
      <c r="B50" s="79">
        <v>26.281560892700742</v>
      </c>
      <c r="C50" s="79">
        <v>24.754793646619451</v>
      </c>
      <c r="D50" s="79">
        <v>27.573268025556903</v>
      </c>
      <c r="E50" s="79">
        <v>24.566772907847625</v>
      </c>
      <c r="F50" s="79">
        <v>24.604878605685439</v>
      </c>
      <c r="G50" s="79">
        <v>24.371792856221738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5" sqref="F15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18230626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100">
        <v>18230626</v>
      </c>
      <c r="D5" s="100" t="s">
        <v>75</v>
      </c>
      <c r="E5" s="38" t="s">
        <v>610</v>
      </c>
      <c r="F5" s="39" t="s">
        <v>611</v>
      </c>
      <c r="G5" s="39">
        <v>13</v>
      </c>
      <c r="H5" s="39"/>
      <c r="I5" s="40" t="s">
        <v>270</v>
      </c>
      <c r="J5" s="41">
        <v>6</v>
      </c>
      <c r="K5" s="41">
        <v>1225</v>
      </c>
      <c r="L5" s="41"/>
      <c r="M5" s="42">
        <v>500</v>
      </c>
      <c r="N5" s="42">
        <v>629.16999999999996</v>
      </c>
      <c r="O5" s="43">
        <v>7350</v>
      </c>
      <c r="P5" s="44">
        <v>3000</v>
      </c>
      <c r="Q5" s="44">
        <v>3775.02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0.11093044392982115</v>
      </c>
      <c r="V5" s="48">
        <f t="shared" ref="V5:V24" si="2">N5-M5</f>
        <v>129.16999999999996</v>
      </c>
      <c r="W5" s="49">
        <f t="shared" ref="W5:W24" si="3">(O5/A$10)</f>
        <v>8.533111071524704E-3</v>
      </c>
      <c r="X5" s="44">
        <f t="shared" ref="X5:X24" si="4">W5*A$8</f>
        <v>2637.6187646525723</v>
      </c>
      <c r="Y5" s="44">
        <f t="shared" ref="Y5:Y24" si="5">Q5-P5</f>
        <v>775.02</v>
      </c>
      <c r="Z5" s="44">
        <f t="shared" ref="Z5:Z24" si="6">X5+(A$6*W5)</f>
        <v>6022.458770445337</v>
      </c>
      <c r="AA5" s="50">
        <f t="shared" ref="AA5:AA24" si="7">Q5+X5</f>
        <v>6412.6387646525727</v>
      </c>
      <c r="AB5" s="51">
        <f t="shared" ref="AB5:AC20" si="8">Z5/(1+ElecDiscountRate)^1</f>
        <v>5639.0063393682931</v>
      </c>
      <c r="AC5" s="44">
        <f t="shared" si="8"/>
        <v>6004.3434125960412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0.99115143008695095</v>
      </c>
      <c r="AG5" s="44">
        <f t="shared" ref="AG5:AG24" si="10">AF5*J5*K5</f>
        <v>7284.9630111390898</v>
      </c>
      <c r="AH5" s="52">
        <f>HLOOKUP(I5,ElecAvoidedCostsWOCC!$A$5:$Q$50,T5+1,FALSE)</f>
        <v>0.99115143008695095</v>
      </c>
      <c r="AI5" s="44">
        <f t="shared" ref="AI5:AI24" si="11">AH5*J5*L5</f>
        <v>0</v>
      </c>
      <c r="AJ5" s="44">
        <f>AG5+AI5</f>
        <v>7284.9630111390898</v>
      </c>
      <c r="AK5" s="44">
        <f>HLOOKUP(I5,ElecAvoidedCostsWOCC!$A$5:$Q$50,G5+1,FALSE)*J5*L5</f>
        <v>0</v>
      </c>
      <c r="AL5" s="44">
        <f>AG5+AI5-AK5</f>
        <v>7284.9630111390898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7284.9630111390888</v>
      </c>
      <c r="AN5" s="48">
        <f>AM5*1.1+AD5+AE5</f>
        <v>8013.4593122529986</v>
      </c>
      <c r="AO5" s="47">
        <f>IFERROR(AM5/AB5,0)</f>
        <v>1.2918877143796903</v>
      </c>
      <c r="AP5" s="47">
        <f>AN5/AC5</f>
        <v>1.3346104247538857</v>
      </c>
    </row>
    <row r="6" spans="1:42" ht="13.5" customHeight="1" x14ac:dyDescent="0.35">
      <c r="A6" s="53">
        <f>SUMIF('Program Costs'!D:D,C2,'Program Costs'!L:L)</f>
        <v>396671.27</v>
      </c>
      <c r="B6" s="97" t="s">
        <v>15</v>
      </c>
      <c r="C6" s="100">
        <v>18230626</v>
      </c>
      <c r="D6" s="100" t="s">
        <v>75</v>
      </c>
      <c r="E6" s="38" t="s">
        <v>612</v>
      </c>
      <c r="F6" s="39" t="s">
        <v>611</v>
      </c>
      <c r="G6" s="39">
        <v>13</v>
      </c>
      <c r="H6" s="39"/>
      <c r="I6" s="40" t="s">
        <v>270</v>
      </c>
      <c r="J6" s="41">
        <v>21</v>
      </c>
      <c r="K6" s="41">
        <v>1336.72</v>
      </c>
      <c r="L6" s="41"/>
      <c r="M6" s="42">
        <v>500</v>
      </c>
      <c r="N6" s="42">
        <v>727.16</v>
      </c>
      <c r="O6" s="43">
        <v>28071.119999999999</v>
      </c>
      <c r="P6" s="44">
        <v>10500</v>
      </c>
      <c r="Q6" s="44">
        <v>15270.36</v>
      </c>
      <c r="R6" s="45">
        <v>2.601</v>
      </c>
      <c r="S6" s="46">
        <v>0</v>
      </c>
      <c r="T6" s="39">
        <f t="shared" si="0"/>
        <v>13</v>
      </c>
      <c r="U6" s="47">
        <f t="shared" si="1"/>
        <v>0.42366555145677287</v>
      </c>
      <c r="V6" s="48">
        <f t="shared" si="2"/>
        <v>227.15999999999997</v>
      </c>
      <c r="W6" s="49">
        <f t="shared" si="3"/>
        <v>3.2589657804367143E-2</v>
      </c>
      <c r="X6" s="44">
        <f t="shared" si="4"/>
        <v>10073.593585961102</v>
      </c>
      <c r="Y6" s="44">
        <f t="shared" si="5"/>
        <v>4770.3600000000006</v>
      </c>
      <c r="Z6" s="44">
        <f t="shared" si="6"/>
        <v>23000.974536084828</v>
      </c>
      <c r="AA6" s="50">
        <f t="shared" si="7"/>
        <v>25343.953585961102</v>
      </c>
      <c r="AB6" s="51">
        <f t="shared" si="8"/>
        <v>21536.493011315382</v>
      </c>
      <c r="AC6" s="44">
        <f t="shared" si="8"/>
        <v>23730.293619813765</v>
      </c>
      <c r="AD6" s="44">
        <f t="shared" si="9"/>
        <v>461.72346715436396</v>
      </c>
      <c r="AE6" s="44">
        <v>0</v>
      </c>
      <c r="AF6" s="52">
        <f>HLOOKUP(I6,ElecAvoidedCostsWOCC!$A$5:$Q$50,G6+1,FALSE)</f>
        <v>0.99115143008695095</v>
      </c>
      <c r="AG6" s="44">
        <f t="shared" si="10"/>
        <v>27822.730732142412</v>
      </c>
      <c r="AH6" s="52">
        <f>HLOOKUP(I6,ElecAvoidedCostsWOCC!$A$5:$Q$50,T6+1,FALSE)</f>
        <v>0.99115143008695095</v>
      </c>
      <c r="AI6" s="44">
        <f t="shared" si="11"/>
        <v>0</v>
      </c>
      <c r="AJ6" s="44">
        <f t="shared" ref="AJ6:AJ24" si="12">AG6+AI6</f>
        <v>27822.730732142412</v>
      </c>
      <c r="AK6" s="44">
        <f>HLOOKUP(I6,ElecAvoidedCostsWOCC!$A$5:$Q$50,G6+1,FALSE)*J6*L6</f>
        <v>0</v>
      </c>
      <c r="AL6" s="44">
        <f t="shared" ref="AL6:AL24" si="13">AG6+AI6-AK6</f>
        <v>27822.730732142412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27822.730732142412</v>
      </c>
      <c r="AN6" s="48">
        <f t="shared" ref="AN6:AN24" si="14">AM6*1.1+AD6+AE6</f>
        <v>31066.72727251102</v>
      </c>
      <c r="AO6" s="47">
        <f t="shared" ref="AO6:AO24" si="15">IFERROR(AM6/AB6,0)</f>
        <v>1.2918877143796907</v>
      </c>
      <c r="AP6" s="47">
        <f t="shared" ref="AP6:AP24" si="16">AN6/AC6</f>
        <v>1.309158991887553</v>
      </c>
    </row>
    <row r="7" spans="1:42" ht="13.5" customHeight="1" x14ac:dyDescent="0.35">
      <c r="A7" s="36" t="s">
        <v>240</v>
      </c>
      <c r="B7" s="97" t="s">
        <v>15</v>
      </c>
      <c r="C7" s="100">
        <v>18230626</v>
      </c>
      <c r="D7" s="100" t="s">
        <v>75</v>
      </c>
      <c r="E7" s="38" t="s">
        <v>613</v>
      </c>
      <c r="F7" s="39" t="s">
        <v>614</v>
      </c>
      <c r="G7" s="39">
        <v>13</v>
      </c>
      <c r="H7" s="39"/>
      <c r="I7" s="40" t="s">
        <v>270</v>
      </c>
      <c r="J7" s="41">
        <v>2</v>
      </c>
      <c r="K7" s="41">
        <v>1336.72</v>
      </c>
      <c r="L7" s="41"/>
      <c r="M7" s="42">
        <v>700</v>
      </c>
      <c r="N7" s="42">
        <v>727.16</v>
      </c>
      <c r="O7" s="43">
        <v>2673.44</v>
      </c>
      <c r="P7" s="44">
        <v>1400</v>
      </c>
      <c r="Q7" s="44">
        <v>1454.32</v>
      </c>
      <c r="R7" s="45">
        <v>2.4769000000000001</v>
      </c>
      <c r="S7" s="46">
        <v>0</v>
      </c>
      <c r="T7" s="39">
        <f t="shared" si="0"/>
        <v>13</v>
      </c>
      <c r="U7" s="47">
        <f t="shared" si="1"/>
        <v>4.0349100138740282E-2</v>
      </c>
      <c r="V7" s="48">
        <f t="shared" si="2"/>
        <v>27.159999999999968</v>
      </c>
      <c r="W7" s="49">
        <f t="shared" si="3"/>
        <v>3.1037769337492523E-3</v>
      </c>
      <c r="X7" s="44">
        <f t="shared" si="4"/>
        <v>959.38986532962895</v>
      </c>
      <c r="Y7" s="44">
        <f t="shared" si="5"/>
        <v>54.319999999999936</v>
      </c>
      <c r="Z7" s="44">
        <f t="shared" si="6"/>
        <v>2190.5690034366507</v>
      </c>
      <c r="AA7" s="50">
        <f t="shared" si="7"/>
        <v>2413.7098653296289</v>
      </c>
      <c r="AB7" s="51">
        <f t="shared" si="8"/>
        <v>2051.094572506227</v>
      </c>
      <c r="AC7" s="44">
        <f t="shared" si="8"/>
        <v>2260.0279637917874</v>
      </c>
      <c r="AD7" s="44">
        <f t="shared" si="9"/>
        <v>41.875573709549222</v>
      </c>
      <c r="AE7" s="44">
        <v>0</v>
      </c>
      <c r="AF7" s="52">
        <f>HLOOKUP(I7,ElecAvoidedCostsWOCC!$A$5:$Q$50,G7+1,FALSE)</f>
        <v>0.99115143008695095</v>
      </c>
      <c r="AG7" s="44">
        <f t="shared" si="10"/>
        <v>2649.7838792516582</v>
      </c>
      <c r="AH7" s="52">
        <f>HLOOKUP(I7,ElecAvoidedCostsWOCC!$A$5:$Q$50,T7+1,FALSE)</f>
        <v>0.99115143008695095</v>
      </c>
      <c r="AI7" s="44">
        <f t="shared" si="11"/>
        <v>0</v>
      </c>
      <c r="AJ7" s="44">
        <f t="shared" si="12"/>
        <v>2649.7838792516582</v>
      </c>
      <c r="AK7" s="44">
        <f>HLOOKUP(I7,ElecAvoidedCostsWOCC!$A$5:$Q$50,G7+1,FALSE)*J7*L7</f>
        <v>0</v>
      </c>
      <c r="AL7" s="44">
        <f t="shared" si="13"/>
        <v>2649.7838792516582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2649.7838792516582</v>
      </c>
      <c r="AN7" s="48">
        <f t="shared" si="14"/>
        <v>2956.6378408863734</v>
      </c>
      <c r="AO7" s="47">
        <f t="shared" si="15"/>
        <v>1.2918877143796905</v>
      </c>
      <c r="AP7" s="47">
        <f t="shared" si="16"/>
        <v>1.3082306450429229</v>
      </c>
    </row>
    <row r="8" spans="1:42" ht="13.5" customHeight="1" x14ac:dyDescent="0.35">
      <c r="A8" s="53">
        <f>SUMIF('Program Costs'!D:D,C2,'Program Costs'!O:O)</f>
        <v>309104</v>
      </c>
      <c r="B8" s="97" t="s">
        <v>15</v>
      </c>
      <c r="C8" s="100">
        <v>18230626</v>
      </c>
      <c r="D8" s="100" t="s">
        <v>75</v>
      </c>
      <c r="E8" s="38" t="s">
        <v>615</v>
      </c>
      <c r="F8" s="39" t="s">
        <v>616</v>
      </c>
      <c r="G8" s="39">
        <v>13</v>
      </c>
      <c r="H8" s="39"/>
      <c r="I8" s="40" t="s">
        <v>270</v>
      </c>
      <c r="J8" s="41">
        <v>3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13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0.99115143008695095</v>
      </c>
      <c r="AG8" s="44">
        <f t="shared" si="10"/>
        <v>0</v>
      </c>
      <c r="AH8" s="52">
        <f>HLOOKUP(I8,ElecAvoidedCostsWOCC!$A$5:$Q$50,T8+1,FALSE)</f>
        <v>0.99115143008695095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15</v>
      </c>
      <c r="C9" s="100">
        <v>18230626</v>
      </c>
      <c r="D9" s="100" t="s">
        <v>75</v>
      </c>
      <c r="E9" s="38" t="s">
        <v>617</v>
      </c>
      <c r="F9" s="39" t="s">
        <v>618</v>
      </c>
      <c r="G9" s="39">
        <v>20</v>
      </c>
      <c r="H9" s="39"/>
      <c r="I9" s="40" t="s">
        <v>270</v>
      </c>
      <c r="J9" s="41">
        <v>54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15.03</v>
      </c>
      <c r="S9" s="46">
        <v>0</v>
      </c>
      <c r="T9" s="39">
        <f t="shared" si="0"/>
        <v>20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8733.607063580037</v>
      </c>
      <c r="AE9" s="44">
        <f t="shared" ref="AE9:AE24" si="17">-PV(ElecDiscountRate,T9,S9)*J9</f>
        <v>0</v>
      </c>
      <c r="AF9" s="52">
        <f>HLOOKUP(I9,ElecAvoidedCostsWOCC!$A$5:$Q$50,G9+1,FALSE)</f>
        <v>1.3943258387928787</v>
      </c>
      <c r="AG9" s="44">
        <f t="shared" si="10"/>
        <v>0</v>
      </c>
      <c r="AH9" s="52">
        <f>HLOOKUP(I9,ElecAvoidedCostsWOCC!$A$5:$Q$50,T9+1,FALSE)</f>
        <v>1.3943258387928787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8733.607063580037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861350.55999999959</v>
      </c>
      <c r="B10" s="97" t="s">
        <v>15</v>
      </c>
      <c r="C10" s="100">
        <v>18230626</v>
      </c>
      <c r="D10" s="100" t="s">
        <v>75</v>
      </c>
      <c r="E10" s="38" t="s">
        <v>619</v>
      </c>
      <c r="F10" s="39" t="s">
        <v>620</v>
      </c>
      <c r="G10" s="39">
        <v>20</v>
      </c>
      <c r="H10" s="39"/>
      <c r="I10" s="40" t="s">
        <v>270</v>
      </c>
      <c r="J10" s="41">
        <v>12</v>
      </c>
      <c r="K10" s="41">
        <v>-22.54</v>
      </c>
      <c r="L10" s="41"/>
      <c r="M10" s="42">
        <v>0</v>
      </c>
      <c r="N10" s="42">
        <v>0</v>
      </c>
      <c r="O10" s="43">
        <v>-270.48</v>
      </c>
      <c r="P10" s="44">
        <v>0</v>
      </c>
      <c r="Q10" s="44">
        <v>0</v>
      </c>
      <c r="R10" s="45">
        <v>15.44</v>
      </c>
      <c r="S10" s="46">
        <v>0</v>
      </c>
      <c r="T10" s="39">
        <f t="shared" si="0"/>
        <v>20</v>
      </c>
      <c r="U10" s="47">
        <f t="shared" si="1"/>
        <v>-6.2803697486421822E-3</v>
      </c>
      <c r="V10" s="48">
        <f t="shared" si="2"/>
        <v>0</v>
      </c>
      <c r="W10" s="49">
        <f t="shared" si="3"/>
        <v>-3.1401848743210911E-4</v>
      </c>
      <c r="X10" s="44">
        <f t="shared" si="4"/>
        <v>-97.06437053921465</v>
      </c>
      <c r="Y10" s="44">
        <f t="shared" si="5"/>
        <v>0</v>
      </c>
      <c r="Z10" s="44">
        <f t="shared" si="6"/>
        <v>-221.62648275238843</v>
      </c>
      <c r="AA10" s="50">
        <f t="shared" si="7"/>
        <v>-97.06437053921465</v>
      </c>
      <c r="AB10" s="51">
        <f t="shared" si="8"/>
        <v>-207.5154332887532</v>
      </c>
      <c r="AC10" s="44">
        <f t="shared" si="8"/>
        <v>-90.88424207791634</v>
      </c>
      <c r="AD10" s="44">
        <f t="shared" si="9"/>
        <v>1993.7442605407814</v>
      </c>
      <c r="AE10" s="44">
        <f t="shared" si="17"/>
        <v>0</v>
      </c>
      <c r="AF10" s="52">
        <f>HLOOKUP(I10,ElecAvoidedCostsWOCC!$A$5:$Q$50,G10+1,FALSE)</f>
        <v>1.3943258387928787</v>
      </c>
      <c r="AG10" s="44">
        <f t="shared" si="10"/>
        <v>-377.1372528766978</v>
      </c>
      <c r="AH10" s="52">
        <f>HLOOKUP(I10,ElecAvoidedCostsWOCC!$A$5:$Q$50,T10+1,FALSE)</f>
        <v>1.3943258387928787</v>
      </c>
      <c r="AI10" s="44">
        <f t="shared" si="11"/>
        <v>0</v>
      </c>
      <c r="AJ10" s="44">
        <f t="shared" si="12"/>
        <v>-377.1372528766978</v>
      </c>
      <c r="AK10" s="44">
        <f>HLOOKUP(I10,ElecAvoidedCostsWOCC!$A$5:$Q$50,G10+1,FALSE)*J10*L10</f>
        <v>0</v>
      </c>
      <c r="AL10" s="44">
        <f t="shared" si="13"/>
        <v>-377.1372528766978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-377.13725287669786</v>
      </c>
      <c r="AN10" s="48">
        <f t="shared" si="14"/>
        <v>1578.8932823764137</v>
      </c>
      <c r="AO10" s="47">
        <f t="shared" si="15"/>
        <v>1.8173937566943255</v>
      </c>
      <c r="AP10" s="47">
        <f t="shared" si="16"/>
        <v>-17.372574676067675</v>
      </c>
    </row>
    <row r="11" spans="1:42" ht="13.5" customHeight="1" x14ac:dyDescent="0.35">
      <c r="A11" s="36" t="s">
        <v>243</v>
      </c>
      <c r="B11" s="97" t="s">
        <v>15</v>
      </c>
      <c r="C11" s="100">
        <v>18230626</v>
      </c>
      <c r="D11" s="100" t="s">
        <v>75</v>
      </c>
      <c r="E11" s="38" t="s">
        <v>621</v>
      </c>
      <c r="F11" s="39" t="s">
        <v>622</v>
      </c>
      <c r="G11" s="39"/>
      <c r="H11" s="39"/>
      <c r="I11" s="40" t="s">
        <v>270</v>
      </c>
      <c r="J11" s="41">
        <v>1</v>
      </c>
      <c r="K11" s="41">
        <v>0</v>
      </c>
      <c r="L11" s="41"/>
      <c r="M11" s="42">
        <v>200</v>
      </c>
      <c r="N11" s="42">
        <v>0</v>
      </c>
      <c r="O11" s="43">
        <v>0</v>
      </c>
      <c r="P11" s="44">
        <v>200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-200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str">
        <f>HLOOKUP(I11,ElecAvoidedCostsWOCC!$A$5:$Q$50,G11+1,FALSE)</f>
        <v>Res Water Heat</v>
      </c>
      <c r="AG11" s="44" t="e">
        <f t="shared" si="10"/>
        <v>#VALUE!</v>
      </c>
      <c r="AH11" s="52" t="str">
        <f>HLOOKUP(I11,ElecAvoidedCostsWOCC!$A$5:$Q$50,T11+1,FALSE)</f>
        <v>Res Water Heat</v>
      </c>
      <c r="AI11" s="44" t="e">
        <f t="shared" si="11"/>
        <v>#VALUE!</v>
      </c>
      <c r="AJ11" s="44" t="e">
        <f t="shared" si="12"/>
        <v>#VALUE!</v>
      </c>
      <c r="AK11" s="44" t="e">
        <f>HLOOKUP(I11,ElecAvoidedCostsWOCC!$A$5:$Q$50,G11+1,FALSE)*J11*L11</f>
        <v>#VALUE!</v>
      </c>
      <c r="AL11" s="44" t="e">
        <f t="shared" si="13"/>
        <v>#VALUE!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371225.94999999995</v>
      </c>
      <c r="B12" s="97" t="s">
        <v>15</v>
      </c>
      <c r="C12" s="100">
        <v>18230626</v>
      </c>
      <c r="D12" s="100" t="s">
        <v>75</v>
      </c>
      <c r="E12" s="38" t="s">
        <v>623</v>
      </c>
      <c r="F12" s="39" t="s">
        <v>624</v>
      </c>
      <c r="G12" s="39">
        <v>13</v>
      </c>
      <c r="H12" s="39"/>
      <c r="I12" s="40" t="s">
        <v>270</v>
      </c>
      <c r="J12" s="41">
        <v>149.84</v>
      </c>
      <c r="K12" s="41">
        <v>1110</v>
      </c>
      <c r="L12" s="41"/>
      <c r="M12" s="42">
        <v>500</v>
      </c>
      <c r="N12" s="42">
        <v>560.63</v>
      </c>
      <c r="O12" s="43">
        <v>166322.4</v>
      </c>
      <c r="P12" s="44">
        <v>74982.399999999994</v>
      </c>
      <c r="Q12" s="44">
        <v>84004.85</v>
      </c>
      <c r="R12" s="45">
        <v>0</v>
      </c>
      <c r="S12" s="46">
        <v>0</v>
      </c>
      <c r="T12" s="39">
        <f t="shared" si="0"/>
        <v>13</v>
      </c>
      <c r="U12" s="47">
        <f t="shared" si="1"/>
        <v>2.5102336962548684</v>
      </c>
      <c r="V12" s="48">
        <f t="shared" si="2"/>
        <v>60.629999999999995</v>
      </c>
      <c r="W12" s="49">
        <f t="shared" si="3"/>
        <v>0.19309489971191296</v>
      </c>
      <c r="X12" s="44">
        <f t="shared" si="4"/>
        <v>59686.405880551145</v>
      </c>
      <c r="Y12" s="44">
        <f t="shared" si="5"/>
        <v>9022.4500000000116</v>
      </c>
      <c r="Z12" s="44">
        <f t="shared" si="6"/>
        <v>136281.60497979831</v>
      </c>
      <c r="AA12" s="50">
        <f t="shared" si="7"/>
        <v>143691.25588055115</v>
      </c>
      <c r="AB12" s="51">
        <f t="shared" si="8"/>
        <v>127604.49904475496</v>
      </c>
      <c r="AC12" s="44">
        <f t="shared" si="8"/>
        <v>134542.37441999171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0.99115143008695095</v>
      </c>
      <c r="AG12" s="44">
        <f t="shared" si="10"/>
        <v>164850.6846154939</v>
      </c>
      <c r="AH12" s="52">
        <f>HLOOKUP(I12,ElecAvoidedCostsWOCC!$A$5:$Q$50,T12+1,FALSE)</f>
        <v>0.99115143008695095</v>
      </c>
      <c r="AI12" s="44">
        <f t="shared" si="11"/>
        <v>0</v>
      </c>
      <c r="AJ12" s="44">
        <f t="shared" si="12"/>
        <v>164850.6846154939</v>
      </c>
      <c r="AK12" s="44">
        <f>HLOOKUP(I12,ElecAvoidedCostsWOCC!$A$5:$Q$50,G12+1,FALSE)*J12*L12</f>
        <v>0</v>
      </c>
      <c r="AL12" s="44">
        <f t="shared" si="13"/>
        <v>164850.6846154939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164850.6846154939</v>
      </c>
      <c r="AN12" s="48">
        <f t="shared" si="14"/>
        <v>181335.75307704331</v>
      </c>
      <c r="AO12" s="47">
        <f t="shared" si="15"/>
        <v>1.2918877143796905</v>
      </c>
      <c r="AP12" s="47">
        <f t="shared" si="16"/>
        <v>1.3477965871999547</v>
      </c>
    </row>
    <row r="13" spans="1:42" ht="13.5" customHeight="1" x14ac:dyDescent="0.35">
      <c r="A13" s="56" t="s">
        <v>246</v>
      </c>
      <c r="B13" s="97" t="s">
        <v>15</v>
      </c>
      <c r="C13" s="100">
        <v>18230626</v>
      </c>
      <c r="D13" s="100" t="s">
        <v>75</v>
      </c>
      <c r="E13" s="38" t="s">
        <v>625</v>
      </c>
      <c r="F13" s="39" t="s">
        <v>624</v>
      </c>
      <c r="G13" s="39">
        <v>13</v>
      </c>
      <c r="H13" s="39"/>
      <c r="I13" s="40" t="s">
        <v>270</v>
      </c>
      <c r="J13" s="41">
        <v>561.67000000000098</v>
      </c>
      <c r="K13" s="41">
        <v>1203.05</v>
      </c>
      <c r="L13" s="41"/>
      <c r="M13" s="42">
        <v>500</v>
      </c>
      <c r="N13" s="42">
        <v>726.3</v>
      </c>
      <c r="O13" s="43">
        <v>675717.27</v>
      </c>
      <c r="P13" s="44">
        <v>280843.55</v>
      </c>
      <c r="Q13" s="44">
        <v>407940.45</v>
      </c>
      <c r="R13" s="45">
        <v>2.2292999999999998</v>
      </c>
      <c r="S13" s="46">
        <v>0</v>
      </c>
      <c r="T13" s="39">
        <f t="shared" si="0"/>
        <v>13</v>
      </c>
      <c r="U13" s="47">
        <f t="shared" si="1"/>
        <v>10.198315201652628</v>
      </c>
      <c r="V13" s="48">
        <f t="shared" si="2"/>
        <v>226.29999999999995</v>
      </c>
      <c r="W13" s="49">
        <f t="shared" si="3"/>
        <v>0.78448578474250985</v>
      </c>
      <c r="X13" s="44">
        <f t="shared" si="4"/>
        <v>242487.69400704876</v>
      </c>
      <c r="Y13" s="44">
        <f t="shared" si="5"/>
        <v>127096.90000000002</v>
      </c>
      <c r="Z13" s="44">
        <f t="shared" si="6"/>
        <v>553670.66653780674</v>
      </c>
      <c r="AA13" s="50">
        <f t="shared" si="7"/>
        <v>650428.1440070488</v>
      </c>
      <c r="AB13" s="51">
        <f t="shared" si="8"/>
        <v>518418.22709532466</v>
      </c>
      <c r="AC13" s="44">
        <f t="shared" si="8"/>
        <v>609015.11611146887</v>
      </c>
      <c r="AD13" s="44">
        <f t="shared" si="9"/>
        <v>10584.5413813834</v>
      </c>
      <c r="AE13" s="44">
        <f t="shared" si="17"/>
        <v>0</v>
      </c>
      <c r="AF13" s="52">
        <f>HLOOKUP(I13,ElecAvoidedCostsWOCC!$A$5:$Q$50,G13+1,FALSE)</f>
        <v>0.99115143008695095</v>
      </c>
      <c r="AG13" s="44">
        <f t="shared" si="10"/>
        <v>669737.96355672413</v>
      </c>
      <c r="AH13" s="52">
        <f>HLOOKUP(I13,ElecAvoidedCostsWOCC!$A$5:$Q$50,T13+1,FALSE)</f>
        <v>0.99115143008695095</v>
      </c>
      <c r="AI13" s="44">
        <f t="shared" si="11"/>
        <v>0</v>
      </c>
      <c r="AJ13" s="44">
        <f t="shared" si="12"/>
        <v>669737.96355672413</v>
      </c>
      <c r="AK13" s="44">
        <f>HLOOKUP(I13,ElecAvoidedCostsWOCC!$A$5:$Q$50,G13+1,FALSE)*J13*L13</f>
        <v>0</v>
      </c>
      <c r="AL13" s="44">
        <f t="shared" si="13"/>
        <v>669737.96355672413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669737.96355672413</v>
      </c>
      <c r="AN13" s="48">
        <f t="shared" si="14"/>
        <v>747296.3012937801</v>
      </c>
      <c r="AO13" s="47">
        <f t="shared" si="15"/>
        <v>1.2918873769335573</v>
      </c>
      <c r="AP13" s="47">
        <f t="shared" si="16"/>
        <v>1.2270570656197004</v>
      </c>
    </row>
    <row r="14" spans="1:42" ht="13.5" customHeight="1" x14ac:dyDescent="0.35">
      <c r="A14" s="55">
        <f>SUM(Y5:Y1000)</f>
        <v>141219.05000000005</v>
      </c>
      <c r="B14" s="97" t="s">
        <v>15</v>
      </c>
      <c r="C14" s="100">
        <v>18230626</v>
      </c>
      <c r="D14" s="100" t="s">
        <v>75</v>
      </c>
      <c r="E14" s="38" t="s">
        <v>626</v>
      </c>
      <c r="F14" s="39" t="s">
        <v>627</v>
      </c>
      <c r="G14" s="39">
        <v>13</v>
      </c>
      <c r="H14" s="39"/>
      <c r="I14" s="40" t="s">
        <v>270</v>
      </c>
      <c r="J14" s="41">
        <v>47</v>
      </c>
      <c r="K14" s="41">
        <v>3.19</v>
      </c>
      <c r="L14" s="41"/>
      <c r="M14" s="42">
        <v>0</v>
      </c>
      <c r="N14" s="42">
        <v>0</v>
      </c>
      <c r="O14" s="43">
        <v>149.93</v>
      </c>
      <c r="P14" s="44">
        <v>0</v>
      </c>
      <c r="Q14" s="44">
        <v>0</v>
      </c>
      <c r="R14" s="45">
        <v>6.8742999999999999</v>
      </c>
      <c r="S14" s="46">
        <v>0</v>
      </c>
      <c r="T14" s="39">
        <f t="shared" si="0"/>
        <v>13</v>
      </c>
      <c r="U14" s="47">
        <f t="shared" si="1"/>
        <v>2.2628301303942973E-3</v>
      </c>
      <c r="V14" s="48">
        <f t="shared" si="2"/>
        <v>0</v>
      </c>
      <c r="W14" s="49">
        <f t="shared" si="3"/>
        <v>1.7406385618417671E-4</v>
      </c>
      <c r="X14" s="44">
        <f t="shared" si="4"/>
        <v>53.803834201953762</v>
      </c>
      <c r="Y14" s="44">
        <f t="shared" si="5"/>
        <v>0</v>
      </c>
      <c r="Z14" s="44">
        <f t="shared" si="6"/>
        <v>122.84996509562849</v>
      </c>
      <c r="AA14" s="50">
        <f t="shared" si="7"/>
        <v>53.803834201953762</v>
      </c>
      <c r="AB14" s="51">
        <f t="shared" si="8"/>
        <v>115.02805720564464</v>
      </c>
      <c r="AC14" s="44">
        <f t="shared" si="8"/>
        <v>50.378121911941719</v>
      </c>
      <c r="AD14" s="44">
        <f t="shared" si="9"/>
        <v>2731.1694151001352</v>
      </c>
      <c r="AE14" s="44">
        <f t="shared" si="17"/>
        <v>0</v>
      </c>
      <c r="AF14" s="52">
        <f>HLOOKUP(I14,ElecAvoidedCostsWOCC!$A$5:$Q$50,G14+1,FALSE)</f>
        <v>0.99115143008695095</v>
      </c>
      <c r="AG14" s="44">
        <f t="shared" si="10"/>
        <v>148.60333391293656</v>
      </c>
      <c r="AH14" s="52">
        <f>HLOOKUP(I14,ElecAvoidedCostsWOCC!$A$5:$Q$50,T14+1,FALSE)</f>
        <v>0.99115143008695095</v>
      </c>
      <c r="AI14" s="44">
        <f t="shared" si="11"/>
        <v>0</v>
      </c>
      <c r="AJ14" s="44">
        <f t="shared" si="12"/>
        <v>148.60333391293656</v>
      </c>
      <c r="AK14" s="44">
        <f>HLOOKUP(I14,ElecAvoidedCostsWOCC!$A$5:$Q$50,G14+1,FALSE)*J14*L14</f>
        <v>0</v>
      </c>
      <c r="AL14" s="44">
        <f t="shared" si="13"/>
        <v>148.60333391293656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148.60333391293656</v>
      </c>
      <c r="AN14" s="48">
        <f t="shared" si="14"/>
        <v>2894.6330824043653</v>
      </c>
      <c r="AO14" s="47">
        <f t="shared" si="15"/>
        <v>1.2918877143796907</v>
      </c>
      <c r="AP14" s="47">
        <f t="shared" si="16"/>
        <v>57.458138027932641</v>
      </c>
    </row>
    <row r="15" spans="1:42" ht="13.5" customHeight="1" x14ac:dyDescent="0.35">
      <c r="A15" s="57" t="s">
        <v>249</v>
      </c>
      <c r="B15" s="97" t="s">
        <v>15</v>
      </c>
      <c r="C15" s="100">
        <v>18230626</v>
      </c>
      <c r="D15" s="100" t="s">
        <v>75</v>
      </c>
      <c r="E15" s="38" t="s">
        <v>628</v>
      </c>
      <c r="F15" s="39" t="s">
        <v>629</v>
      </c>
      <c r="G15" s="39">
        <v>20</v>
      </c>
      <c r="H15" s="39"/>
      <c r="I15" s="40" t="s">
        <v>270</v>
      </c>
      <c r="J15" s="41">
        <v>4</v>
      </c>
      <c r="K15" s="41">
        <v>-22.54</v>
      </c>
      <c r="L15" s="41"/>
      <c r="M15" s="42">
        <v>0</v>
      </c>
      <c r="N15" s="42">
        <v>0</v>
      </c>
      <c r="O15" s="43">
        <v>-90.16</v>
      </c>
      <c r="P15" s="44">
        <v>0</v>
      </c>
      <c r="Q15" s="44">
        <v>0</v>
      </c>
      <c r="R15" s="45">
        <v>15.44</v>
      </c>
      <c r="S15" s="46">
        <v>0</v>
      </c>
      <c r="T15" s="39">
        <f t="shared" si="0"/>
        <v>20</v>
      </c>
      <c r="U15" s="47">
        <f t="shared" si="1"/>
        <v>-2.0934565828807272E-3</v>
      </c>
      <c r="V15" s="48">
        <f t="shared" si="2"/>
        <v>0</v>
      </c>
      <c r="W15" s="49">
        <f t="shared" si="3"/>
        <v>-1.0467282914403636E-4</v>
      </c>
      <c r="X15" s="44">
        <f t="shared" si="4"/>
        <v>-32.354790179738217</v>
      </c>
      <c r="Y15" s="44">
        <f t="shared" si="5"/>
        <v>0</v>
      </c>
      <c r="Z15" s="44">
        <f t="shared" si="6"/>
        <v>-73.875494250796137</v>
      </c>
      <c r="AA15" s="50">
        <f t="shared" si="7"/>
        <v>-32.354790179738217</v>
      </c>
      <c r="AB15" s="51">
        <f t="shared" si="8"/>
        <v>-69.171811096251062</v>
      </c>
      <c r="AC15" s="44">
        <f t="shared" si="8"/>
        <v>-30.294747359305443</v>
      </c>
      <c r="AD15" s="44">
        <f t="shared" si="9"/>
        <v>664.58142018026047</v>
      </c>
      <c r="AE15" s="44">
        <f t="shared" si="17"/>
        <v>0</v>
      </c>
      <c r="AF15" s="52">
        <f>HLOOKUP(I15,ElecAvoidedCostsWOCC!$A$5:$Q$50,G15+1,FALSE)</f>
        <v>1.3943258387928787</v>
      </c>
      <c r="AG15" s="44">
        <f t="shared" si="10"/>
        <v>-125.71241762556595</v>
      </c>
      <c r="AH15" s="52">
        <f>HLOOKUP(I15,ElecAvoidedCostsWOCC!$A$5:$Q$50,T15+1,FALSE)</f>
        <v>1.3943258387928787</v>
      </c>
      <c r="AI15" s="44">
        <f t="shared" si="11"/>
        <v>0</v>
      </c>
      <c r="AJ15" s="44">
        <f t="shared" si="12"/>
        <v>-125.71241762556595</v>
      </c>
      <c r="AK15" s="44">
        <f>HLOOKUP(I15,ElecAvoidedCostsWOCC!$A$5:$Q$50,G15+1,FALSE)*J15*L15</f>
        <v>0</v>
      </c>
      <c r="AL15" s="44">
        <f t="shared" si="13"/>
        <v>-125.71241762556595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-125.71241762556595</v>
      </c>
      <c r="AN15" s="48">
        <f t="shared" si="14"/>
        <v>526.29776079213798</v>
      </c>
      <c r="AO15" s="47">
        <f t="shared" si="15"/>
        <v>1.8173937566943255</v>
      </c>
      <c r="AP15" s="47">
        <f t="shared" si="16"/>
        <v>-17.372574676067682</v>
      </c>
    </row>
    <row r="16" spans="1:42" ht="13.5" customHeight="1" x14ac:dyDescent="0.35">
      <c r="A16" s="54">
        <f>SUM(U5:U999)</f>
        <v>12.846130941158263</v>
      </c>
      <c r="B16" s="97" t="s">
        <v>15</v>
      </c>
      <c r="C16" s="100">
        <v>18230626</v>
      </c>
      <c r="D16" s="100" t="s">
        <v>75</v>
      </c>
      <c r="E16" s="38" t="s">
        <v>630</v>
      </c>
      <c r="F16" s="39" t="s">
        <v>631</v>
      </c>
      <c r="G16" s="39">
        <v>20</v>
      </c>
      <c r="H16" s="39"/>
      <c r="I16" s="40" t="s">
        <v>270</v>
      </c>
      <c r="J16" s="41">
        <v>824</v>
      </c>
      <c r="K16" s="41">
        <v>-22.54</v>
      </c>
      <c r="L16" s="41"/>
      <c r="M16" s="42">
        <v>0</v>
      </c>
      <c r="N16" s="42">
        <v>0</v>
      </c>
      <c r="O16" s="43">
        <v>-18572.960000000399</v>
      </c>
      <c r="P16" s="44">
        <v>0</v>
      </c>
      <c r="Q16" s="44">
        <v>0</v>
      </c>
      <c r="R16" s="45">
        <v>15.44</v>
      </c>
      <c r="S16" s="46">
        <v>0</v>
      </c>
      <c r="T16" s="39">
        <f t="shared" si="0"/>
        <v>20</v>
      </c>
      <c r="U16" s="47">
        <f t="shared" si="1"/>
        <v>-0.43125205607343908</v>
      </c>
      <c r="V16" s="48">
        <f t="shared" si="2"/>
        <v>0</v>
      </c>
      <c r="W16" s="49">
        <f t="shared" si="3"/>
        <v>-2.1562602803671956E-2</v>
      </c>
      <c r="X16" s="44">
        <f t="shared" si="4"/>
        <v>-6665.0867770262157</v>
      </c>
      <c r="Y16" s="44">
        <f t="shared" si="5"/>
        <v>0</v>
      </c>
      <c r="Z16" s="44">
        <f t="shared" si="6"/>
        <v>-15218.351815664331</v>
      </c>
      <c r="AA16" s="50">
        <f t="shared" si="7"/>
        <v>-6665.0867770262157</v>
      </c>
      <c r="AB16" s="51">
        <f t="shared" si="8"/>
        <v>-14249.393085828026</v>
      </c>
      <c r="AC16" s="44">
        <f t="shared" si="8"/>
        <v>-6240.7179560170553</v>
      </c>
      <c r="AD16" s="44">
        <f t="shared" si="9"/>
        <v>136903.77255713366</v>
      </c>
      <c r="AE16" s="44">
        <f t="shared" si="17"/>
        <v>0</v>
      </c>
      <c r="AF16" s="52">
        <f>HLOOKUP(I16,ElecAvoidedCostsWOCC!$A$5:$Q$50,G16+1,FALSE)</f>
        <v>1.3943258387928787</v>
      </c>
      <c r="AG16" s="44">
        <f t="shared" si="10"/>
        <v>-25896.758030866582</v>
      </c>
      <c r="AH16" s="52">
        <f>HLOOKUP(I16,ElecAvoidedCostsWOCC!$A$5:$Q$50,T16+1,FALSE)</f>
        <v>1.3943258387928787</v>
      </c>
      <c r="AI16" s="44">
        <f t="shared" si="11"/>
        <v>0</v>
      </c>
      <c r="AJ16" s="44">
        <f t="shared" si="12"/>
        <v>-25896.758030866582</v>
      </c>
      <c r="AK16" s="44">
        <f>HLOOKUP(I16,ElecAvoidedCostsWOCC!$A$5:$Q$50,G16+1,FALSE)*J16*L16</f>
        <v>0</v>
      </c>
      <c r="AL16" s="44">
        <f t="shared" si="13"/>
        <v>-25896.758030866582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-25896.758030866586</v>
      </c>
      <c r="AN16" s="48">
        <f t="shared" si="14"/>
        <v>108417.33872318041</v>
      </c>
      <c r="AO16" s="47">
        <f t="shared" si="15"/>
        <v>1.8173937566942864</v>
      </c>
      <c r="AP16" s="47">
        <f t="shared" si="16"/>
        <v>-17.372574676067305</v>
      </c>
    </row>
    <row r="17" spans="1:42" ht="13.5" customHeight="1" x14ac:dyDescent="0.35">
      <c r="A17" s="58" t="s">
        <v>252</v>
      </c>
      <c r="B17" s="97" t="s">
        <v>15</v>
      </c>
      <c r="C17" s="100">
        <v>18230626</v>
      </c>
      <c r="D17" s="100" t="s">
        <v>75</v>
      </c>
      <c r="E17" s="38" t="s">
        <v>632</v>
      </c>
      <c r="F17" s="39" t="s">
        <v>633</v>
      </c>
      <c r="G17" s="39"/>
      <c r="H17" s="39"/>
      <c r="I17" s="40"/>
      <c r="J17" s="41">
        <v>2</v>
      </c>
      <c r="K17" s="41">
        <v>0</v>
      </c>
      <c r="L17" s="41"/>
      <c r="M17" s="42">
        <v>150</v>
      </c>
      <c r="N17" s="42">
        <v>0</v>
      </c>
      <c r="O17" s="43">
        <v>0</v>
      </c>
      <c r="P17" s="44">
        <v>300</v>
      </c>
      <c r="Q17" s="44">
        <v>0</v>
      </c>
      <c r="R17" s="45">
        <v>0</v>
      </c>
      <c r="S17" s="46">
        <v>0</v>
      </c>
      <c r="T17" s="39">
        <f t="shared" si="0"/>
        <v>0</v>
      </c>
      <c r="U17" s="47">
        <f t="shared" si="1"/>
        <v>0</v>
      </c>
      <c r="V17" s="48">
        <f t="shared" si="2"/>
        <v>-150</v>
      </c>
      <c r="W17" s="49">
        <f t="shared" si="3"/>
        <v>0</v>
      </c>
      <c r="X17" s="44">
        <f t="shared" si="4"/>
        <v>0</v>
      </c>
      <c r="Y17" s="44">
        <f t="shared" si="5"/>
        <v>-300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705775.27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821549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1.280336146779911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1.4206473196620122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319" priority="4">
      <formula>ISTEXT(J5)</formula>
    </cfRule>
    <cfRule type="notContainsBlanks" dxfId="318" priority="5">
      <formula>LEN(TRIM(J5))&gt;0</formula>
    </cfRule>
  </conditionalFormatting>
  <conditionalFormatting sqref="M5:N24 R5:S24">
    <cfRule type="expression" dxfId="317" priority="2">
      <formula>ISTEXT(M5)</formula>
    </cfRule>
  </conditionalFormatting>
  <conditionalFormatting sqref="M5:N24 R5:S24">
    <cfRule type="notContainsBlanks" dxfId="316" priority="3">
      <formula>LEN(TRIM(M5))&gt;0</formula>
    </cfRule>
  </conditionalFormatting>
  <conditionalFormatting sqref="R5:S24">
    <cfRule type="expression" dxfId="31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D5" sqref="D5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18230434</v>
      </c>
      <c r="D2" s="20" t="s">
        <v>48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18230434</v>
      </c>
      <c r="D5" s="61" t="s">
        <v>48</v>
      </c>
      <c r="E5" s="38" t="s">
        <v>634</v>
      </c>
      <c r="F5" s="39" t="s">
        <v>635</v>
      </c>
      <c r="G5" s="39">
        <v>3</v>
      </c>
      <c r="H5" s="39"/>
      <c r="I5" s="40" t="s">
        <v>269</v>
      </c>
      <c r="J5" s="41">
        <v>118</v>
      </c>
      <c r="K5" s="41">
        <v>386</v>
      </c>
      <c r="L5" s="41"/>
      <c r="M5" s="42">
        <v>120</v>
      </c>
      <c r="N5" s="42">
        <v>120</v>
      </c>
      <c r="O5" s="43">
        <v>45548</v>
      </c>
      <c r="P5" s="44">
        <v>2950</v>
      </c>
      <c r="Q5" s="44">
        <v>14160</v>
      </c>
      <c r="R5" s="45">
        <v>35.14</v>
      </c>
      <c r="S5" s="46">
        <v>0</v>
      </c>
      <c r="T5" s="39">
        <f t="shared" ref="T5:T24" si="0">G5+H5</f>
        <v>3</v>
      </c>
      <c r="U5" s="47">
        <f t="shared" ref="U5:U24" si="1">(O5/$A$10)*T5</f>
        <v>0.24513916048036111</v>
      </c>
      <c r="V5" s="48">
        <f t="shared" ref="V5:V24" si="2">N5-M5</f>
        <v>0</v>
      </c>
      <c r="W5" s="49">
        <f t="shared" ref="W5:W24" si="3">(O5/A$10)</f>
        <v>8.1713053493453702E-2</v>
      </c>
      <c r="X5" s="44">
        <f t="shared" ref="X5:X24" si="4">W5*A$8</f>
        <v>19794.331870100144</v>
      </c>
      <c r="Y5" s="44">
        <f t="shared" ref="Y5:Y24" si="5">Q5-P5</f>
        <v>11210</v>
      </c>
      <c r="Z5" s="44">
        <f t="shared" ref="Z5:Z24" si="6">X5+(A$6*W5)</f>
        <v>44801.256272214188</v>
      </c>
      <c r="AA5" s="50">
        <f t="shared" ref="AA5:AA24" si="7">Q5+X5</f>
        <v>33954.331870100141</v>
      </c>
      <c r="AB5" s="51">
        <f t="shared" ref="AB5:AC20" si="8">Z5/(1+ElecDiscountRate)^1</f>
        <v>41948.741827915903</v>
      </c>
      <c r="AC5" s="44">
        <f t="shared" si="8"/>
        <v>31792.445571254812</v>
      </c>
      <c r="AD5" s="44">
        <f t="shared" ref="AD5:AD24" si="9">-PV(ElecDiscountRate,T5,R5)*J5</f>
        <v>10921.664565444784</v>
      </c>
      <c r="AE5" s="44">
        <v>0</v>
      </c>
      <c r="AF5" s="52">
        <f>HLOOKUP(I5,ElecAvoidedCostsWOCC!$A$5:$Q$50,G5+1,FALSE)</f>
        <v>0.2452552673596132</v>
      </c>
      <c r="AG5" s="44">
        <f t="shared" ref="AG5:AG24" si="10">AF5*J5*K5</f>
        <v>11170.886917695663</v>
      </c>
      <c r="AH5" s="52">
        <f>HLOOKUP(I5,ElecAvoidedCostsWOCC!$A$5:$Q$50,T5+1,FALSE)</f>
        <v>0.2452552673596132</v>
      </c>
      <c r="AI5" s="44">
        <f t="shared" ref="AI5:AI24" si="11">AH5*J5*L5</f>
        <v>0</v>
      </c>
      <c r="AJ5" s="44">
        <f>AG5+AI5</f>
        <v>11170.886917695663</v>
      </c>
      <c r="AK5" s="44">
        <f>HLOOKUP(I5,ElecAvoidedCostsWOCC!$A$5:$Q$50,G5+1,FALSE)*J5*L5</f>
        <v>0</v>
      </c>
      <c r="AL5" s="44">
        <f>AG5+AI5-AK5</f>
        <v>11170.886917695663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11170.886917695663</v>
      </c>
      <c r="AN5" s="48">
        <f>AM5*1.1+AD5+AE5</f>
        <v>23209.640174910015</v>
      </c>
      <c r="AO5" s="47">
        <f>IFERROR(AM5/AB5,0)</f>
        <v>0.26629849742624939</v>
      </c>
      <c r="AP5" s="47">
        <f>AN5/AC5</f>
        <v>0.73003632648804617</v>
      </c>
    </row>
    <row r="6" spans="1:42" ht="13.5" customHeight="1" x14ac:dyDescent="0.35">
      <c r="A6" s="53">
        <f>SUMIF('Program Costs'!D:D,C2,'Program Costs'!L:L)</f>
        <v>306033.40999999997</v>
      </c>
      <c r="B6" s="97" t="s">
        <v>15</v>
      </c>
      <c r="C6" s="61">
        <v>18230434</v>
      </c>
      <c r="D6" s="61" t="s">
        <v>48</v>
      </c>
      <c r="E6" s="38" t="s">
        <v>636</v>
      </c>
      <c r="F6" s="39" t="s">
        <v>637</v>
      </c>
      <c r="G6" s="39">
        <v>3</v>
      </c>
      <c r="H6" s="39"/>
      <c r="I6" s="40" t="s">
        <v>269</v>
      </c>
      <c r="J6" s="41">
        <v>51</v>
      </c>
      <c r="K6" s="41">
        <v>348</v>
      </c>
      <c r="L6" s="41"/>
      <c r="M6" s="42">
        <v>120</v>
      </c>
      <c r="N6" s="42">
        <v>120</v>
      </c>
      <c r="O6" s="43">
        <v>17748</v>
      </c>
      <c r="P6" s="44">
        <v>1275</v>
      </c>
      <c r="Q6" s="44">
        <v>6120</v>
      </c>
      <c r="R6" s="45">
        <v>37.78</v>
      </c>
      <c r="S6" s="46">
        <v>0</v>
      </c>
      <c r="T6" s="39">
        <f t="shared" si="0"/>
        <v>3</v>
      </c>
      <c r="U6" s="47">
        <f t="shared" si="1"/>
        <v>9.5519667607917996E-2</v>
      </c>
      <c r="V6" s="48">
        <f t="shared" si="2"/>
        <v>0</v>
      </c>
      <c r="W6" s="49">
        <f t="shared" si="3"/>
        <v>3.1839889202639332E-2</v>
      </c>
      <c r="X6" s="44">
        <f t="shared" si="4"/>
        <v>7712.9578034279739</v>
      </c>
      <c r="Y6" s="44">
        <f t="shared" si="5"/>
        <v>4845</v>
      </c>
      <c r="Z6" s="44">
        <f t="shared" si="6"/>
        <v>17457.02767013387</v>
      </c>
      <c r="AA6" s="50">
        <f t="shared" si="7"/>
        <v>13832.957803427973</v>
      </c>
      <c r="AB6" s="51">
        <f t="shared" si="8"/>
        <v>16345.531526342575</v>
      </c>
      <c r="AC6" s="44">
        <f t="shared" si="8"/>
        <v>12952.207681112333</v>
      </c>
      <c r="AD6" s="44">
        <f t="shared" si="9"/>
        <v>5075.0134694654062</v>
      </c>
      <c r="AE6" s="44">
        <v>0</v>
      </c>
      <c r="AF6" s="52">
        <f>HLOOKUP(I6,ElecAvoidedCostsWOCC!$A$5:$Q$50,G6+1,FALSE)</f>
        <v>0.2452552673596132</v>
      </c>
      <c r="AG6" s="44">
        <f t="shared" si="10"/>
        <v>4352.790485098415</v>
      </c>
      <c r="AH6" s="52">
        <f>HLOOKUP(I6,ElecAvoidedCostsWOCC!$A$5:$Q$50,T6+1,FALSE)</f>
        <v>0.2452552673596132</v>
      </c>
      <c r="AI6" s="44">
        <f t="shared" si="11"/>
        <v>0</v>
      </c>
      <c r="AJ6" s="44">
        <f t="shared" ref="AJ6:AJ24" si="12">AG6+AI6</f>
        <v>4352.790485098415</v>
      </c>
      <c r="AK6" s="44">
        <f>HLOOKUP(I6,ElecAvoidedCostsWOCC!$A$5:$Q$50,G6+1,FALSE)*J6*L6</f>
        <v>0</v>
      </c>
      <c r="AL6" s="44">
        <f t="shared" ref="AL6:AL24" si="13">AG6+AI6-AK6</f>
        <v>4352.790485098415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4352.790485098415</v>
      </c>
      <c r="AN6" s="48">
        <f t="shared" ref="AN6:AN24" si="14">AM6*1.1+AD6+AE6</f>
        <v>9863.0830030736633</v>
      </c>
      <c r="AO6" s="47">
        <f t="shared" ref="AO6:AO24" si="15">IFERROR(AM6/AB6,0)</f>
        <v>0.26629849742624934</v>
      </c>
      <c r="AP6" s="47">
        <f t="shared" ref="AP6:AP24" si="16">AN6/AC6</f>
        <v>0.76149821296153142</v>
      </c>
    </row>
    <row r="7" spans="1:42" ht="13.5" customHeight="1" x14ac:dyDescent="0.35">
      <c r="A7" s="36" t="s">
        <v>240</v>
      </c>
      <c r="B7" s="97" t="s">
        <v>15</v>
      </c>
      <c r="C7" s="61">
        <v>18230434</v>
      </c>
      <c r="D7" s="61" t="s">
        <v>48</v>
      </c>
      <c r="E7" s="38" t="s">
        <v>638</v>
      </c>
      <c r="F7" s="39" t="s">
        <v>639</v>
      </c>
      <c r="G7" s="39">
        <v>14</v>
      </c>
      <c r="H7" s="39"/>
      <c r="I7" s="40" t="s">
        <v>270</v>
      </c>
      <c r="J7" s="41">
        <v>1</v>
      </c>
      <c r="K7" s="41">
        <v>142</v>
      </c>
      <c r="L7" s="41"/>
      <c r="M7" s="42">
        <v>50</v>
      </c>
      <c r="N7" s="42">
        <v>65.56</v>
      </c>
      <c r="O7" s="43">
        <v>142</v>
      </c>
      <c r="P7" s="44">
        <v>50</v>
      </c>
      <c r="Q7" s="44">
        <v>65.56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3.5664694464078764E-3</v>
      </c>
      <c r="V7" s="48">
        <f t="shared" si="2"/>
        <v>15.560000000000002</v>
      </c>
      <c r="W7" s="49">
        <f t="shared" si="3"/>
        <v>2.547478176005626E-4</v>
      </c>
      <c r="X7" s="44">
        <f t="shared" si="4"/>
        <v>61.710615736239141</v>
      </c>
      <c r="Y7" s="44">
        <f t="shared" si="5"/>
        <v>15.560000000000002</v>
      </c>
      <c r="Z7" s="44">
        <f t="shared" si="6"/>
        <v>139.67195904659732</v>
      </c>
      <c r="AA7" s="50">
        <f t="shared" si="7"/>
        <v>127.27061573623914</v>
      </c>
      <c r="AB7" s="51">
        <f t="shared" si="8"/>
        <v>130.77898787134581</v>
      </c>
      <c r="AC7" s="44">
        <f t="shared" si="8"/>
        <v>119.16724319872577</v>
      </c>
      <c r="AD7" s="44">
        <f t="shared" si="9"/>
        <v>151.00372299313631</v>
      </c>
      <c r="AE7" s="44">
        <v>0</v>
      </c>
      <c r="AF7" s="52">
        <f>HLOOKUP(I7,ElecAvoidedCostsWOCC!$A$5:$Q$50,G7+1,FALSE)</f>
        <v>1.0522743376306887</v>
      </c>
      <c r="AG7" s="44">
        <f t="shared" si="10"/>
        <v>149.42295594355778</v>
      </c>
      <c r="AH7" s="52">
        <f>HLOOKUP(I7,ElecAvoidedCostsWOCC!$A$5:$Q$50,T7+1,FALSE)</f>
        <v>1.0522743376306887</v>
      </c>
      <c r="AI7" s="44">
        <f t="shared" si="11"/>
        <v>0</v>
      </c>
      <c r="AJ7" s="44">
        <f t="shared" si="12"/>
        <v>149.42295594355778</v>
      </c>
      <c r="AK7" s="44">
        <f>HLOOKUP(I7,ElecAvoidedCostsWOCC!$A$5:$Q$50,G7+1,FALSE)*J7*L7</f>
        <v>0</v>
      </c>
      <c r="AL7" s="44">
        <f t="shared" si="13"/>
        <v>149.42295594355778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149.42295594355778</v>
      </c>
      <c r="AN7" s="48">
        <f t="shared" si="14"/>
        <v>315.36897453104984</v>
      </c>
      <c r="AO7" s="47">
        <f t="shared" si="15"/>
        <v>1.1425608836379206</v>
      </c>
      <c r="AP7" s="47">
        <f t="shared" si="16"/>
        <v>2.6464401295676026</v>
      </c>
    </row>
    <row r="8" spans="1:42" ht="13.5" customHeight="1" x14ac:dyDescent="0.35">
      <c r="A8" s="53">
        <f>SUMIF('Program Costs'!D:D,C2,'Program Costs'!O:O)</f>
        <v>242241.98000000004</v>
      </c>
      <c r="B8" s="97" t="s">
        <v>15</v>
      </c>
      <c r="C8" s="61">
        <v>18230434</v>
      </c>
      <c r="D8" s="61" t="s">
        <v>48</v>
      </c>
      <c r="E8" s="38" t="s">
        <v>640</v>
      </c>
      <c r="F8" s="39" t="s">
        <v>641</v>
      </c>
      <c r="G8" s="39">
        <v>12</v>
      </c>
      <c r="H8" s="39"/>
      <c r="I8" s="40" t="s">
        <v>268</v>
      </c>
      <c r="J8" s="41">
        <v>1</v>
      </c>
      <c r="K8" s="41">
        <v>192</v>
      </c>
      <c r="L8" s="41"/>
      <c r="M8" s="42">
        <v>100</v>
      </c>
      <c r="N8" s="42">
        <v>386.45</v>
      </c>
      <c r="O8" s="43">
        <v>192</v>
      </c>
      <c r="P8" s="44">
        <v>100</v>
      </c>
      <c r="Q8" s="44">
        <v>386.45</v>
      </c>
      <c r="R8" s="45">
        <v>-0.24</v>
      </c>
      <c r="S8" s="46">
        <v>0</v>
      </c>
      <c r="T8" s="39">
        <f t="shared" si="0"/>
        <v>12</v>
      </c>
      <c r="U8" s="47">
        <f t="shared" si="1"/>
        <v>4.1333730405049025E-3</v>
      </c>
      <c r="V8" s="48">
        <f t="shared" si="2"/>
        <v>286.45</v>
      </c>
      <c r="W8" s="49">
        <f t="shared" si="3"/>
        <v>3.4444775337540856E-4</v>
      </c>
      <c r="X8" s="44">
        <f t="shared" si="4"/>
        <v>83.439705784210659</v>
      </c>
      <c r="Y8" s="44">
        <f t="shared" si="5"/>
        <v>286.45</v>
      </c>
      <c r="Z8" s="44">
        <f t="shared" si="6"/>
        <v>188.85222631652596</v>
      </c>
      <c r="AA8" s="50">
        <f t="shared" si="7"/>
        <v>469.88970578421066</v>
      </c>
      <c r="AB8" s="51">
        <f t="shared" si="8"/>
        <v>176.82792726266476</v>
      </c>
      <c r="AC8" s="44">
        <f t="shared" si="8"/>
        <v>439.97163462941069</v>
      </c>
      <c r="AD8" s="44">
        <f t="shared" si="9"/>
        <v>-1.9267299958075934</v>
      </c>
      <c r="AE8" s="44">
        <v>0</v>
      </c>
      <c r="AF8" s="52">
        <f>HLOOKUP(I8,ElecAvoidedCostsWOCC!$A$5:$Q$50,G8+1,FALSE)</f>
        <v>0.91874294880734242</v>
      </c>
      <c r="AG8" s="44">
        <f t="shared" si="10"/>
        <v>176.39864617100974</v>
      </c>
      <c r="AH8" s="52">
        <f>HLOOKUP(I8,ElecAvoidedCostsWOCC!$A$5:$Q$50,T8+1,FALSE)</f>
        <v>0.91874294880734242</v>
      </c>
      <c r="AI8" s="44">
        <f t="shared" si="11"/>
        <v>0</v>
      </c>
      <c r="AJ8" s="44">
        <f t="shared" si="12"/>
        <v>176.39864617100974</v>
      </c>
      <c r="AK8" s="44">
        <f>HLOOKUP(I8,ElecAvoidedCostsWOCC!$A$5:$Q$50,G8+1,FALSE)*J8*L8</f>
        <v>0</v>
      </c>
      <c r="AL8" s="44">
        <f t="shared" si="13"/>
        <v>176.39864617100974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176.39864617100974</v>
      </c>
      <c r="AN8" s="48">
        <f t="shared" si="14"/>
        <v>192.11178079230314</v>
      </c>
      <c r="AO8" s="47">
        <f t="shared" si="15"/>
        <v>0.99757232300179965</v>
      </c>
      <c r="AP8" s="47">
        <f t="shared" si="16"/>
        <v>0.43664583275719449</v>
      </c>
    </row>
    <row r="9" spans="1:42" ht="13.5" customHeight="1" x14ac:dyDescent="0.35">
      <c r="A9" s="36" t="s">
        <v>242</v>
      </c>
      <c r="B9" s="97" t="s">
        <v>15</v>
      </c>
      <c r="C9" s="61">
        <v>18230434</v>
      </c>
      <c r="D9" s="61" t="s">
        <v>48</v>
      </c>
      <c r="E9" s="38" t="s">
        <v>642</v>
      </c>
      <c r="F9" s="39" t="s">
        <v>643</v>
      </c>
      <c r="G9" s="39">
        <v>12</v>
      </c>
      <c r="H9" s="39"/>
      <c r="I9" s="40" t="s">
        <v>268</v>
      </c>
      <c r="J9" s="41">
        <v>16</v>
      </c>
      <c r="K9" s="41">
        <v>238</v>
      </c>
      <c r="L9" s="41"/>
      <c r="M9" s="42">
        <v>100</v>
      </c>
      <c r="N9" s="42">
        <v>386.45</v>
      </c>
      <c r="O9" s="43">
        <v>3808</v>
      </c>
      <c r="P9" s="44">
        <v>1600</v>
      </c>
      <c r="Q9" s="44">
        <v>6183.2</v>
      </c>
      <c r="R9" s="45">
        <v>3.91</v>
      </c>
      <c r="S9" s="46">
        <v>0</v>
      </c>
      <c r="T9" s="39">
        <f t="shared" si="0"/>
        <v>12</v>
      </c>
      <c r="U9" s="47">
        <f t="shared" si="1"/>
        <v>8.1978565303347239E-2</v>
      </c>
      <c r="V9" s="48">
        <f t="shared" si="2"/>
        <v>286.45</v>
      </c>
      <c r="W9" s="49">
        <f t="shared" si="3"/>
        <v>6.8315471086122705E-3</v>
      </c>
      <c r="X9" s="44">
        <f t="shared" si="4"/>
        <v>1654.8874980535118</v>
      </c>
      <c r="Y9" s="44">
        <f t="shared" si="5"/>
        <v>4583.2</v>
      </c>
      <c r="Z9" s="44">
        <f t="shared" si="6"/>
        <v>3745.5691552777653</v>
      </c>
      <c r="AA9" s="50">
        <f t="shared" si="7"/>
        <v>7838.0874980535118</v>
      </c>
      <c r="AB9" s="51">
        <f t="shared" si="8"/>
        <v>3507.0872240428512</v>
      </c>
      <c r="AC9" s="44">
        <f t="shared" si="8"/>
        <v>7339.0332378778194</v>
      </c>
      <c r="AD9" s="44">
        <f t="shared" si="9"/>
        <v>502.23428557384608</v>
      </c>
      <c r="AE9" s="44">
        <f t="shared" ref="AE9:AE24" si="17">-PV(ElecDiscountRate,T9,S9)*J9</f>
        <v>0</v>
      </c>
      <c r="AF9" s="52">
        <f>HLOOKUP(I9,ElecAvoidedCostsWOCC!$A$5:$Q$50,G9+1,FALSE)</f>
        <v>0.91874294880734242</v>
      </c>
      <c r="AG9" s="44">
        <f t="shared" si="10"/>
        <v>3498.5731490583598</v>
      </c>
      <c r="AH9" s="52">
        <f>HLOOKUP(I9,ElecAvoidedCostsWOCC!$A$5:$Q$50,T9+1,FALSE)</f>
        <v>0.91874294880734242</v>
      </c>
      <c r="AI9" s="44">
        <f t="shared" si="11"/>
        <v>0</v>
      </c>
      <c r="AJ9" s="44">
        <f t="shared" si="12"/>
        <v>3498.5731490583598</v>
      </c>
      <c r="AK9" s="44">
        <f>HLOOKUP(I9,ElecAvoidedCostsWOCC!$A$5:$Q$50,G9+1,FALSE)*J9*L9</f>
        <v>0</v>
      </c>
      <c r="AL9" s="44">
        <f t="shared" si="13"/>
        <v>3498.5731490583598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3498.5731490583598</v>
      </c>
      <c r="AN9" s="48">
        <f t="shared" si="14"/>
        <v>4350.6647495380421</v>
      </c>
      <c r="AO9" s="47">
        <f t="shared" si="15"/>
        <v>0.99757232300179954</v>
      </c>
      <c r="AP9" s="47">
        <f t="shared" si="16"/>
        <v>0.5928116971978854</v>
      </c>
    </row>
    <row r="10" spans="1:42" ht="13.5" customHeight="1" x14ac:dyDescent="0.35">
      <c r="A10" s="54">
        <f>SUM(O5:O999)</f>
        <v>557414</v>
      </c>
      <c r="B10" s="97" t="s">
        <v>15</v>
      </c>
      <c r="C10" s="61">
        <v>18230434</v>
      </c>
      <c r="D10" s="61" t="s">
        <v>48</v>
      </c>
      <c r="E10" s="38" t="s">
        <v>644</v>
      </c>
      <c r="F10" s="39" t="s">
        <v>645</v>
      </c>
      <c r="G10" s="39">
        <v>12</v>
      </c>
      <c r="H10" s="39"/>
      <c r="I10" s="40" t="s">
        <v>268</v>
      </c>
      <c r="J10" s="41">
        <v>2</v>
      </c>
      <c r="K10" s="41">
        <v>68</v>
      </c>
      <c r="L10" s="41"/>
      <c r="M10" s="42">
        <v>25</v>
      </c>
      <c r="N10" s="42">
        <v>20.440000000000001</v>
      </c>
      <c r="O10" s="43">
        <v>136</v>
      </c>
      <c r="P10" s="44">
        <v>50</v>
      </c>
      <c r="Q10" s="44">
        <v>40.880000000000003</v>
      </c>
      <c r="R10" s="45">
        <v>-0.08</v>
      </c>
      <c r="S10" s="46">
        <v>0</v>
      </c>
      <c r="T10" s="39">
        <f t="shared" si="0"/>
        <v>12</v>
      </c>
      <c r="U10" s="47">
        <f t="shared" si="1"/>
        <v>2.9278059036909731E-3</v>
      </c>
      <c r="V10" s="48">
        <f t="shared" si="2"/>
        <v>-4.5599999999999987</v>
      </c>
      <c r="W10" s="49">
        <f t="shared" si="3"/>
        <v>2.4398382530758109E-4</v>
      </c>
      <c r="X10" s="44">
        <f t="shared" si="4"/>
        <v>59.103124930482565</v>
      </c>
      <c r="Y10" s="44">
        <f t="shared" si="5"/>
        <v>-9.1199999999999974</v>
      </c>
      <c r="Z10" s="44">
        <f t="shared" si="6"/>
        <v>133.77032697420589</v>
      </c>
      <c r="AA10" s="50">
        <f t="shared" si="7"/>
        <v>99.983124930482575</v>
      </c>
      <c r="AB10" s="51">
        <f t="shared" si="8"/>
        <v>125.25311514438752</v>
      </c>
      <c r="AC10" s="44">
        <f t="shared" si="8"/>
        <v>93.617158174609145</v>
      </c>
      <c r="AD10" s="44">
        <f t="shared" si="9"/>
        <v>-1.2844866638717292</v>
      </c>
      <c r="AE10" s="44">
        <f t="shared" si="17"/>
        <v>0</v>
      </c>
      <c r="AF10" s="52">
        <f>HLOOKUP(I10,ElecAvoidedCostsWOCC!$A$5:$Q$50,G10+1,FALSE)</f>
        <v>0.91874294880734242</v>
      </c>
      <c r="AG10" s="44">
        <f t="shared" si="10"/>
        <v>124.94904103779857</v>
      </c>
      <c r="AH10" s="52">
        <f>HLOOKUP(I10,ElecAvoidedCostsWOCC!$A$5:$Q$50,T10+1,FALSE)</f>
        <v>0.91874294880734242</v>
      </c>
      <c r="AI10" s="44">
        <f t="shared" si="11"/>
        <v>0</v>
      </c>
      <c r="AJ10" s="44">
        <f t="shared" si="12"/>
        <v>124.94904103779857</v>
      </c>
      <c r="AK10" s="44">
        <f>HLOOKUP(I10,ElecAvoidedCostsWOCC!$A$5:$Q$50,G10+1,FALSE)*J10*L10</f>
        <v>0</v>
      </c>
      <c r="AL10" s="44">
        <f t="shared" si="13"/>
        <v>124.94904103779857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124.94904103779857</v>
      </c>
      <c r="AN10" s="48">
        <f t="shared" si="14"/>
        <v>136.15945847770672</v>
      </c>
      <c r="AO10" s="47">
        <f t="shared" si="15"/>
        <v>0.99757232300179977</v>
      </c>
      <c r="AP10" s="47">
        <f t="shared" si="16"/>
        <v>1.4544284523543238</v>
      </c>
    </row>
    <row r="11" spans="1:42" ht="13.5" customHeight="1" x14ac:dyDescent="0.35">
      <c r="A11" s="36" t="s">
        <v>243</v>
      </c>
      <c r="B11" s="97" t="s">
        <v>15</v>
      </c>
      <c r="C11" s="61">
        <v>18230434</v>
      </c>
      <c r="D11" s="61" t="s">
        <v>48</v>
      </c>
      <c r="E11" s="38" t="s">
        <v>646</v>
      </c>
      <c r="F11" s="39" t="s">
        <v>645</v>
      </c>
      <c r="G11" s="39">
        <v>12</v>
      </c>
      <c r="H11" s="39"/>
      <c r="I11" s="40" t="s">
        <v>268</v>
      </c>
      <c r="J11" s="41">
        <v>773</v>
      </c>
      <c r="K11" s="41">
        <v>68</v>
      </c>
      <c r="L11" s="41"/>
      <c r="M11" s="42">
        <v>50</v>
      </c>
      <c r="N11" s="42">
        <v>100</v>
      </c>
      <c r="O11" s="43">
        <v>52564</v>
      </c>
      <c r="P11" s="44">
        <v>38650</v>
      </c>
      <c r="Q11" s="44">
        <v>77300</v>
      </c>
      <c r="R11" s="45">
        <v>-0.08</v>
      </c>
      <c r="S11" s="46">
        <v>0</v>
      </c>
      <c r="T11" s="39">
        <f t="shared" si="0"/>
        <v>12</v>
      </c>
      <c r="U11" s="47">
        <f t="shared" si="1"/>
        <v>1.131596981776561</v>
      </c>
      <c r="V11" s="48">
        <f t="shared" si="2"/>
        <v>50</v>
      </c>
      <c r="W11" s="49">
        <f t="shared" si="3"/>
        <v>9.4299748481380091E-2</v>
      </c>
      <c r="X11" s="44">
        <f t="shared" si="4"/>
        <v>22843.35778563151</v>
      </c>
      <c r="Y11" s="44">
        <f t="shared" si="5"/>
        <v>38650</v>
      </c>
      <c r="Z11" s="44">
        <f t="shared" si="6"/>
        <v>51702.23137553058</v>
      </c>
      <c r="AA11" s="50">
        <f t="shared" si="7"/>
        <v>100143.35778563151</v>
      </c>
      <c r="AB11" s="51">
        <f t="shared" si="8"/>
        <v>48410.329003305786</v>
      </c>
      <c r="AC11" s="44">
        <f t="shared" si="8"/>
        <v>93767.188937857209</v>
      </c>
      <c r="AD11" s="44">
        <f t="shared" si="9"/>
        <v>-496.45409558642331</v>
      </c>
      <c r="AE11" s="44">
        <f t="shared" si="17"/>
        <v>0</v>
      </c>
      <c r="AF11" s="52">
        <f>HLOOKUP(I11,ElecAvoidedCostsWOCC!$A$5:$Q$50,G11+1,FALSE)</f>
        <v>0.91874294880734242</v>
      </c>
      <c r="AG11" s="44">
        <f t="shared" si="10"/>
        <v>48292.804361109142</v>
      </c>
      <c r="AH11" s="52">
        <f>HLOOKUP(I11,ElecAvoidedCostsWOCC!$A$5:$Q$50,T11+1,FALSE)</f>
        <v>0.91874294880734242</v>
      </c>
      <c r="AI11" s="44">
        <f t="shared" si="11"/>
        <v>0</v>
      </c>
      <c r="AJ11" s="44">
        <f t="shared" si="12"/>
        <v>48292.804361109142</v>
      </c>
      <c r="AK11" s="44">
        <f>HLOOKUP(I11,ElecAvoidedCostsWOCC!$A$5:$Q$50,G11+1,FALSE)*J11*L11</f>
        <v>0</v>
      </c>
      <c r="AL11" s="44">
        <f t="shared" si="13"/>
        <v>48292.804361109142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48292.804361109149</v>
      </c>
      <c r="AN11" s="48">
        <f t="shared" si="14"/>
        <v>52625.630701633643</v>
      </c>
      <c r="AO11" s="47">
        <f t="shared" si="15"/>
        <v>0.99757232300179965</v>
      </c>
      <c r="AP11" s="47">
        <f t="shared" si="16"/>
        <v>0.56123715873055002</v>
      </c>
    </row>
    <row r="12" spans="1:42" ht="13.5" customHeight="1" x14ac:dyDescent="0.35">
      <c r="A12" s="55">
        <f>SUM(P5:P1000)</f>
        <v>271625</v>
      </c>
      <c r="B12" s="97" t="s">
        <v>15</v>
      </c>
      <c r="C12" s="61">
        <v>18230434</v>
      </c>
      <c r="D12" s="61" t="s">
        <v>48</v>
      </c>
      <c r="E12" s="38" t="s">
        <v>647</v>
      </c>
      <c r="F12" s="39" t="s">
        <v>648</v>
      </c>
      <c r="G12" s="39">
        <v>12</v>
      </c>
      <c r="H12" s="39"/>
      <c r="I12" s="40" t="s">
        <v>268</v>
      </c>
      <c r="J12" s="41">
        <v>12</v>
      </c>
      <c r="K12" s="41">
        <v>118</v>
      </c>
      <c r="L12" s="41"/>
      <c r="M12" s="42">
        <v>50</v>
      </c>
      <c r="N12" s="42">
        <v>184.88</v>
      </c>
      <c r="O12" s="43">
        <v>1416</v>
      </c>
      <c r="P12" s="44">
        <v>600</v>
      </c>
      <c r="Q12" s="44">
        <v>2218.56</v>
      </c>
      <c r="R12" s="45">
        <v>4.46</v>
      </c>
      <c r="S12" s="46">
        <v>0</v>
      </c>
      <c r="T12" s="39">
        <f t="shared" si="0"/>
        <v>12</v>
      </c>
      <c r="U12" s="47">
        <f t="shared" si="1"/>
        <v>3.048362617372366E-2</v>
      </c>
      <c r="V12" s="48">
        <f t="shared" si="2"/>
        <v>134.88</v>
      </c>
      <c r="W12" s="49">
        <f t="shared" si="3"/>
        <v>2.5403021811436382E-3</v>
      </c>
      <c r="X12" s="44">
        <f t="shared" si="4"/>
        <v>615.36783015855372</v>
      </c>
      <c r="Y12" s="44">
        <f t="shared" si="5"/>
        <v>1618.56</v>
      </c>
      <c r="Z12" s="44">
        <f t="shared" si="6"/>
        <v>1392.785169084379</v>
      </c>
      <c r="AA12" s="50">
        <f t="shared" si="7"/>
        <v>2833.9278301585537</v>
      </c>
      <c r="AB12" s="51">
        <f t="shared" si="8"/>
        <v>1304.1059635621525</v>
      </c>
      <c r="AC12" s="44">
        <f t="shared" si="8"/>
        <v>2653.4904776765484</v>
      </c>
      <c r="AD12" s="44">
        <f t="shared" si="9"/>
        <v>429.66078906509341</v>
      </c>
      <c r="AE12" s="44">
        <f t="shared" si="17"/>
        <v>0</v>
      </c>
      <c r="AF12" s="52">
        <f>HLOOKUP(I12,ElecAvoidedCostsWOCC!$A$5:$Q$50,G12+1,FALSE)</f>
        <v>0.91874294880734242</v>
      </c>
      <c r="AG12" s="44">
        <f t="shared" si="10"/>
        <v>1300.9400155111969</v>
      </c>
      <c r="AH12" s="52">
        <f>HLOOKUP(I12,ElecAvoidedCostsWOCC!$A$5:$Q$50,T12+1,FALSE)</f>
        <v>0.91874294880734242</v>
      </c>
      <c r="AI12" s="44">
        <f t="shared" si="11"/>
        <v>0</v>
      </c>
      <c r="AJ12" s="44">
        <f t="shared" si="12"/>
        <v>1300.9400155111969</v>
      </c>
      <c r="AK12" s="44">
        <f>HLOOKUP(I12,ElecAvoidedCostsWOCC!$A$5:$Q$50,G12+1,FALSE)*J12*L12</f>
        <v>0</v>
      </c>
      <c r="AL12" s="44">
        <f t="shared" si="13"/>
        <v>1300.9400155111969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1300.9400155111969</v>
      </c>
      <c r="AN12" s="48">
        <f t="shared" si="14"/>
        <v>1860.6948061274102</v>
      </c>
      <c r="AO12" s="47">
        <f t="shared" si="15"/>
        <v>0.99757232300179977</v>
      </c>
      <c r="AP12" s="47">
        <f t="shared" si="16"/>
        <v>0.70122535648089956</v>
      </c>
    </row>
    <row r="13" spans="1:42" ht="13.5" customHeight="1" x14ac:dyDescent="0.35">
      <c r="A13" s="56" t="s">
        <v>246</v>
      </c>
      <c r="B13" s="97" t="s">
        <v>15</v>
      </c>
      <c r="C13" s="61">
        <v>18230434</v>
      </c>
      <c r="D13" s="61" t="s">
        <v>48</v>
      </c>
      <c r="E13" s="38" t="s">
        <v>649</v>
      </c>
      <c r="F13" s="39" t="s">
        <v>650</v>
      </c>
      <c r="G13" s="39">
        <v>14</v>
      </c>
      <c r="H13" s="39"/>
      <c r="I13" s="40" t="s">
        <v>270</v>
      </c>
      <c r="J13" s="41">
        <v>109</v>
      </c>
      <c r="K13" s="41">
        <v>26</v>
      </c>
      <c r="L13" s="41"/>
      <c r="M13" s="42">
        <v>25</v>
      </c>
      <c r="N13" s="42">
        <v>0.01</v>
      </c>
      <c r="O13" s="43">
        <v>2834</v>
      </c>
      <c r="P13" s="44">
        <v>2725</v>
      </c>
      <c r="Q13" s="44">
        <v>1.0900000000000001</v>
      </c>
      <c r="R13" s="45">
        <v>7.49</v>
      </c>
      <c r="S13" s="46">
        <v>0</v>
      </c>
      <c r="T13" s="39">
        <f t="shared" si="0"/>
        <v>14</v>
      </c>
      <c r="U13" s="47">
        <f t="shared" si="1"/>
        <v>7.1178693036055785E-2</v>
      </c>
      <c r="V13" s="48">
        <f t="shared" si="2"/>
        <v>-24.99</v>
      </c>
      <c r="W13" s="49">
        <f t="shared" si="3"/>
        <v>5.0841923597182703E-3</v>
      </c>
      <c r="X13" s="44">
        <f t="shared" si="4"/>
        <v>1231.6048239190263</v>
      </c>
      <c r="Y13" s="44">
        <f t="shared" si="5"/>
        <v>-2723.91</v>
      </c>
      <c r="Z13" s="44">
        <f t="shared" si="6"/>
        <v>2787.537548859555</v>
      </c>
      <c r="AA13" s="50">
        <f t="shared" si="7"/>
        <v>1232.6948239190262</v>
      </c>
      <c r="AB13" s="51">
        <f t="shared" si="8"/>
        <v>2610.053884699958</v>
      </c>
      <c r="AC13" s="44">
        <f t="shared" si="8"/>
        <v>1154.2086366283017</v>
      </c>
      <c r="AD13" s="44">
        <f t="shared" si="9"/>
        <v>7226.3159137647372</v>
      </c>
      <c r="AE13" s="44">
        <f t="shared" si="17"/>
        <v>0</v>
      </c>
      <c r="AF13" s="52">
        <f>HLOOKUP(I13,ElecAvoidedCostsWOCC!$A$5:$Q$50,G13+1,FALSE)</f>
        <v>1.0522743376306887</v>
      </c>
      <c r="AG13" s="44">
        <f t="shared" si="10"/>
        <v>2982.1454728453714</v>
      </c>
      <c r="AH13" s="52">
        <f>HLOOKUP(I13,ElecAvoidedCostsWOCC!$A$5:$Q$50,T13+1,FALSE)</f>
        <v>1.0522743376306887</v>
      </c>
      <c r="AI13" s="44">
        <f t="shared" si="11"/>
        <v>0</v>
      </c>
      <c r="AJ13" s="44">
        <f t="shared" si="12"/>
        <v>2982.1454728453714</v>
      </c>
      <c r="AK13" s="44">
        <f>HLOOKUP(I13,ElecAvoidedCostsWOCC!$A$5:$Q$50,G13+1,FALSE)*J13*L13</f>
        <v>0</v>
      </c>
      <c r="AL13" s="44">
        <f t="shared" si="13"/>
        <v>2982.1454728453714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2982.1454728453718</v>
      </c>
      <c r="AN13" s="48">
        <f t="shared" si="14"/>
        <v>10506.675933894647</v>
      </c>
      <c r="AO13" s="47">
        <f t="shared" si="15"/>
        <v>1.1425608836379209</v>
      </c>
      <c r="AP13" s="47">
        <f t="shared" si="16"/>
        <v>9.102926109257826</v>
      </c>
    </row>
    <row r="14" spans="1:42" ht="13.5" customHeight="1" x14ac:dyDescent="0.35">
      <c r="A14" s="55">
        <f>SUM(Y5:Y1000)</f>
        <v>203024.58999999997</v>
      </c>
      <c r="B14" s="97" t="s">
        <v>15</v>
      </c>
      <c r="C14" s="61">
        <v>18230434</v>
      </c>
      <c r="D14" s="61" t="s">
        <v>48</v>
      </c>
      <c r="E14" s="38" t="s">
        <v>651</v>
      </c>
      <c r="F14" s="39" t="s">
        <v>652</v>
      </c>
      <c r="G14" s="39">
        <v>14</v>
      </c>
      <c r="H14" s="39"/>
      <c r="I14" s="40" t="s">
        <v>270</v>
      </c>
      <c r="J14" s="41">
        <v>85</v>
      </c>
      <c r="K14" s="41">
        <v>26</v>
      </c>
      <c r="L14" s="41"/>
      <c r="M14" s="42">
        <v>25</v>
      </c>
      <c r="N14" s="42">
        <v>0.01</v>
      </c>
      <c r="O14" s="43">
        <v>2210</v>
      </c>
      <c r="P14" s="44">
        <v>2125</v>
      </c>
      <c r="Q14" s="44">
        <v>0.85</v>
      </c>
      <c r="R14" s="45">
        <v>7.49</v>
      </c>
      <c r="S14" s="46">
        <v>0</v>
      </c>
      <c r="T14" s="39">
        <f t="shared" si="0"/>
        <v>14</v>
      </c>
      <c r="U14" s="47">
        <f t="shared" si="1"/>
        <v>5.5506320257474692E-2</v>
      </c>
      <c r="V14" s="48">
        <f t="shared" si="2"/>
        <v>-24.99</v>
      </c>
      <c r="W14" s="49">
        <f t="shared" si="3"/>
        <v>3.9647371612481922E-3</v>
      </c>
      <c r="X14" s="44">
        <f t="shared" si="4"/>
        <v>960.42578012034153</v>
      </c>
      <c r="Y14" s="44">
        <f t="shared" si="5"/>
        <v>-2124.15</v>
      </c>
      <c r="Z14" s="44">
        <f t="shared" si="6"/>
        <v>2173.7678133308455</v>
      </c>
      <c r="AA14" s="50">
        <f t="shared" si="7"/>
        <v>961.27578012034155</v>
      </c>
      <c r="AB14" s="51">
        <f t="shared" si="8"/>
        <v>2035.3631210962972</v>
      </c>
      <c r="AC14" s="44">
        <f t="shared" si="8"/>
        <v>900.07095516885909</v>
      </c>
      <c r="AD14" s="44">
        <f t="shared" si="9"/>
        <v>5635.2004832110333</v>
      </c>
      <c r="AE14" s="44">
        <f t="shared" si="17"/>
        <v>0</v>
      </c>
      <c r="AF14" s="52">
        <f>HLOOKUP(I14,ElecAvoidedCostsWOCC!$A$5:$Q$50,G14+1,FALSE)</f>
        <v>1.0522743376306887</v>
      </c>
      <c r="AG14" s="44">
        <f t="shared" si="10"/>
        <v>2325.5262861638221</v>
      </c>
      <c r="AH14" s="52">
        <f>HLOOKUP(I14,ElecAvoidedCostsWOCC!$A$5:$Q$50,T14+1,FALSE)</f>
        <v>1.0522743376306887</v>
      </c>
      <c r="AI14" s="44">
        <f t="shared" si="11"/>
        <v>0</v>
      </c>
      <c r="AJ14" s="44">
        <f t="shared" si="12"/>
        <v>2325.5262861638221</v>
      </c>
      <c r="AK14" s="44">
        <f>HLOOKUP(I14,ElecAvoidedCostsWOCC!$A$5:$Q$50,G14+1,FALSE)*J14*L14</f>
        <v>0</v>
      </c>
      <c r="AL14" s="44">
        <f t="shared" si="13"/>
        <v>2325.5262861638221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2325.5262861638221</v>
      </c>
      <c r="AN14" s="48">
        <f t="shared" si="14"/>
        <v>8193.2793979912385</v>
      </c>
      <c r="AO14" s="47">
        <f t="shared" si="15"/>
        <v>1.1425608836379211</v>
      </c>
      <c r="AP14" s="47">
        <f t="shared" si="16"/>
        <v>9.1029261092578277</v>
      </c>
    </row>
    <row r="15" spans="1:42" ht="13.5" customHeight="1" x14ac:dyDescent="0.35">
      <c r="A15" s="57" t="s">
        <v>249</v>
      </c>
      <c r="B15" s="97" t="s">
        <v>15</v>
      </c>
      <c r="C15" s="61">
        <v>18230434</v>
      </c>
      <c r="D15" s="61" t="s">
        <v>48</v>
      </c>
      <c r="E15" s="38" t="s">
        <v>653</v>
      </c>
      <c r="F15" s="39" t="s">
        <v>654</v>
      </c>
      <c r="G15" s="39">
        <v>14</v>
      </c>
      <c r="H15" s="39"/>
      <c r="I15" s="40" t="s">
        <v>270</v>
      </c>
      <c r="J15" s="41">
        <v>539</v>
      </c>
      <c r="K15" s="41">
        <v>142</v>
      </c>
      <c r="L15" s="41"/>
      <c r="M15" s="42">
        <v>100</v>
      </c>
      <c r="N15" s="42">
        <v>65.56</v>
      </c>
      <c r="O15" s="43">
        <v>76538</v>
      </c>
      <c r="P15" s="44">
        <v>53900</v>
      </c>
      <c r="Q15" s="44">
        <v>35336.839999999997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1.9223270316138454</v>
      </c>
      <c r="V15" s="48">
        <f t="shared" si="2"/>
        <v>-34.44</v>
      </c>
      <c r="W15" s="49">
        <f t="shared" si="3"/>
        <v>0.13730907368670325</v>
      </c>
      <c r="X15" s="44">
        <f t="shared" si="4"/>
        <v>33262.021881832901</v>
      </c>
      <c r="Y15" s="44">
        <f t="shared" si="5"/>
        <v>-18563.160000000003</v>
      </c>
      <c r="Z15" s="44">
        <f t="shared" si="6"/>
        <v>75283.185926115955</v>
      </c>
      <c r="AA15" s="50">
        <f t="shared" si="7"/>
        <v>68598.861881832898</v>
      </c>
      <c r="AB15" s="51">
        <f t="shared" si="8"/>
        <v>70489.874462655382</v>
      </c>
      <c r="AC15" s="44">
        <f t="shared" si="8"/>
        <v>64231.144084113199</v>
      </c>
      <c r="AD15" s="44">
        <f t="shared" si="9"/>
        <v>81391.006693300471</v>
      </c>
      <c r="AE15" s="44">
        <f t="shared" si="17"/>
        <v>0</v>
      </c>
      <c r="AF15" s="52">
        <f>HLOOKUP(I15,ElecAvoidedCostsWOCC!$A$5:$Q$50,G15+1,FALSE)</f>
        <v>1.0522743376306887</v>
      </c>
      <c r="AG15" s="44">
        <f t="shared" si="10"/>
        <v>80538.973253577657</v>
      </c>
      <c r="AH15" s="52">
        <f>HLOOKUP(I15,ElecAvoidedCostsWOCC!$A$5:$Q$50,T15+1,FALSE)</f>
        <v>1.0522743376306887</v>
      </c>
      <c r="AI15" s="44">
        <f t="shared" si="11"/>
        <v>0</v>
      </c>
      <c r="AJ15" s="44">
        <f t="shared" si="12"/>
        <v>80538.973253577657</v>
      </c>
      <c r="AK15" s="44">
        <f>HLOOKUP(I15,ElecAvoidedCostsWOCC!$A$5:$Q$50,G15+1,FALSE)*J15*L15</f>
        <v>0</v>
      </c>
      <c r="AL15" s="44">
        <f t="shared" si="13"/>
        <v>80538.973253577657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80538.973253577642</v>
      </c>
      <c r="AN15" s="48">
        <f t="shared" si="14"/>
        <v>169983.87727223587</v>
      </c>
      <c r="AO15" s="47">
        <f t="shared" si="15"/>
        <v>1.1425608836379209</v>
      </c>
      <c r="AP15" s="47">
        <f t="shared" si="16"/>
        <v>2.6464401295676026</v>
      </c>
    </row>
    <row r="16" spans="1:42" ht="13.5" customHeight="1" x14ac:dyDescent="0.35">
      <c r="A16" s="54">
        <f>SUM(U5:U999)</f>
        <v>12.542397571643338</v>
      </c>
      <c r="B16" s="97" t="s">
        <v>15</v>
      </c>
      <c r="C16" s="61">
        <v>18230434</v>
      </c>
      <c r="D16" s="61" t="s">
        <v>48</v>
      </c>
      <c r="E16" s="38" t="s">
        <v>655</v>
      </c>
      <c r="F16" s="39" t="s">
        <v>654</v>
      </c>
      <c r="G16" s="39">
        <v>14</v>
      </c>
      <c r="H16" s="39"/>
      <c r="I16" s="40" t="s">
        <v>270</v>
      </c>
      <c r="J16" s="41">
        <v>1354</v>
      </c>
      <c r="K16" s="41">
        <v>120</v>
      </c>
      <c r="L16" s="41"/>
      <c r="M16" s="42">
        <v>50</v>
      </c>
      <c r="N16" s="42">
        <v>125.32</v>
      </c>
      <c r="O16" s="43">
        <v>162480</v>
      </c>
      <c r="P16" s="44">
        <v>67700</v>
      </c>
      <c r="Q16" s="44">
        <v>169683.28</v>
      </c>
      <c r="R16" s="45">
        <v>17.88</v>
      </c>
      <c r="S16" s="46">
        <v>0</v>
      </c>
      <c r="T16" s="39">
        <f t="shared" si="0"/>
        <v>14</v>
      </c>
      <c r="U16" s="47">
        <f t="shared" si="1"/>
        <v>4.0808447581151528</v>
      </c>
      <c r="V16" s="48">
        <f t="shared" si="2"/>
        <v>75.319999999999993</v>
      </c>
      <c r="W16" s="49">
        <f t="shared" si="3"/>
        <v>0.2914889112939395</v>
      </c>
      <c r="X16" s="44">
        <f t="shared" si="4"/>
        <v>70610.851019888272</v>
      </c>
      <c r="Y16" s="44">
        <f t="shared" si="5"/>
        <v>101983.28</v>
      </c>
      <c r="Z16" s="44">
        <f t="shared" si="6"/>
        <v>159816.19652036007</v>
      </c>
      <c r="AA16" s="50">
        <f t="shared" si="7"/>
        <v>240294.13101988827</v>
      </c>
      <c r="AB16" s="51">
        <f t="shared" si="8"/>
        <v>149640.63344603003</v>
      </c>
      <c r="AC16" s="44">
        <f t="shared" si="8"/>
        <v>224994.5047002699</v>
      </c>
      <c r="AD16" s="44">
        <f t="shared" si="9"/>
        <v>214286.49776534547</v>
      </c>
      <c r="AE16" s="44">
        <f t="shared" si="17"/>
        <v>0</v>
      </c>
      <c r="AF16" s="52">
        <f>HLOOKUP(I16,ElecAvoidedCostsWOCC!$A$5:$Q$50,G16+1,FALSE)</f>
        <v>1.0522743376306887</v>
      </c>
      <c r="AG16" s="44">
        <f t="shared" si="10"/>
        <v>170973.5343782343</v>
      </c>
      <c r="AH16" s="52">
        <f>HLOOKUP(I16,ElecAvoidedCostsWOCC!$A$5:$Q$50,T16+1,FALSE)</f>
        <v>1.0522743376306887</v>
      </c>
      <c r="AI16" s="44">
        <f t="shared" si="11"/>
        <v>0</v>
      </c>
      <c r="AJ16" s="44">
        <f t="shared" si="12"/>
        <v>170973.5343782343</v>
      </c>
      <c r="AK16" s="44">
        <f>HLOOKUP(I16,ElecAvoidedCostsWOCC!$A$5:$Q$50,G16+1,FALSE)*J16*L16</f>
        <v>0</v>
      </c>
      <c r="AL16" s="44">
        <f t="shared" si="13"/>
        <v>170973.5343782343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170973.5343782343</v>
      </c>
      <c r="AN16" s="48">
        <f t="shared" si="14"/>
        <v>402357.38558140321</v>
      </c>
      <c r="AO16" s="47">
        <f t="shared" si="15"/>
        <v>1.1425608836379209</v>
      </c>
      <c r="AP16" s="47">
        <f t="shared" si="16"/>
        <v>1.7882987236395402</v>
      </c>
    </row>
    <row r="17" spans="1:42" ht="13.5" customHeight="1" x14ac:dyDescent="0.35">
      <c r="A17" s="58" t="s">
        <v>252</v>
      </c>
      <c r="B17" s="97" t="s">
        <v>15</v>
      </c>
      <c r="C17" s="61">
        <v>18230434</v>
      </c>
      <c r="D17" s="61" t="s">
        <v>48</v>
      </c>
      <c r="E17" s="38" t="s">
        <v>656</v>
      </c>
      <c r="F17" s="39" t="s">
        <v>657</v>
      </c>
      <c r="G17" s="39">
        <v>14</v>
      </c>
      <c r="H17" s="39"/>
      <c r="I17" s="40" t="s">
        <v>270</v>
      </c>
      <c r="J17" s="41">
        <v>1</v>
      </c>
      <c r="K17" s="41">
        <v>142</v>
      </c>
      <c r="L17" s="41"/>
      <c r="M17" s="42">
        <v>150</v>
      </c>
      <c r="N17" s="42">
        <v>65.56</v>
      </c>
      <c r="O17" s="43">
        <v>142</v>
      </c>
      <c r="P17" s="44">
        <v>150</v>
      </c>
      <c r="Q17" s="44">
        <v>65.56</v>
      </c>
      <c r="R17" s="45">
        <v>17.059999999999999</v>
      </c>
      <c r="S17" s="46">
        <v>0</v>
      </c>
      <c r="T17" s="39">
        <f t="shared" si="0"/>
        <v>14</v>
      </c>
      <c r="U17" s="47">
        <f t="shared" si="1"/>
        <v>3.5664694464078764E-3</v>
      </c>
      <c r="V17" s="48">
        <f t="shared" si="2"/>
        <v>-84.44</v>
      </c>
      <c r="W17" s="49">
        <f t="shared" si="3"/>
        <v>2.547478176005626E-4</v>
      </c>
      <c r="X17" s="44">
        <f t="shared" si="4"/>
        <v>61.710615736239141</v>
      </c>
      <c r="Y17" s="44">
        <f t="shared" si="5"/>
        <v>-84.44</v>
      </c>
      <c r="Z17" s="44">
        <f t="shared" si="6"/>
        <v>139.67195904659732</v>
      </c>
      <c r="AA17" s="50">
        <f t="shared" si="7"/>
        <v>127.27061573623914</v>
      </c>
      <c r="AB17" s="51">
        <f t="shared" si="8"/>
        <v>130.77898787134581</v>
      </c>
      <c r="AC17" s="44">
        <f t="shared" si="8"/>
        <v>119.16724319872577</v>
      </c>
      <c r="AD17" s="44">
        <f t="shared" si="9"/>
        <v>151.00372299313631</v>
      </c>
      <c r="AE17" s="44">
        <f t="shared" si="17"/>
        <v>0</v>
      </c>
      <c r="AF17" s="52">
        <f>HLOOKUP(I17,ElecAvoidedCostsWOCC!$A$5:$Q$50,G17+1,FALSE)</f>
        <v>1.0522743376306887</v>
      </c>
      <c r="AG17" s="44">
        <f t="shared" si="10"/>
        <v>149.42295594355778</v>
      </c>
      <c r="AH17" s="52">
        <f>HLOOKUP(I17,ElecAvoidedCostsWOCC!$A$5:$Q$50,T17+1,FALSE)</f>
        <v>1.0522743376306887</v>
      </c>
      <c r="AI17" s="44">
        <f t="shared" si="11"/>
        <v>0</v>
      </c>
      <c r="AJ17" s="44">
        <f t="shared" si="12"/>
        <v>149.42295594355778</v>
      </c>
      <c r="AK17" s="44">
        <f>HLOOKUP(I17,ElecAvoidedCostsWOCC!$A$5:$Q$50,G17+1,FALSE)*J17*L17</f>
        <v>0</v>
      </c>
      <c r="AL17" s="44">
        <f t="shared" si="13"/>
        <v>149.42295594355778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149.42295594355778</v>
      </c>
      <c r="AN17" s="48">
        <f t="shared" si="14"/>
        <v>315.36897453104984</v>
      </c>
      <c r="AO17" s="47">
        <f t="shared" si="15"/>
        <v>1.1425608836379206</v>
      </c>
      <c r="AP17" s="47">
        <f t="shared" si="16"/>
        <v>2.6464401295676026</v>
      </c>
    </row>
    <row r="18" spans="1:42" ht="13.5" customHeight="1" x14ac:dyDescent="0.35">
      <c r="A18" s="59">
        <f>A6+A8</f>
        <v>548275.39</v>
      </c>
      <c r="B18" s="97" t="s">
        <v>15</v>
      </c>
      <c r="C18" s="61">
        <v>18230434</v>
      </c>
      <c r="D18" s="61" t="s">
        <v>48</v>
      </c>
      <c r="E18" s="38" t="s">
        <v>658</v>
      </c>
      <c r="F18" s="39" t="s">
        <v>659</v>
      </c>
      <c r="G18" s="39">
        <v>14</v>
      </c>
      <c r="H18" s="39"/>
      <c r="I18" s="40" t="s">
        <v>270</v>
      </c>
      <c r="J18" s="41">
        <v>447</v>
      </c>
      <c r="K18" s="41">
        <v>142</v>
      </c>
      <c r="L18" s="41"/>
      <c r="M18" s="42">
        <v>100</v>
      </c>
      <c r="N18" s="42">
        <v>65.56</v>
      </c>
      <c r="O18" s="43">
        <v>63474</v>
      </c>
      <c r="P18" s="44">
        <v>44700</v>
      </c>
      <c r="Q18" s="44">
        <v>29305.32</v>
      </c>
      <c r="R18" s="45">
        <v>17.059999999999999</v>
      </c>
      <c r="S18" s="46">
        <v>0</v>
      </c>
      <c r="T18" s="39">
        <f t="shared" si="0"/>
        <v>14</v>
      </c>
      <c r="U18" s="47">
        <f t="shared" si="1"/>
        <v>1.5942118425443206</v>
      </c>
      <c r="V18" s="48">
        <f t="shared" si="2"/>
        <v>-34.44</v>
      </c>
      <c r="W18" s="49">
        <f t="shared" si="3"/>
        <v>0.11387227446745148</v>
      </c>
      <c r="X18" s="44">
        <f t="shared" si="4"/>
        <v>27584.645234098894</v>
      </c>
      <c r="Y18" s="44">
        <f t="shared" si="5"/>
        <v>-15394.68</v>
      </c>
      <c r="Z18" s="44">
        <f t="shared" si="6"/>
        <v>62433.365693829008</v>
      </c>
      <c r="AA18" s="50">
        <f t="shared" si="7"/>
        <v>56889.965234098898</v>
      </c>
      <c r="AB18" s="51">
        <f t="shared" si="8"/>
        <v>58458.20757849158</v>
      </c>
      <c r="AC18" s="44">
        <f t="shared" si="8"/>
        <v>53267.757709830425</v>
      </c>
      <c r="AD18" s="44">
        <f t="shared" si="9"/>
        <v>67498.664177931932</v>
      </c>
      <c r="AE18" s="44">
        <f t="shared" si="17"/>
        <v>0</v>
      </c>
      <c r="AF18" s="52">
        <f>HLOOKUP(I18,ElecAvoidedCostsWOCC!$A$5:$Q$50,G18+1,FALSE)</f>
        <v>1.0522743376306887</v>
      </c>
      <c r="AG18" s="44">
        <f t="shared" si="10"/>
        <v>66792.061306770338</v>
      </c>
      <c r="AH18" s="52">
        <f>HLOOKUP(I18,ElecAvoidedCostsWOCC!$A$5:$Q$50,T18+1,FALSE)</f>
        <v>1.0522743376306887</v>
      </c>
      <c r="AI18" s="44">
        <f t="shared" si="11"/>
        <v>0</v>
      </c>
      <c r="AJ18" s="44">
        <f t="shared" si="12"/>
        <v>66792.061306770338</v>
      </c>
      <c r="AK18" s="44">
        <f>HLOOKUP(I18,ElecAvoidedCostsWOCC!$A$5:$Q$50,G18+1,FALSE)*J18*L18</f>
        <v>0</v>
      </c>
      <c r="AL18" s="44">
        <f t="shared" si="13"/>
        <v>66792.061306770338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66792.061306770323</v>
      </c>
      <c r="AN18" s="48">
        <f t="shared" si="14"/>
        <v>140969.93161537929</v>
      </c>
      <c r="AO18" s="47">
        <f t="shared" si="15"/>
        <v>1.1425608836379206</v>
      </c>
      <c r="AP18" s="47">
        <f t="shared" si="16"/>
        <v>2.6464401295676026</v>
      </c>
    </row>
    <row r="19" spans="1:42" ht="13.5" customHeight="1" x14ac:dyDescent="0.35">
      <c r="A19" s="58" t="s">
        <v>222</v>
      </c>
      <c r="B19" s="97" t="s">
        <v>15</v>
      </c>
      <c r="C19" s="61">
        <v>18230434</v>
      </c>
      <c r="D19" s="61" t="s">
        <v>48</v>
      </c>
      <c r="E19" s="38" t="s">
        <v>660</v>
      </c>
      <c r="F19" s="39" t="s">
        <v>659</v>
      </c>
      <c r="G19" s="39">
        <v>14</v>
      </c>
      <c r="H19" s="39"/>
      <c r="I19" s="40" t="s">
        <v>270</v>
      </c>
      <c r="J19" s="41">
        <v>1036</v>
      </c>
      <c r="K19" s="41">
        <v>120</v>
      </c>
      <c r="L19" s="41"/>
      <c r="M19" s="42">
        <v>50</v>
      </c>
      <c r="N19" s="42">
        <v>125.32</v>
      </c>
      <c r="O19" s="43">
        <v>124320</v>
      </c>
      <c r="P19" s="44">
        <v>51800</v>
      </c>
      <c r="Q19" s="44">
        <v>129831.52</v>
      </c>
      <c r="R19" s="45">
        <v>17.88</v>
      </c>
      <c r="S19" s="46">
        <v>0</v>
      </c>
      <c r="T19" s="39">
        <f t="shared" si="0"/>
        <v>14</v>
      </c>
      <c r="U19" s="47">
        <f t="shared" si="1"/>
        <v>3.1224188843480789</v>
      </c>
      <c r="V19" s="48">
        <f t="shared" si="2"/>
        <v>75.319999999999993</v>
      </c>
      <c r="W19" s="49">
        <f t="shared" si="3"/>
        <v>0.22302992031057706</v>
      </c>
      <c r="X19" s="44">
        <f t="shared" si="4"/>
        <v>54027.209495276409</v>
      </c>
      <c r="Y19" s="44">
        <f t="shared" si="5"/>
        <v>78031.520000000004</v>
      </c>
      <c r="Z19" s="44">
        <f t="shared" si="6"/>
        <v>122281.81653995055</v>
      </c>
      <c r="AA19" s="50">
        <f t="shared" si="7"/>
        <v>183858.72949527641</v>
      </c>
      <c r="AB19" s="51">
        <f t="shared" si="8"/>
        <v>114496.08290257542</v>
      </c>
      <c r="AC19" s="44">
        <f t="shared" si="8"/>
        <v>172152.36844127002</v>
      </c>
      <c r="AD19" s="44">
        <f t="shared" si="9"/>
        <v>163959.24053537511</v>
      </c>
      <c r="AE19" s="44">
        <f t="shared" si="17"/>
        <v>0</v>
      </c>
      <c r="AF19" s="52">
        <f>HLOOKUP(I19,ElecAvoidedCostsWOCC!$A$5:$Q$50,G19+1,FALSE)</f>
        <v>1.0522743376306887</v>
      </c>
      <c r="AG19" s="44">
        <f t="shared" si="10"/>
        <v>130818.74565424721</v>
      </c>
      <c r="AH19" s="52">
        <f>HLOOKUP(I19,ElecAvoidedCostsWOCC!$A$5:$Q$50,T19+1,FALSE)</f>
        <v>1.0522743376306887</v>
      </c>
      <c r="AI19" s="44">
        <f t="shared" si="11"/>
        <v>0</v>
      </c>
      <c r="AJ19" s="44">
        <f t="shared" si="12"/>
        <v>130818.74565424721</v>
      </c>
      <c r="AK19" s="44">
        <f>HLOOKUP(I19,ElecAvoidedCostsWOCC!$A$5:$Q$50,G19+1,FALSE)*J19*L19</f>
        <v>0</v>
      </c>
      <c r="AL19" s="44">
        <f t="shared" si="13"/>
        <v>130818.74565424721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130818.74565424722</v>
      </c>
      <c r="AN19" s="48">
        <f t="shared" si="14"/>
        <v>307859.86075504706</v>
      </c>
      <c r="AO19" s="47">
        <f t="shared" si="15"/>
        <v>1.1425608836379209</v>
      </c>
      <c r="AP19" s="47">
        <f t="shared" si="16"/>
        <v>1.7882987236395402</v>
      </c>
    </row>
    <row r="20" spans="1:42" ht="13.5" customHeight="1" x14ac:dyDescent="0.35">
      <c r="A20" s="59">
        <f>A8+SUM(Q5:Q906)</f>
        <v>716891.57000000007</v>
      </c>
      <c r="B20" s="97" t="s">
        <v>15</v>
      </c>
      <c r="C20" s="61">
        <v>18230434</v>
      </c>
      <c r="D20" s="61" t="s">
        <v>48</v>
      </c>
      <c r="E20" s="38" t="s">
        <v>661</v>
      </c>
      <c r="F20" s="39" t="s">
        <v>662</v>
      </c>
      <c r="G20" s="39">
        <v>14</v>
      </c>
      <c r="H20" s="39"/>
      <c r="I20" s="40" t="s">
        <v>270</v>
      </c>
      <c r="J20" s="41">
        <v>1</v>
      </c>
      <c r="K20" s="41">
        <v>142</v>
      </c>
      <c r="L20" s="41"/>
      <c r="M20" s="42">
        <v>150</v>
      </c>
      <c r="N20" s="42">
        <v>65.56</v>
      </c>
      <c r="O20" s="43">
        <v>142</v>
      </c>
      <c r="P20" s="44">
        <v>150</v>
      </c>
      <c r="Q20" s="44">
        <v>65.56</v>
      </c>
      <c r="R20" s="45">
        <v>17.059999999999999</v>
      </c>
      <c r="S20" s="46">
        <v>0</v>
      </c>
      <c r="T20" s="39">
        <f t="shared" si="0"/>
        <v>14</v>
      </c>
      <c r="U20" s="47">
        <f t="shared" si="1"/>
        <v>3.5664694464078764E-3</v>
      </c>
      <c r="V20" s="48">
        <f t="shared" si="2"/>
        <v>-84.44</v>
      </c>
      <c r="W20" s="49">
        <f t="shared" si="3"/>
        <v>2.547478176005626E-4</v>
      </c>
      <c r="X20" s="44">
        <f t="shared" si="4"/>
        <v>61.710615736239141</v>
      </c>
      <c r="Y20" s="44">
        <f t="shared" si="5"/>
        <v>-84.44</v>
      </c>
      <c r="Z20" s="44">
        <f t="shared" si="6"/>
        <v>139.67195904659732</v>
      </c>
      <c r="AA20" s="50">
        <f t="shared" si="7"/>
        <v>127.27061573623914</v>
      </c>
      <c r="AB20" s="51">
        <f t="shared" si="8"/>
        <v>130.77898787134581</v>
      </c>
      <c r="AC20" s="44">
        <f t="shared" si="8"/>
        <v>119.16724319872577</v>
      </c>
      <c r="AD20" s="44">
        <f t="shared" si="9"/>
        <v>151.00372299313631</v>
      </c>
      <c r="AE20" s="44">
        <f t="shared" si="17"/>
        <v>0</v>
      </c>
      <c r="AF20" s="52">
        <f>HLOOKUP(I20,ElecAvoidedCostsWOCC!$A$5:$Q$50,G20+1,FALSE)</f>
        <v>1.0522743376306887</v>
      </c>
      <c r="AG20" s="44">
        <f t="shared" si="10"/>
        <v>149.42295594355778</v>
      </c>
      <c r="AH20" s="52">
        <f>HLOOKUP(I20,ElecAvoidedCostsWOCC!$A$5:$Q$50,T20+1,FALSE)</f>
        <v>1.0522743376306887</v>
      </c>
      <c r="AI20" s="44">
        <f t="shared" si="11"/>
        <v>0</v>
      </c>
      <c r="AJ20" s="44">
        <f t="shared" si="12"/>
        <v>149.42295594355778</v>
      </c>
      <c r="AK20" s="44">
        <f>HLOOKUP(I20,ElecAvoidedCostsWOCC!$A$5:$Q$50,G20+1,FALSE)*J20*L20</f>
        <v>0</v>
      </c>
      <c r="AL20" s="44">
        <f t="shared" si="13"/>
        <v>149.42295594355778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149.42295594355778</v>
      </c>
      <c r="AN20" s="48">
        <f t="shared" si="14"/>
        <v>315.36897453104984</v>
      </c>
      <c r="AO20" s="47">
        <f t="shared" si="15"/>
        <v>1.1425608836379206</v>
      </c>
      <c r="AP20" s="47">
        <f t="shared" si="16"/>
        <v>2.6464401295676026</v>
      </c>
    </row>
    <row r="21" spans="1:42" ht="13.5" customHeight="1" x14ac:dyDescent="0.35">
      <c r="A21" s="58" t="s">
        <v>236</v>
      </c>
      <c r="B21" s="97" t="s">
        <v>15</v>
      </c>
      <c r="C21" s="61">
        <v>18230434</v>
      </c>
      <c r="D21" s="61" t="s">
        <v>48</v>
      </c>
      <c r="E21" s="38" t="s">
        <v>663</v>
      </c>
      <c r="F21" s="39" t="s">
        <v>664</v>
      </c>
      <c r="G21" s="39">
        <v>14</v>
      </c>
      <c r="H21" s="39"/>
      <c r="I21" s="40" t="s">
        <v>270</v>
      </c>
      <c r="J21" s="41">
        <v>7</v>
      </c>
      <c r="K21" s="41">
        <v>120</v>
      </c>
      <c r="L21" s="41"/>
      <c r="M21" s="42">
        <v>100</v>
      </c>
      <c r="N21" s="42">
        <v>125.32</v>
      </c>
      <c r="O21" s="43">
        <v>840</v>
      </c>
      <c r="P21" s="44">
        <v>700</v>
      </c>
      <c r="Q21" s="44">
        <v>877.24</v>
      </c>
      <c r="R21" s="45">
        <v>17.88</v>
      </c>
      <c r="S21" s="46">
        <v>0</v>
      </c>
      <c r="T21" s="39">
        <f t="shared" si="0"/>
        <v>14</v>
      </c>
      <c r="U21" s="47">
        <f t="shared" si="1"/>
        <v>2.1097424894243776E-2</v>
      </c>
      <c r="V21" s="48">
        <f t="shared" si="2"/>
        <v>25.319999999999993</v>
      </c>
      <c r="W21" s="49">
        <f t="shared" si="3"/>
        <v>1.5069589210174126E-3</v>
      </c>
      <c r="X21" s="44">
        <f t="shared" si="4"/>
        <v>365.0487128059217</v>
      </c>
      <c r="Y21" s="44">
        <f t="shared" si="5"/>
        <v>177.24</v>
      </c>
      <c r="Z21" s="44">
        <f t="shared" si="6"/>
        <v>826.22849013480118</v>
      </c>
      <c r="AA21" s="50">
        <f t="shared" si="7"/>
        <v>1242.2887128059217</v>
      </c>
      <c r="AB21" s="51">
        <f t="shared" ref="AB21:AC24" si="18">Z21/(1+ElecDiscountRate)^1</f>
        <v>773.62218177415832</v>
      </c>
      <c r="AC21" s="44">
        <f t="shared" si="18"/>
        <v>1163.1916786572299</v>
      </c>
      <c r="AD21" s="44">
        <f t="shared" si="9"/>
        <v>1107.832706320102</v>
      </c>
      <c r="AE21" s="44">
        <f t="shared" si="17"/>
        <v>0</v>
      </c>
      <c r="AF21" s="52">
        <f>HLOOKUP(I21,ElecAvoidedCostsWOCC!$A$5:$Q$50,G21+1,FALSE)</f>
        <v>1.0522743376306887</v>
      </c>
      <c r="AG21" s="44">
        <f t="shared" si="10"/>
        <v>883.91044360977855</v>
      </c>
      <c r="AH21" s="52">
        <f>HLOOKUP(I21,ElecAvoidedCostsWOCC!$A$5:$Q$50,T21+1,FALSE)</f>
        <v>1.0522743376306887</v>
      </c>
      <c r="AI21" s="44">
        <f t="shared" si="11"/>
        <v>0</v>
      </c>
      <c r="AJ21" s="44">
        <f t="shared" si="12"/>
        <v>883.91044360977855</v>
      </c>
      <c r="AK21" s="44">
        <f>HLOOKUP(I21,ElecAvoidedCostsWOCC!$A$5:$Q$50,G21+1,FALSE)*J21*L21</f>
        <v>0</v>
      </c>
      <c r="AL21" s="44">
        <f t="shared" si="13"/>
        <v>883.91044360977855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883.91044360977844</v>
      </c>
      <c r="AN21" s="48">
        <f t="shared" si="14"/>
        <v>2080.1341942908584</v>
      </c>
      <c r="AO21" s="47">
        <f t="shared" si="15"/>
        <v>1.1425608836379206</v>
      </c>
      <c r="AP21" s="47">
        <f t="shared" si="16"/>
        <v>1.7882987236395402</v>
      </c>
    </row>
    <row r="22" spans="1:42" ht="13.5" customHeight="1" x14ac:dyDescent="0.35">
      <c r="A22" s="60">
        <f>(SUM(AM5:AM1000)/(SUM(AB5:AB1000)))</f>
        <v>1.027942199522375</v>
      </c>
      <c r="B22" s="97" t="s">
        <v>15</v>
      </c>
      <c r="C22" s="61">
        <v>18230434</v>
      </c>
      <c r="D22" s="61" t="s">
        <v>48</v>
      </c>
      <c r="E22" s="38" t="s">
        <v>665</v>
      </c>
      <c r="F22" s="39" t="s">
        <v>666</v>
      </c>
      <c r="G22" s="39">
        <v>14</v>
      </c>
      <c r="H22" s="39"/>
      <c r="I22" s="40" t="s">
        <v>270</v>
      </c>
      <c r="J22" s="41">
        <v>24</v>
      </c>
      <c r="K22" s="41">
        <v>120</v>
      </c>
      <c r="L22" s="41"/>
      <c r="M22" s="42">
        <v>100</v>
      </c>
      <c r="N22" s="42">
        <v>125.32</v>
      </c>
      <c r="O22" s="43">
        <v>2880</v>
      </c>
      <c r="P22" s="44">
        <v>2400</v>
      </c>
      <c r="Q22" s="44">
        <v>3007.68</v>
      </c>
      <c r="R22" s="45">
        <v>17.88</v>
      </c>
      <c r="S22" s="46">
        <v>0</v>
      </c>
      <c r="T22" s="39">
        <f t="shared" si="0"/>
        <v>14</v>
      </c>
      <c r="U22" s="47">
        <f t="shared" si="1"/>
        <v>7.2334028208835804E-2</v>
      </c>
      <c r="V22" s="48">
        <f t="shared" si="2"/>
        <v>25.319999999999993</v>
      </c>
      <c r="W22" s="49">
        <f t="shared" si="3"/>
        <v>5.1667163006311285E-3</v>
      </c>
      <c r="X22" s="44">
        <f t="shared" si="4"/>
        <v>1251.5955867631601</v>
      </c>
      <c r="Y22" s="44">
        <f t="shared" si="5"/>
        <v>607.67999999999984</v>
      </c>
      <c r="Z22" s="44">
        <f t="shared" si="6"/>
        <v>2832.7833947478894</v>
      </c>
      <c r="AA22" s="50">
        <f t="shared" si="7"/>
        <v>4259.2755867631604</v>
      </c>
      <c r="AB22" s="51">
        <f t="shared" si="18"/>
        <v>2652.4189089399711</v>
      </c>
      <c r="AC22" s="44">
        <f t="shared" si="18"/>
        <v>3988.0857553962173</v>
      </c>
      <c r="AD22" s="44">
        <f t="shared" si="9"/>
        <v>3798.2835645260643</v>
      </c>
      <c r="AE22" s="44">
        <f t="shared" si="17"/>
        <v>0</v>
      </c>
      <c r="AF22" s="52">
        <f>HLOOKUP(I22,ElecAvoidedCostsWOCC!$A$5:$Q$50,G22+1,FALSE)</f>
        <v>1.0522743376306887</v>
      </c>
      <c r="AG22" s="44">
        <f t="shared" si="10"/>
        <v>3030.5500923763834</v>
      </c>
      <c r="AH22" s="52">
        <f>HLOOKUP(I22,ElecAvoidedCostsWOCC!$A$5:$Q$50,T22+1,FALSE)</f>
        <v>1.0522743376306887</v>
      </c>
      <c r="AI22" s="44">
        <f t="shared" si="11"/>
        <v>0</v>
      </c>
      <c r="AJ22" s="44">
        <f t="shared" si="12"/>
        <v>3030.5500923763834</v>
      </c>
      <c r="AK22" s="44">
        <f>HLOOKUP(I22,ElecAvoidedCostsWOCC!$A$5:$Q$50,G22+1,FALSE)*J22*L22</f>
        <v>0</v>
      </c>
      <c r="AL22" s="44">
        <f t="shared" si="13"/>
        <v>3030.5500923763834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3030.5500923763834</v>
      </c>
      <c r="AN22" s="48">
        <f t="shared" si="14"/>
        <v>7131.8886661400866</v>
      </c>
      <c r="AO22" s="47">
        <f t="shared" si="15"/>
        <v>1.1425608836379209</v>
      </c>
      <c r="AP22" s="47">
        <f t="shared" si="16"/>
        <v>1.78829872363954</v>
      </c>
    </row>
    <row r="23" spans="1:42" ht="13.5" customHeight="1" x14ac:dyDescent="0.35">
      <c r="A23" s="58" t="s">
        <v>237</v>
      </c>
      <c r="B23" s="97" t="s">
        <v>15</v>
      </c>
      <c r="C23" s="61">
        <v>18230434</v>
      </c>
      <c r="D23" s="61" t="s">
        <v>48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1.7017096316469678</v>
      </c>
      <c r="B24" s="97" t="s">
        <v>15</v>
      </c>
      <c r="C24" s="61">
        <v>18230434</v>
      </c>
      <c r="D24" s="61" t="s">
        <v>48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15</v>
      </c>
      <c r="C25" s="61">
        <v>18230434</v>
      </c>
      <c r="D25" s="61" t="s">
        <v>48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Z25/(1+ElecDiscountRate)^1</f>
        <v>0</v>
      </c>
      <c r="AC25" s="44">
        <f t="shared" ref="AC25:AC50" si="28">AA25/(1+ElecDiscountRate)^1</f>
        <v>0</v>
      </c>
      <c r="AD25" s="44">
        <f t="shared" ref="AD25:AD50" si="29">-PV(ElecDiscountRate,T25,R25)*J25</f>
        <v>0</v>
      </c>
      <c r="AE25" s="44">
        <f t="shared" ref="AE25:AE50" si="30">-PV(ElecDiscountRate,T25,S25)*J25</f>
        <v>0</v>
      </c>
      <c r="AF25" s="52" t="e">
        <f>HLOOKUP(I25,ElecAvoidedCostsWOCC!$A$5:$Q$50,G25+1,FALSE)</f>
        <v>#N/A</v>
      </c>
      <c r="AG25" s="44" t="e">
        <f t="shared" ref="AG25:AG50" si="31">AF25*J25*K25</f>
        <v>#N/A</v>
      </c>
      <c r="AH25" s="52" t="e">
        <f>HLOOKUP(I25,ElecAvoidedCostsWOCC!$A$5:$Q$50,T25+1,FALSE)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HLOOKUP(I25,ElecAvoidedCostsWOCC!$A$5:$Q$50,G25+1,FALSE)*J25*L25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 x14ac:dyDescent="0.35">
      <c r="B26" s="97" t="s">
        <v>15</v>
      </c>
      <c r="C26" s="61">
        <v>18230434</v>
      </c>
      <c r="D26" s="61" t="s">
        <v>48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15</v>
      </c>
      <c r="C27" s="61">
        <v>18230434</v>
      </c>
      <c r="D27" s="61" t="s">
        <v>48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15</v>
      </c>
      <c r="C28" s="61">
        <v>18230434</v>
      </c>
      <c r="D28" s="61" t="s">
        <v>48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50 R5:S50">
    <cfRule type="expression" dxfId="312" priority="2">
      <formula>ISTEXT(M5)</formula>
    </cfRule>
  </conditionalFormatting>
  <conditionalFormatting sqref="M5:N50 R5:S50">
    <cfRule type="notContainsBlanks" dxfId="311" priority="3">
      <formula>LEN(TRIM(M5))&gt;0</formula>
    </cfRule>
  </conditionalFormatting>
  <conditionalFormatting sqref="R5:S50">
    <cfRule type="expression" dxfId="3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1EEA83C55D21244A58F152C829FF8BF" ma:contentTypeVersion="44" ma:contentTypeDescription="" ma:contentTypeScope="" ma:versionID="767544a9700ba06602c3c66ff1d908c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2021-10-29T07:00:00+00:00</OpenedDate>
    <SignificantOrder xmlns="dc463f71-b30c-4ab2-9473-d307f9d35888">false</SignificantOrder>
    <Date1 xmlns="dc463f71-b30c-4ab2-9473-d307f9d35888">2023-04-17T07:00:00+00:00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210822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DD23D3B-EE87-4E63-A5B9-72BAD4A1FEFD}"/>
</file>

<file path=customXml/itemProps2.xml><?xml version="1.0" encoding="utf-8"?>
<ds:datastoreItem xmlns:ds="http://schemas.openxmlformats.org/officeDocument/2006/customXml" ds:itemID="{C519DF6A-B278-42B2-A512-FB471366BA31}"/>
</file>

<file path=customXml/itemProps3.xml><?xml version="1.0" encoding="utf-8"?>
<ds:datastoreItem xmlns:ds="http://schemas.openxmlformats.org/officeDocument/2006/customXml" ds:itemID="{EA7AB8EF-232D-4E03-9E30-FD9F18839A67}"/>
</file>

<file path=customXml/itemProps4.xml><?xml version="1.0" encoding="utf-8"?>
<ds:datastoreItem xmlns:ds="http://schemas.openxmlformats.org/officeDocument/2006/customXml" ds:itemID="{427E6CDC-B999-454B-B4A4-03CD0D52B7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3</vt:i4>
      </vt:variant>
    </vt:vector>
  </HeadingPairs>
  <TitlesOfParts>
    <vt:vector size="76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cp:lastPrinted>2022-03-03T20:26:12Z</cp:lastPrinted>
  <dcterms:created xsi:type="dcterms:W3CDTF">2022-01-21T18:04:07Z</dcterms:created>
  <dcterms:modified xsi:type="dcterms:W3CDTF">2023-03-28T22:32:28Z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0x0101006E56B4D1795A2E4DB2F0B01679ED314A0091EEA83C55D21244A58F152C829FF8BF</vt:lpwstr>
  </property>
  <property fmtid="{D5CDD505-2E9C-101B-9397-08002B2CF9AE}" pid="3" name="_docset_NoMedatataSyncRequired">
    <vt:lpwstr>False</vt:lpwstr>
  </property>
</Properties>
</file>