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5.2022\"/>
    </mc:Choice>
  </mc:AlternateContent>
  <xr:revisionPtr revIDLastSave="0" documentId="13_ncr:1_{D9EA9BCD-7F10-4EF5-9D92-DE388972A27C}" xr6:coauthVersionLast="46" xr6:coauthVersionMax="46" xr10:uidLastSave="{00000000-0000-0000-0000-000000000000}"/>
  <bookViews>
    <workbookView xWindow="-120" yWindow="-120" windowWidth="29040" windowHeight="15840" tabRatio="772" activeTab="4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191010 WA DEF" sheetId="39" r:id="rId6"/>
    <sheet name="191000 WA Amort" sheetId="41" r:id="rId7"/>
  </sheets>
  <externalReferences>
    <externalReference r:id="rId8"/>
    <externalReference r:id="rId9"/>
    <externalReference r:id="rId10"/>
  </externalReferences>
  <definedNames>
    <definedName name="Actual_Cost_Per_MMBtu" localSheetId="6">'[1]Oregon Gas Costs - 1999'!#REF!</definedName>
    <definedName name="Actual_Cost_Per_MMBtu">'[1]Oregon Gas Costs - 1999'!#REF!</definedName>
    <definedName name="Actual_Gas_Costs" localSheetId="6">#REF!</definedName>
    <definedName name="Actual_Gas_Costs">#REF!</definedName>
    <definedName name="Actual_Volumes" localSheetId="6">#REF!</definedName>
    <definedName name="Actual_Volumes">#REF!</definedName>
    <definedName name="Analysis_of_Year_to_Date_Gas_Costs___WWP_System" localSheetId="6">#REF!</definedName>
    <definedName name="Analysis_of_Year_to_Date_Gas_Costs___WWP_System">#REF!</definedName>
    <definedName name="Balancing_Account_Summary" localSheetId="6">#REF!</definedName>
    <definedName name="Balancing_Account_Summary">#REF!</definedName>
    <definedName name="Budgeted_Costs_Volumes" localSheetId="6">#REF!</definedName>
    <definedName name="Budgeted_Costs_Volumes">#REF!</definedName>
    <definedName name="Commodity_Costs" localSheetId="6">#REF!</definedName>
    <definedName name="Commodity_Costs">#REF!</definedName>
    <definedName name="_xlnm.Database" localSheetId="6">'[2]May 2000'!#REF!</definedName>
    <definedName name="_xlnm.Database">'[2]May 2000'!#REF!</definedName>
    <definedName name="EIA857_Report_Info" localSheetId="6">#REF!</definedName>
    <definedName name="EIA857_Report_Info">#REF!</definedName>
    <definedName name="InputMonth">[3]Start!$B$2</definedName>
    <definedName name="JanJunPretaxRate">[3]Start!$C$7</definedName>
    <definedName name="jj" localSheetId="6">'[1]Oregon Gas Costs - 1999'!#REF!</definedName>
    <definedName name="jj">'[1]Oregon Gas Costs - 1999'!#REF!</definedName>
    <definedName name="Journal_Entry_Dollars" localSheetId="6">#REF!</definedName>
    <definedName name="Journal_Entry_Dollars">#REF!</definedName>
    <definedName name="Journal_Entry_Volumes" localSheetId="6">#REF!</definedName>
    <definedName name="Journal_Entry_Volumes">#REF!</definedName>
    <definedName name="JournalEntryPrintArea" localSheetId="6">#REF!</definedName>
    <definedName name="JournalEntryPrintArea">#REF!</definedName>
    <definedName name="JulDecPretaxRate">[3]Start!$C$8</definedName>
    <definedName name="Notes" localSheetId="6">#REF!</definedName>
    <definedName name="Notes">#REF!</definedName>
    <definedName name="_xlnm.Print_Area" localSheetId="6">'191000 WA Amort'!$A$1:$S$45</definedName>
    <definedName name="_xlnm.Print_Area" localSheetId="5">'191010 WA DEF'!$A$1:$L$45</definedName>
    <definedName name="_xlnm.Print_Area" localSheetId="3">'Apr 22'!$B$1:$R$48</definedName>
    <definedName name="_xlnm.Print_Area" localSheetId="1">'Feb 22'!$B$1:$R$48</definedName>
    <definedName name="_xlnm.Print_Area" localSheetId="0">'Jan 22'!$B$1:$R$48</definedName>
    <definedName name="_xlnm.Print_Area" localSheetId="2">'Mar 22'!$B$1:$R$48</definedName>
    <definedName name="_xlnm.Print_Area" localSheetId="4">'May 22'!$B$1:$R$48</definedName>
    <definedName name="SPREADSHEET_DOCUMENTATION" localSheetId="6">#REF!</definedName>
    <definedName name="SPREADSHEET_DOCUMENTATION">#REF!</definedName>
    <definedName name="Summary_of_Off_system_Sales" localSheetId="6">'[1]Oregon Gas Costs - 1999'!#REF!</definedName>
    <definedName name="Summary_of_Off_system_Sales">'[1]Oregon Gas Costs - 1999'!#REF!</definedName>
    <definedName name="Transportation_Costs" localSheetId="6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1" l="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N17" i="78" l="1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G8" i="78" l="1"/>
  <c r="I8" i="78" s="1"/>
  <c r="I32" i="78" s="1"/>
  <c r="I39" i="78" s="1"/>
  <c r="O35" i="78" s="1"/>
  <c r="O37" i="78" s="1"/>
  <c r="E14" i="78"/>
  <c r="H14" i="78" s="1"/>
  <c r="H39" i="78" s="1"/>
  <c r="N35" i="78" s="1"/>
  <c r="E37" i="78"/>
  <c r="E39" i="78" s="1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N37" i="78" l="1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G53" i="39"/>
  <c r="G52" i="39"/>
  <c r="G50" i="39"/>
  <c r="H14" i="77" l="1"/>
  <c r="H39" i="77" s="1"/>
  <c r="N35" i="77" s="1"/>
  <c r="E39" i="77"/>
  <c r="O39" i="78"/>
  <c r="G23" i="39"/>
  <c r="P35" i="78"/>
  <c r="M28" i="78"/>
  <c r="N28" i="78" s="1"/>
  <c r="N27" i="78"/>
  <c r="N29" i="78" s="1"/>
  <c r="G32" i="77"/>
  <c r="G39" i="77" s="1"/>
  <c r="M35" i="77" s="1"/>
  <c r="P35" i="77" s="1"/>
  <c r="M28" i="77"/>
  <c r="N28" i="77" s="1"/>
  <c r="N27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Q14" i="76"/>
  <c r="R14" i="76" s="1"/>
  <c r="R13" i="76"/>
  <c r="N26" i="76"/>
  <c r="R15" i="76"/>
  <c r="N36" i="76" s="1"/>
  <c r="F20" i="41"/>
  <c r="E39" i="76" l="1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P36" i="78" l="1"/>
  <c r="M37" i="78"/>
  <c r="P36" i="77"/>
  <c r="F22" i="39"/>
  <c r="M39" i="77"/>
  <c r="M37" i="76"/>
  <c r="F21" i="39" s="1"/>
  <c r="M39" i="76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F23" i="39" l="1"/>
  <c r="M39" i="78"/>
  <c r="L29" i="75"/>
  <c r="L31" i="75" s="1"/>
  <c r="R15" i="75"/>
  <c r="N36" i="75" s="1"/>
  <c r="N17" i="75"/>
  <c r="L36" i="75" s="1"/>
  <c r="I36" i="75"/>
  <c r="G35" i="75"/>
  <c r="G33" i="75"/>
  <c r="E12" i="75"/>
  <c r="E13" i="75"/>
  <c r="E31" i="75" s="1"/>
  <c r="E32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M27" i="75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A23" i="39" l="1"/>
  <c r="G32" i="74"/>
  <c r="G39" i="74" s="1"/>
  <c r="O39" i="74"/>
  <c r="F14" i="74"/>
  <c r="F39" i="74" s="1"/>
  <c r="L35" i="74" s="1"/>
  <c r="L37" i="74" s="1"/>
  <c r="G19" i="39" s="1"/>
  <c r="E42" i="74"/>
  <c r="A24" i="39" l="1"/>
  <c r="A25" i="39" s="1"/>
  <c r="A26" i="39" s="1"/>
  <c r="A27" i="39" s="1"/>
  <c r="A28" i="39" s="1"/>
  <c r="A29" i="39" s="1"/>
  <c r="A30" i="39" s="1"/>
  <c r="M35" i="74"/>
  <c r="M37" i="74" s="1"/>
  <c r="F19" i="39" s="1"/>
  <c r="M39" i="74"/>
  <c r="P35" i="74"/>
  <c r="H17" i="41" l="1"/>
  <c r="F17" i="41" l="1"/>
  <c r="F16" i="41" l="1"/>
  <c r="F15" i="41" l="1"/>
  <c r="F14" i="41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39" i="41" l="1"/>
  <c r="I39" i="41"/>
  <c r="F39" i="39" l="1"/>
  <c r="E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/>
  <c r="S8" i="41" l="1"/>
  <c r="E9" i="41"/>
  <c r="O9" i="41" s="1"/>
  <c r="P9" i="41" s="1"/>
  <c r="I8" i="39"/>
  <c r="S9" i="41" l="1"/>
  <c r="E10" i="41"/>
  <c r="O10" i="41" s="1"/>
  <c r="P10" i="41" s="1"/>
  <c r="L8" i="39"/>
  <c r="E9" i="39"/>
  <c r="H9" i="39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I10" i="39"/>
  <c r="O13" i="41"/>
  <c r="P13" i="41" s="1"/>
  <c r="E14" i="41" l="1"/>
  <c r="O14" i="41" s="1"/>
  <c r="P14" i="41" s="1"/>
  <c r="S13" i="41"/>
  <c r="L10" i="39"/>
  <c r="E11" i="39"/>
  <c r="H11" i="39" s="1"/>
  <c r="E15" i="41" l="1"/>
  <c r="O15" i="41" s="1"/>
  <c r="P15" i="41" s="1"/>
  <c r="S14" i="41"/>
  <c r="I11" i="39"/>
  <c r="E16" i="41" l="1"/>
  <c r="O16" i="41" s="1"/>
  <c r="P16" i="41" s="1"/>
  <c r="S15" i="41"/>
  <c r="L11" i="39"/>
  <c r="E12" i="39"/>
  <c r="H12" i="39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H31" i="39"/>
  <c r="P22" i="41"/>
  <c r="E24" i="39" l="1"/>
  <c r="H24" i="39" s="1"/>
  <c r="I24" i="39" s="1"/>
  <c r="E25" i="39" s="1"/>
  <c r="H25" i="39" s="1"/>
  <c r="I25" i="39" s="1"/>
  <c r="E26" i="39" s="1"/>
  <c r="H26" i="39" s="1"/>
  <c r="I26" i="39" s="1"/>
  <c r="E27" i="39" s="1"/>
  <c r="H27" i="39" s="1"/>
  <c r="I27" i="39" s="1"/>
  <c r="L23" i="39"/>
  <c r="E38" i="39"/>
  <c r="F38" i="39"/>
  <c r="E37" i="39"/>
  <c r="F36" i="39"/>
  <c r="E23" i="41"/>
  <c r="O23" i="41" s="1"/>
  <c r="S22" i="41"/>
  <c r="F41" i="39" l="1"/>
  <c r="P23" i="41"/>
  <c r="O31" i="41"/>
  <c r="E28" i="39"/>
  <c r="H28" i="39" s="1"/>
  <c r="I28" i="39" s="1"/>
  <c r="E24" i="41" l="1"/>
  <c r="O24" i="41" s="1"/>
  <c r="P24" i="41" s="1"/>
  <c r="E25" i="41" s="1"/>
  <c r="O25" i="41" s="1"/>
  <c r="P25" i="41" s="1"/>
  <c r="E26" i="41" s="1"/>
  <c r="O26" i="41" s="1"/>
  <c r="P26" i="41" s="1"/>
  <c r="E27" i="41" s="1"/>
  <c r="O27" i="41" s="1"/>
  <c r="P27" i="41" s="1"/>
  <c r="E28" i="41" s="1"/>
  <c r="O28" i="41" s="1"/>
  <c r="P28" i="41" s="1"/>
  <c r="E29" i="41" s="1"/>
  <c r="O29" i="41" s="1"/>
  <c r="P29" i="41" s="1"/>
  <c r="S23" i="41"/>
  <c r="I38" i="41"/>
  <c r="H38" i="41"/>
  <c r="I36" i="41"/>
  <c r="H37" i="41"/>
  <c r="E47" i="78" s="1"/>
  <c r="E29" i="39"/>
  <c r="E47" i="74" l="1"/>
  <c r="F47" i="74" s="1"/>
  <c r="E47" i="77"/>
  <c r="F47" i="77" s="1"/>
  <c r="E47" i="75"/>
  <c r="F47" i="75" s="1"/>
  <c r="E47" i="76"/>
  <c r="F47" i="76" s="1"/>
  <c r="F47" i="78"/>
  <c r="I41" i="41"/>
  <c r="E30" i="41"/>
  <c r="O30" i="41" s="1"/>
  <c r="P30" i="41" s="1"/>
  <c r="H29" i="39"/>
  <c r="I29" i="39" s="1"/>
  <c r="E30" i="39" l="1"/>
  <c r="H30" i="39" s="1"/>
  <c r="I30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<sst xmlns="http://schemas.openxmlformats.org/spreadsheetml/2006/main" count="854" uniqueCount="162">
  <si>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</si>
  <si>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</si>
  <si>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</si>
  <si>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</si>
  <si>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</si>
  <si>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</si>
  <si>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</si>
  <si>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</si>
  <si>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</si>
  <si>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</si>
  <si>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</si>
  <si>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</si>
  <si>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</si>
  <si>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</si>
  <si>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</si>
  <si>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</si>
  <si>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</si>
  <si>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</si>
  <si>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</si>
  <si>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</si>
  <si>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</si>
  <si>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</si>
  <si>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</si>
  <si>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</si>
  <si>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</si>
  <si>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</si>
  <si>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</si>
  <si>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</si>
  <si>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</si>
  <si>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</si>
  <si>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</si>
  <si>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</si>
  <si>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</si>
  <si>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</si>
  <si>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</si>
  <si>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</si>
  <si>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</si>
  <si>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</si>
  <si>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</si>
  <si>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</si>
  <si>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</si>
  <si>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</si>
  <si>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</si>
  <si>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</si>
  <si>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</si>
  <si>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</si>
  <si>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</si>
  <si>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</si>
  <si>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</si>
  <si>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</si>
  <si>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</si>
  <si>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</si>
  <si>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</si>
  <si>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</si>
  <si>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</si>
  <si>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</si>
  <si>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</si>
  <si>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</si>
  <si>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</si>
  <si>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</si>
  <si>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</si>
  <si>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</si>
  <si>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</si>
  <si>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</si>
  <si>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</si>
  <si>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</si>
  <si>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</si>
  <si>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</si>
  <si>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</si>
  <si>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</si>
  <si>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</si>
  <si>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</si>
  <si>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</si>
  <si>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</si>
  <si>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</si>
  <si>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</si>
  <si>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</si>
  <si>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</si>
  <si>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</si>
  <si>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</si>
  <si>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</si>
  <si>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</si>
  <si>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</si>
  <si>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</si>
  <si>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</si>
  <si>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</si>
  <si>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</si>
  <si>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</si>
  <si>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</si>
  <si>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</si>
  <si>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</si>
  <si>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</si>
  <si>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</si>
  <si>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</si>
  <si>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</si>
  <si>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</si>
  <si>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</si>
  <si>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</si>
  <si>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</si>
  <si>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</si>
  <si>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</si>
  <si>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</si>
  <si>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</si>
  <si>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</si>
  <si>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</si>
  <si>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</si>
  <si>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</si>
  <si>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</si>
  <si>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</si>
  <si>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</si>
  <si>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</si>
  <si>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</si>
  <si>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</si>
  <si>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</si>
  <si>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</si>
  <si>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</si>
  <si>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</si>
  <si>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</si>
  <si>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</si>
  <si>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</si>
  <si>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</si>
  <si>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</si>
  <si>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</si>
  <si>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</si>
  <si>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</si>
  <si>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</si>
  <si>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</si>
  <si>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</si>
  <si>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</si>
  <si>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</si>
  <si>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</si>
  <si>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</si>
  <si>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</si>
  <si>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</si>
  <si>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</si>
  <si>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</si>
  <si>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</si>
  <si>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</si>
  <si>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</si>
  <si>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</si>
  <si>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</si>
  <si>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</si>
  <si>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</si>
  <si>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202201 original:</t>
  </si>
  <si>
    <t>202201 actual:</t>
  </si>
  <si>
    <t>entry needed:</t>
  </si>
  <si>
    <t>$2.11 Jan demand rate error - fix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</si>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</sst>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9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40" fontId="34" fillId="0" borderId="18" xfId="1" applyFont="1" applyFill="1" applyBorder="1"/>
    <xf numFmtId="0" fontId="53" fillId="0" borderId="0" xfId="137" applyFont="1"/>
    <xf numFmtId="0" fontId="53" fillId="0" borderId="0" xfId="137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43" fontId="54" fillId="0" borderId="0" xfId="138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35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topLeftCell="A13"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Amort'!H36:H45)+SUM(#REF!)+SUM(#REF!)+'191010 WA DEF'!G52-0.01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zoomScale="60" zoomScaleNormal="60" workbookViewId="0">
      <selection activeCell="H25" sqref="H25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202204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61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61">
        <v>6663215</v>
      </c>
      <c r="Q10" s="182">
        <v>9.2030000000000001E-2</v>
      </c>
      <c r="R10" s="251">
        <f>P10*Q10</f>
        <v>613215.67645000003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61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61">
        <v>2320122</v>
      </c>
      <c r="Q11" s="182">
        <f>Q10</f>
        <v>9.2030000000000001E-2</v>
      </c>
      <c r="R11" s="251">
        <f>P11*Q11</f>
        <v>213520.82766000001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61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61">
        <v>15477</v>
      </c>
      <c r="Q12" s="182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3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3">
        <f>+P10</f>
        <v>6663215</v>
      </c>
      <c r="Q23" s="182">
        <v>0.26384000000000002</v>
      </c>
      <c r="R23" s="251">
        <f>P23*Q23</f>
        <v>1758022.6456000002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3">
        <f t="shared" ref="P24:P27" si="4">+P11</f>
        <v>2320122</v>
      </c>
      <c r="Q24" s="182">
        <v>0.26384000000000002</v>
      </c>
      <c r="R24" s="251">
        <f>P24*Q24</f>
        <v>612140.98848000006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3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3">
        <f t="shared" si="4"/>
        <v>15477</v>
      </c>
      <c r="Q25" s="182">
        <v>0.26384000000000002</v>
      </c>
      <c r="R25" s="251">
        <f>P25*Q25</f>
        <v>4083.4516800000001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3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112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115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abSelected="1" zoomScale="70" zoomScaleNormal="70" workbookViewId="0">
      <selection activeCell="E18" sqref="E1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202205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0.66249999999999998</v>
      </c>
      <c r="H8" s="208">
        <v>0.31669999999999998</v>
      </c>
      <c r="I8" s="171">
        <f>1-G8</f>
        <v>0.33750000000000002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2358473.85</v>
      </c>
      <c r="F10" s="210"/>
      <c r="G10" s="211"/>
      <c r="H10" s="210"/>
      <c r="I10" s="201"/>
      <c r="J10" s="31"/>
      <c r="K10" s="25" t="s">
        <v>10</v>
      </c>
      <c r="L10" s="261">
        <v>7528936</v>
      </c>
      <c r="M10" s="182">
        <v>9.3729999999999994E-2</v>
      </c>
      <c r="N10" s="159">
        <f t="shared" ref="N10:N16" si="0">L10*M10</f>
        <v>705687.17128000001</v>
      </c>
      <c r="O10" s="25" t="s">
        <v>10</v>
      </c>
      <c r="P10" s="261">
        <v>4002566</v>
      </c>
      <c r="Q10" s="182">
        <v>9.2030000000000001E-2</v>
      </c>
      <c r="R10" s="251">
        <f>P10*Q10</f>
        <v>368356.14898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23372.799999999999</v>
      </c>
      <c r="F11" s="210"/>
      <c r="G11" s="211"/>
      <c r="H11" s="210"/>
      <c r="I11" s="201"/>
      <c r="J11" s="31"/>
      <c r="K11" s="25" t="s">
        <v>42</v>
      </c>
      <c r="L11" s="261">
        <v>22516</v>
      </c>
      <c r="M11" s="182">
        <v>9.3729999999999994E-2</v>
      </c>
      <c r="N11" s="159">
        <f t="shared" si="0"/>
        <v>2110.4246800000001</v>
      </c>
      <c r="O11" s="25" t="s">
        <v>11</v>
      </c>
      <c r="P11" s="261">
        <v>1773056</v>
      </c>
      <c r="Q11" s="182">
        <f>Q10</f>
        <v>9.2030000000000001E-2</v>
      </c>
      <c r="R11" s="251">
        <f>P11*Q11</f>
        <v>163174.34367999999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2381846.65</v>
      </c>
      <c r="F12" s="212"/>
      <c r="G12" s="213"/>
      <c r="H12" s="212"/>
      <c r="I12" s="202"/>
      <c r="J12" s="31"/>
      <c r="K12" s="25" t="s">
        <v>11</v>
      </c>
      <c r="L12" s="261">
        <v>3861543</v>
      </c>
      <c r="M12" s="182">
        <v>8.7319999999999995E-2</v>
      </c>
      <c r="N12" s="159">
        <f t="shared" si="0"/>
        <v>337189.93475999997</v>
      </c>
      <c r="O12" s="25" t="s">
        <v>12</v>
      </c>
      <c r="P12" s="261">
        <v>84209</v>
      </c>
      <c r="Q12" s="182">
        <f t="shared" ref="Q12:Q14" si="1">Q11</f>
        <v>9.2030000000000001E-2</v>
      </c>
      <c r="R12" s="251">
        <f>P12*Q12</f>
        <v>7749.7542700000004</v>
      </c>
    </row>
    <row r="13" spans="2:20" ht="15.6" customHeight="1" thickBot="1">
      <c r="B13" s="173" t="s">
        <v>25</v>
      </c>
      <c r="C13" s="1"/>
      <c r="D13" s="1"/>
      <c r="E13" s="221">
        <f>-E11</f>
        <v>-23372.799999999999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2358473.85</v>
      </c>
      <c r="F14" s="227">
        <f>E14*F8</f>
        <v>1611545.1817050001</v>
      </c>
      <c r="G14" s="228"/>
      <c r="H14" s="227">
        <f>E14*H8</f>
        <v>746928.66829499998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88225</v>
      </c>
      <c r="M15" s="182">
        <v>5.4429999999999999E-2</v>
      </c>
      <c r="N15" s="159">
        <f t="shared" si="0"/>
        <v>4802.0867499999995</v>
      </c>
      <c r="O15" s="24" t="s">
        <v>29</v>
      </c>
      <c r="P15" s="131">
        <f>SUM(P10:P14)</f>
        <v>5859831</v>
      </c>
      <c r="Q15" s="132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2848454</v>
      </c>
      <c r="M16" s="182">
        <v>5.4000000000000001E-4</v>
      </c>
      <c r="N16" s="159">
        <f t="shared" si="0"/>
        <v>1538.16516</v>
      </c>
      <c r="O16" s="25"/>
      <c r="P16" s="183">
        <v>5859831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24605282.289999999</v>
      </c>
      <c r="F17" s="233"/>
      <c r="G17" s="231"/>
      <c r="H17" s="230"/>
      <c r="I17" s="232"/>
      <c r="J17" s="31"/>
      <c r="K17" s="24" t="s">
        <v>29</v>
      </c>
      <c r="L17" s="131">
        <f>SUM(L10:L16)</f>
        <v>14349674</v>
      </c>
      <c r="M17" s="4"/>
      <c r="N17" s="22">
        <f>SUM(N10:N16)</f>
        <v>1051327.78263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-338052.1</v>
      </c>
      <c r="F18" s="230"/>
      <c r="G18" s="231"/>
      <c r="H18" s="230"/>
      <c r="I18" s="232"/>
      <c r="J18" s="31"/>
      <c r="K18" s="15"/>
      <c r="L18" s="183">
        <v>14349674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53547.45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15196.65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-2553044.14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1408993.33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19339.34</v>
      </c>
      <c r="F23" s="230"/>
      <c r="G23" s="231"/>
      <c r="H23" s="230"/>
      <c r="I23" s="232"/>
      <c r="J23" s="31"/>
      <c r="K23" s="25" t="s">
        <v>10</v>
      </c>
      <c r="L23" s="253">
        <f>+L10</f>
        <v>7528936</v>
      </c>
      <c r="M23" s="182">
        <v>0.22319</v>
      </c>
      <c r="N23" s="159">
        <f t="shared" ref="N23" si="2">L23*M23</f>
        <v>1680383.22584</v>
      </c>
      <c r="O23" s="25" t="s">
        <v>10</v>
      </c>
      <c r="P23" s="253">
        <f>+P10</f>
        <v>4002566</v>
      </c>
      <c r="Q23" s="182">
        <v>0.26384000000000002</v>
      </c>
      <c r="R23" s="251">
        <f>P23*Q23</f>
        <v>1056037.0134400001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-9102589.4100000001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22516</v>
      </c>
      <c r="M24" s="182">
        <f>M23</f>
        <v>0.22319</v>
      </c>
      <c r="N24" s="159">
        <f>L24*M24</f>
        <v>5025.3460400000004</v>
      </c>
      <c r="O24" s="25" t="s">
        <v>11</v>
      </c>
      <c r="P24" s="253">
        <f t="shared" ref="P24:P27" si="4">+P11</f>
        <v>1773056</v>
      </c>
      <c r="Q24" s="182">
        <v>0.26384000000000002</v>
      </c>
      <c r="R24" s="251">
        <f>P24*Q24</f>
        <v>467803.09504000004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-75360.25</v>
      </c>
      <c r="F25" s="230"/>
      <c r="G25" s="231"/>
      <c r="H25" s="230"/>
      <c r="I25" s="232"/>
      <c r="J25" s="31"/>
      <c r="K25" s="25" t="s">
        <v>11</v>
      </c>
      <c r="L25" s="253">
        <f t="shared" si="3"/>
        <v>3861543</v>
      </c>
      <c r="M25" s="182">
        <f t="shared" ref="M25:M28" si="5">M24</f>
        <v>0.22319</v>
      </c>
      <c r="N25" s="159">
        <f>L25*M25</f>
        <v>861857.78217000002</v>
      </c>
      <c r="O25" s="25" t="s">
        <v>12</v>
      </c>
      <c r="P25" s="253">
        <f t="shared" si="4"/>
        <v>84209</v>
      </c>
      <c r="Q25" s="182">
        <v>0.26384000000000002</v>
      </c>
      <c r="R25" s="251">
        <f>P25*Q25</f>
        <v>22217.702560000002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-3062334.55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486610.87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-4136328.48</v>
      </c>
      <c r="F28" s="230"/>
      <c r="G28" s="231"/>
      <c r="H28" s="230"/>
      <c r="I28" s="232"/>
      <c r="J28" s="31"/>
      <c r="K28" s="25" t="s">
        <v>14</v>
      </c>
      <c r="L28" s="253">
        <f t="shared" si="3"/>
        <v>88225</v>
      </c>
      <c r="M28" s="182">
        <f t="shared" si="5"/>
        <v>0.22319</v>
      </c>
      <c r="N28" s="159">
        <f>L28*M28</f>
        <v>19690.937750000001</v>
      </c>
      <c r="O28" s="24" t="s">
        <v>31</v>
      </c>
      <c r="P28" s="131">
        <f>SUM(P23:P27)</f>
        <v>5859831</v>
      </c>
      <c r="Q28" s="132"/>
      <c r="R28" s="22">
        <f>SUM(R23:R27)</f>
        <v>1546057.8110400001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11501220</v>
      </c>
      <c r="M29" s="132"/>
      <c r="N29" s="139">
        <f>SUM(N23:N28)</f>
        <v>2566957.2918000002</v>
      </c>
      <c r="O29" s="24"/>
      <c r="P29" s="183">
        <v>5859831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11501220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23372.799999999999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6875883.7999999942</v>
      </c>
      <c r="F32" s="237"/>
      <c r="G32" s="211">
        <f>E32*G8</f>
        <v>4555273.0174999963</v>
      </c>
      <c r="H32" s="128"/>
      <c r="I32" s="201">
        <f>E32*I8</f>
        <v>2320610.7824999983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316601.59000000003</v>
      </c>
      <c r="F35" s="230"/>
      <c r="G35" s="211">
        <f>E35</f>
        <v>316601.59000000003</v>
      </c>
      <c r="H35" s="128"/>
      <c r="I35" s="201"/>
      <c r="J35" s="31"/>
      <c r="K35" s="14" t="s">
        <v>112</v>
      </c>
      <c r="L35" s="129">
        <f>$F$39</f>
        <v>1611545.1817050001</v>
      </c>
      <c r="M35" s="129">
        <f>G39</f>
        <v>4871874.6074999962</v>
      </c>
      <c r="N35" s="129">
        <f>$H$39</f>
        <v>746928.66829499998</v>
      </c>
      <c r="O35" s="129">
        <f>I39</f>
        <v>2478542.7724999981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157931.99</v>
      </c>
      <c r="F36" s="230"/>
      <c r="G36" s="211"/>
      <c r="H36" s="128"/>
      <c r="I36" s="201">
        <f>E36</f>
        <v>157931.99</v>
      </c>
      <c r="J36" s="31"/>
      <c r="K36" s="14" t="s">
        <v>115</v>
      </c>
      <c r="L36" s="184">
        <f>-$N$17</f>
        <v>-1051327.78263</v>
      </c>
      <c r="M36" s="184">
        <f>-N29</f>
        <v>-2566957.2918000002</v>
      </c>
      <c r="N36" s="184">
        <f>-$R$15</f>
        <v>-539280.24693000002</v>
      </c>
      <c r="O36" s="184">
        <f>-R28</f>
        <v>-1546057.8110400001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7350417.3799999943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560217.39907500008</v>
      </c>
      <c r="M37" s="134">
        <f>SUM(M35:M36)</f>
        <v>2304917.315699996</v>
      </c>
      <c r="N37" s="134">
        <f t="shared" si="6"/>
        <v>207648.42136499996</v>
      </c>
      <c r="O37" s="134">
        <f t="shared" si="6"/>
        <v>932484.96145999804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9708891.2299999949</v>
      </c>
      <c r="F39" s="225">
        <f>SUM(F14:F37)</f>
        <v>1611545.1817050001</v>
      </c>
      <c r="G39" s="226">
        <f t="shared" ref="G39:I39" si="7">SUM(G14:G37)</f>
        <v>4871874.6074999962</v>
      </c>
      <c r="H39" s="225">
        <f t="shared" si="7"/>
        <v>746928.66829499998</v>
      </c>
      <c r="I39" s="181">
        <f t="shared" si="7"/>
        <v>2478542.7724999981</v>
      </c>
      <c r="J39" s="31"/>
      <c r="K39" s="190"/>
      <c r="L39" s="193" t="s">
        <v>36</v>
      </c>
      <c r="M39" s="191">
        <f>SUM(L37:M37)</f>
        <v>2865134.714774996</v>
      </c>
      <c r="N39" s="194" t="s">
        <v>37</v>
      </c>
      <c r="O39" s="191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9708891.2300000004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53"/>
  <sheetViews>
    <sheetView zoomScale="90" zoomScaleNormal="90" workbookViewId="0">
      <pane ySplit="6" topLeftCell="A7" activePane="bottomLeft" state="frozen"/>
      <selection activeCell="F26" sqref="F26"/>
      <selection pane="bottomLeft" activeCell="F12" sqref="F12:G16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75">
      <c r="A22" s="72">
        <f t="shared" si="23"/>
        <v>202204</v>
      </c>
      <c r="B22" s="77">
        <v>3.2500000000000001E-2</v>
      </c>
      <c r="C22" s="57"/>
      <c r="D22" s="60">
        <v>0</v>
      </c>
      <c r="E22" s="79">
        <f t="shared" si="19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5">ROUND(((E22)*(B22/12))+((SUM(F22:G22)/2)*(B22/12)),2)</f>
        <v>30017.78</v>
      </c>
      <c r="I22" s="98">
        <f t="shared" si="21"/>
        <v>13046917.447410995</v>
      </c>
      <c r="J22" s="59"/>
      <c r="K22" s="80">
        <v>13046917.439999999</v>
      </c>
      <c r="L22" s="81">
        <f t="shared" ref="L22" si="26">K22-I22</f>
        <v>-7.4109956622123718E-3</v>
      </c>
      <c r="M22" s="70"/>
      <c r="N22" s="242"/>
      <c r="O22" s="242"/>
    </row>
    <row r="23" spans="1:23" s="40" customFormat="1" ht="15.75">
      <c r="A23" s="72">
        <f t="shared" si="23"/>
        <v>202205</v>
      </c>
      <c r="B23" s="77">
        <v>3.2500000000000001E-2</v>
      </c>
      <c r="C23" s="57"/>
      <c r="D23" s="60">
        <v>0</v>
      </c>
      <c r="E23" s="79">
        <f t="shared" si="19"/>
        <v>13046917.447410995</v>
      </c>
      <c r="F23" s="78">
        <f>'May 22'!M$37</f>
        <v>2304917.315699996</v>
      </c>
      <c r="G23" s="78">
        <f>'May 22'!L$37</f>
        <v>560217.39907500008</v>
      </c>
      <c r="H23" s="58">
        <f t="shared" si="25"/>
        <v>39215.269999999997</v>
      </c>
      <c r="I23" s="98">
        <f t="shared" si="21"/>
        <v>15951267.432185991</v>
      </c>
      <c r="J23" s="59"/>
      <c r="K23" s="80">
        <v>13046917.439999999</v>
      </c>
      <c r="L23" s="81">
        <f t="shared" ref="L23" si="27">K23-I23</f>
        <v>-2904349.9921859913</v>
      </c>
      <c r="M23" s="70"/>
      <c r="N23" s="242"/>
      <c r="O23" s="242"/>
    </row>
    <row r="24" spans="1:23" s="40" customFormat="1" ht="15.75">
      <c r="A24" s="72">
        <f t="shared" si="23"/>
        <v>202206</v>
      </c>
      <c r="B24" s="77"/>
      <c r="C24" s="57"/>
      <c r="D24" s="60">
        <v>0</v>
      </c>
      <c r="E24" s="79">
        <f t="shared" si="19"/>
        <v>15951267.432185991</v>
      </c>
      <c r="F24" s="78"/>
      <c r="G24" s="78"/>
      <c r="H24" s="58">
        <f t="shared" si="25"/>
        <v>0</v>
      </c>
      <c r="I24" s="98">
        <f t="shared" si="21"/>
        <v>15951267.432185991</v>
      </c>
      <c r="J24" s="59"/>
      <c r="K24" s="80"/>
      <c r="L24" s="81"/>
      <c r="M24" s="70"/>
      <c r="N24" s="242"/>
      <c r="O24" s="242"/>
    </row>
    <row r="25" spans="1:23" s="40" customFormat="1" ht="15.75">
      <c r="A25" s="72">
        <f t="shared" si="23"/>
        <v>202207</v>
      </c>
      <c r="B25" s="77"/>
      <c r="C25" s="57"/>
      <c r="D25" s="60">
        <v>0</v>
      </c>
      <c r="E25" s="79">
        <f t="shared" si="19"/>
        <v>15951267.432185991</v>
      </c>
      <c r="F25" s="78"/>
      <c r="G25" s="78"/>
      <c r="H25" s="58">
        <f t="shared" si="25"/>
        <v>0</v>
      </c>
      <c r="I25" s="98">
        <f>SUM(E25:H25)</f>
        <v>15951267.432185991</v>
      </c>
      <c r="J25" s="59"/>
      <c r="K25" s="80"/>
      <c r="L25" s="81"/>
      <c r="M25" s="70"/>
      <c r="N25" s="242"/>
    </row>
    <row r="26" spans="1:23" s="40" customFormat="1" ht="15.75">
      <c r="A26" s="72">
        <f t="shared" si="23"/>
        <v>202208</v>
      </c>
      <c r="B26" s="77"/>
      <c r="C26" s="57"/>
      <c r="D26" s="60">
        <v>0</v>
      </c>
      <c r="E26" s="79">
        <f t="shared" si="19"/>
        <v>15951267.432185991</v>
      </c>
      <c r="F26" s="78"/>
      <c r="G26" s="78"/>
      <c r="H26" s="58">
        <f t="shared" si="25"/>
        <v>0</v>
      </c>
      <c r="I26" s="98">
        <f>SUM(E26:H26)</f>
        <v>15951267.432185991</v>
      </c>
      <c r="J26" s="59"/>
      <c r="K26" s="80"/>
      <c r="L26" s="81"/>
      <c r="M26" s="70"/>
    </row>
    <row r="27" spans="1:23" s="40" customFormat="1" ht="15.75">
      <c r="A27" s="72">
        <f t="shared" si="23"/>
        <v>202209</v>
      </c>
      <c r="B27" s="77"/>
      <c r="C27" s="57"/>
      <c r="D27" s="60">
        <v>0</v>
      </c>
      <c r="E27" s="79">
        <f t="shared" si="19"/>
        <v>15951267.432185991</v>
      </c>
      <c r="F27" s="78"/>
      <c r="G27" s="78"/>
      <c r="H27" s="58">
        <f t="shared" si="25"/>
        <v>0</v>
      </c>
      <c r="I27" s="98">
        <f t="shared" ref="I27:I28" si="28">SUM(E27:H27)</f>
        <v>15951267.432185991</v>
      </c>
      <c r="J27" s="59"/>
      <c r="K27" s="80"/>
      <c r="L27" s="81"/>
      <c r="M27" s="70"/>
    </row>
    <row r="28" spans="1:23" s="40" customFormat="1" ht="15.75">
      <c r="A28" s="72">
        <f t="shared" si="23"/>
        <v>202210</v>
      </c>
      <c r="B28" s="77"/>
      <c r="C28" s="57"/>
      <c r="D28" s="60">
        <v>0</v>
      </c>
      <c r="E28" s="79">
        <f t="shared" si="19"/>
        <v>15951267.432185991</v>
      </c>
      <c r="F28" s="78"/>
      <c r="G28" s="78"/>
      <c r="H28" s="58">
        <f t="shared" si="25"/>
        <v>0</v>
      </c>
      <c r="I28" s="98">
        <f t="shared" si="28"/>
        <v>15951267.432185991</v>
      </c>
      <c r="J28" s="59"/>
      <c r="K28" s="80"/>
      <c r="L28" s="81"/>
      <c r="M28" s="70"/>
    </row>
    <row r="29" spans="1:23" s="40" customFormat="1" ht="15.75">
      <c r="A29" s="72">
        <f t="shared" si="23"/>
        <v>202211</v>
      </c>
      <c r="B29" s="77"/>
      <c r="C29" s="57"/>
      <c r="D29" s="60"/>
      <c r="E29" s="79">
        <f t="shared" si="19"/>
        <v>15951267.432185991</v>
      </c>
      <c r="F29" s="78"/>
      <c r="G29" s="78"/>
      <c r="H29" s="58">
        <f t="shared" si="25"/>
        <v>0</v>
      </c>
      <c r="I29" s="98">
        <f>SUM(E29:H29)</f>
        <v>15951267.432185991</v>
      </c>
      <c r="J29" s="59"/>
      <c r="K29" s="80"/>
      <c r="L29" s="81"/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 t="shared" si="19"/>
        <v>15951267.432185991</v>
      </c>
      <c r="F30" s="62"/>
      <c r="G30" s="62"/>
      <c r="H30" s="63">
        <f t="shared" si="25"/>
        <v>0</v>
      </c>
      <c r="I30" s="107">
        <f t="shared" ref="I30" si="29">SUM(E30:H30)</f>
        <v>15951267.432185991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2304917.315699996</v>
      </c>
      <c r="G31" s="64">
        <f>SUMIF($A$7:$A$30,$D34,G$7:G$30)</f>
        <v>560217.39907500008</v>
      </c>
      <c r="H31" s="64">
        <f>SUMIF($A$7:$A$30,$D34,H$7:H$30)</f>
        <v>39215.269999999997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202205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39215.269999999997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>
        <f>IF($F$31+$G$31+H31&gt;0,ABS($F$31+$G$31+H31),"")</f>
        <v>2904349.9847749961</v>
      </c>
      <c r="F38" s="54" t="str">
        <f>IF($F$31+$G$31+H31&lt;0,ABS($F$31+$G$31+H31),"")</f>
        <v/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2865134.714774996</v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75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  <row r="48" spans="1:23">
      <c r="D48" s="55"/>
      <c r="E48" s="278" t="s">
        <v>146</v>
      </c>
      <c r="F48" s="278"/>
      <c r="G48" s="278"/>
      <c r="I48" s="33"/>
      <c r="J48" s="32"/>
      <c r="L48" s="71"/>
      <c r="M48" s="32"/>
    </row>
    <row r="49" spans="4:13">
      <c r="D49" s="55"/>
      <c r="E49" s="267" t="s">
        <v>143</v>
      </c>
      <c r="F49" s="267" t="s">
        <v>144</v>
      </c>
      <c r="G49" s="268" t="s">
        <v>145</v>
      </c>
      <c r="I49" s="33"/>
      <c r="J49" s="32"/>
      <c r="L49" s="71"/>
      <c r="M49" s="32"/>
    </row>
    <row r="50" spans="4:13">
      <c r="D50" s="52" t="s">
        <v>54</v>
      </c>
      <c r="E50" s="54">
        <v>-12303.63</v>
      </c>
      <c r="F50" s="54">
        <v>-12303.63</v>
      </c>
      <c r="G50" s="266">
        <f>F50-E50</f>
        <v>0</v>
      </c>
      <c r="H50" s="265"/>
      <c r="I50" s="33"/>
      <c r="J50" s="32"/>
      <c r="L50" s="71"/>
      <c r="M50" s="32"/>
    </row>
    <row r="51" spans="4:13">
      <c r="D51" s="52" t="s">
        <v>55</v>
      </c>
      <c r="E51" s="54"/>
      <c r="F51" s="54"/>
      <c r="G51" s="266"/>
      <c r="H51" s="265"/>
      <c r="I51" s="33"/>
      <c r="J51" s="32"/>
      <c r="L51" s="71"/>
      <c r="M51" s="32"/>
    </row>
    <row r="52" spans="4:13">
      <c r="D52" s="52" t="s">
        <v>56</v>
      </c>
      <c r="E52" s="54">
        <v>3002302.58</v>
      </c>
      <c r="F52" s="54">
        <v>3002304.7</v>
      </c>
      <c r="G52" s="266">
        <f>F52-E52-0.01</f>
        <v>2.1100000001117589</v>
      </c>
      <c r="H52" s="265"/>
      <c r="I52" s="33"/>
      <c r="J52" s="32"/>
      <c r="L52" s="71"/>
      <c r="M52" s="32"/>
    </row>
    <row r="53" spans="4:13">
      <c r="D53" s="52" t="s">
        <v>57</v>
      </c>
      <c r="E53" s="54">
        <v>-2989998.95</v>
      </c>
      <c r="F53" s="54">
        <v>-2990001.07</v>
      </c>
      <c r="G53" s="266">
        <f>F53-E53+0.01</f>
        <v>-2.1099999996460976</v>
      </c>
      <c r="H53" s="265"/>
      <c r="I53" s="33"/>
      <c r="J53" s="32"/>
      <c r="L53" s="71"/>
      <c r="M53" s="32"/>
    </row>
  </sheetData>
  <mergeCells count="1">
    <mergeCell ref="E48:G48"/>
  </mergeCells>
  <printOptions horizontalCentered="1"/>
  <pageMargins left="0.25" right="0.25" top="0.5" bottom="0.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Y6" sqref="Y6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0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1">F20*G20</f>
        <v>-399883.68286</v>
      </c>
      <c r="I20" s="257">
        <v>7967454</v>
      </c>
      <c r="J20" s="90">
        <v>-2.9020000000000001E-2</v>
      </c>
      <c r="K20" s="101">
        <f t="shared" ref="K20:K28" si="22">I20*J20</f>
        <v>-231215.51508000001</v>
      </c>
      <c r="L20" s="99"/>
      <c r="M20" s="90"/>
      <c r="N20" s="101">
        <f t="shared" ref="N20:N28" si="23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>R20-P20</f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0"/>
        <v>7039422.3188469987</v>
      </c>
      <c r="F21" s="257">
        <f>14466885+38681</f>
        <v>14505566</v>
      </c>
      <c r="G21" s="90">
        <v>-2.0060000000000001E-2</v>
      </c>
      <c r="H21" s="101">
        <f t="shared" si="21"/>
        <v>-290981.65396000003</v>
      </c>
      <c r="I21" s="257">
        <v>6530840</v>
      </c>
      <c r="J21" s="90">
        <v>-2.9020000000000001E-2</v>
      </c>
      <c r="K21" s="101">
        <f t="shared" si="22"/>
        <v>-189524.9768</v>
      </c>
      <c r="L21" s="99"/>
      <c r="M21" s="90"/>
      <c r="N21" s="101">
        <f t="shared" si="23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>R21-P21</f>
        <v>-1.8086998723447323E-2</v>
      </c>
    </row>
    <row r="22" spans="1:23">
      <c r="A22" s="135" t="s">
        <v>132</v>
      </c>
      <c r="B22" s="89">
        <v>3.2500000000000001E-2</v>
      </c>
      <c r="C22" s="60">
        <v>0</v>
      </c>
      <c r="D22" s="60">
        <v>0</v>
      </c>
      <c r="E22" s="91">
        <f t="shared" si="20"/>
        <v>6577330.1080869986</v>
      </c>
      <c r="F22" s="257">
        <f>12130478+33753</f>
        <v>12164231</v>
      </c>
      <c r="G22" s="90">
        <v>-2.0060000000000001E-2</v>
      </c>
      <c r="H22" s="101">
        <f t="shared" si="21"/>
        <v>-244014.47386000003</v>
      </c>
      <c r="I22" s="257">
        <v>5534897</v>
      </c>
      <c r="J22" s="90">
        <v>-2.9020000000000001E-2</v>
      </c>
      <c r="K22" s="101">
        <f t="shared" si="22"/>
        <v>-160622.71093999999</v>
      </c>
      <c r="L22" s="99"/>
      <c r="M22" s="90"/>
      <c r="N22" s="101">
        <f t="shared" si="23"/>
        <v>0</v>
      </c>
      <c r="O22" s="98">
        <f t="shared" si="12"/>
        <v>17265.66</v>
      </c>
      <c r="P22" s="58">
        <f t="shared" si="18"/>
        <v>6189958.5832869988</v>
      </c>
      <c r="Q22" s="46"/>
      <c r="R22" s="80">
        <v>6189958.5700000003</v>
      </c>
      <c r="S22" s="81">
        <f>R22-P22</f>
        <v>-1.3286998495459557E-2</v>
      </c>
    </row>
    <row r="23" spans="1:23">
      <c r="A23" s="135" t="s">
        <v>133</v>
      </c>
      <c r="B23" s="89">
        <v>3.2500000000000001E-2</v>
      </c>
      <c r="C23" s="60">
        <v>0</v>
      </c>
      <c r="D23" s="60">
        <v>0</v>
      </c>
      <c r="E23" s="91">
        <f t="shared" si="20"/>
        <v>6189958.5832869988</v>
      </c>
      <c r="F23" s="257">
        <f>7528936+22516</f>
        <v>7551452</v>
      </c>
      <c r="G23" s="90">
        <v>-2.0060000000000001E-2</v>
      </c>
      <c r="H23" s="101">
        <f t="shared" si="21"/>
        <v>-151482.12712000002</v>
      </c>
      <c r="I23" s="257">
        <v>3861543</v>
      </c>
      <c r="J23" s="90">
        <v>-2.9020000000000001E-2</v>
      </c>
      <c r="K23" s="101">
        <f t="shared" si="22"/>
        <v>-112061.97786</v>
      </c>
      <c r="L23" s="99"/>
      <c r="M23" s="90"/>
      <c r="N23" s="101">
        <f t="shared" si="23"/>
        <v>0</v>
      </c>
      <c r="O23" s="98">
        <f t="shared" si="12"/>
        <v>16407.59</v>
      </c>
      <c r="P23" s="58">
        <f t="shared" si="18"/>
        <v>5942822.0683069983</v>
      </c>
      <c r="Q23" s="46"/>
      <c r="R23" s="80">
        <v>6189958.5700000003</v>
      </c>
      <c r="S23" s="81">
        <f>R23-P23</f>
        <v>247136.50169300195</v>
      </c>
    </row>
    <row r="24" spans="1:23">
      <c r="A24" s="135" t="s">
        <v>134</v>
      </c>
      <c r="B24" s="89"/>
      <c r="C24" s="60">
        <v>0</v>
      </c>
      <c r="D24" s="60">
        <v>0</v>
      </c>
      <c r="E24" s="91">
        <f t="shared" si="20"/>
        <v>5942822.0683069983</v>
      </c>
      <c r="F24" s="257"/>
      <c r="G24" s="90"/>
      <c r="H24" s="101">
        <f t="shared" si="21"/>
        <v>0</v>
      </c>
      <c r="I24" s="257"/>
      <c r="J24" s="90"/>
      <c r="K24" s="101">
        <f t="shared" si="22"/>
        <v>0</v>
      </c>
      <c r="L24" s="99"/>
      <c r="M24" s="90"/>
      <c r="N24" s="101">
        <f t="shared" si="23"/>
        <v>0</v>
      </c>
      <c r="O24" s="98">
        <f>ROUND(((E24*(B24/12))+(H24+K24+N24)/2*(B24/12)),2)</f>
        <v>0</v>
      </c>
      <c r="P24" s="58">
        <f t="shared" si="18"/>
        <v>5942822.0683069983</v>
      </c>
      <c r="Q24" s="46"/>
      <c r="R24" s="80"/>
      <c r="S24" s="81"/>
    </row>
    <row r="25" spans="1:23">
      <c r="A25" s="135" t="s">
        <v>135</v>
      </c>
      <c r="B25" s="89"/>
      <c r="C25" s="60">
        <v>0</v>
      </c>
      <c r="D25" s="60">
        <v>0</v>
      </c>
      <c r="E25" s="91">
        <f t="shared" si="20"/>
        <v>5942822.0683069983</v>
      </c>
      <c r="F25" s="257"/>
      <c r="G25" s="90"/>
      <c r="H25" s="101">
        <f t="shared" si="21"/>
        <v>0</v>
      </c>
      <c r="I25" s="257"/>
      <c r="J25" s="90"/>
      <c r="K25" s="101">
        <f t="shared" si="22"/>
        <v>0</v>
      </c>
      <c r="L25" s="99"/>
      <c r="M25" s="90"/>
      <c r="N25" s="101">
        <f t="shared" si="23"/>
        <v>0</v>
      </c>
      <c r="O25" s="98">
        <f t="shared" ref="O25:O30" si="24">ROUND(((E25*(B25/12))+(H25+K25+N25)/2*(B25/12)),2)</f>
        <v>0</v>
      </c>
      <c r="P25" s="58">
        <f t="shared" si="18"/>
        <v>5942822.0683069983</v>
      </c>
      <c r="Q25" s="46"/>
      <c r="R25" s="80"/>
      <c r="S25" s="81"/>
    </row>
    <row r="26" spans="1:23">
      <c r="A26" s="135" t="s">
        <v>136</v>
      </c>
      <c r="B26" s="89"/>
      <c r="C26" s="60">
        <v>0</v>
      </c>
      <c r="D26" s="60">
        <v>0</v>
      </c>
      <c r="E26" s="91">
        <f t="shared" si="20"/>
        <v>5942822.0683069983</v>
      </c>
      <c r="F26" s="257"/>
      <c r="G26" s="90"/>
      <c r="H26" s="101">
        <f t="shared" si="21"/>
        <v>0</v>
      </c>
      <c r="I26" s="257"/>
      <c r="J26" s="90"/>
      <c r="K26" s="101">
        <f t="shared" si="22"/>
        <v>0</v>
      </c>
      <c r="L26" s="99"/>
      <c r="M26" s="90"/>
      <c r="N26" s="101">
        <f t="shared" si="23"/>
        <v>0</v>
      </c>
      <c r="O26" s="98">
        <f t="shared" si="24"/>
        <v>0</v>
      </c>
      <c r="P26" s="58">
        <f t="shared" si="18"/>
        <v>5942822.0683069983</v>
      </c>
      <c r="Q26" s="46"/>
      <c r="R26" s="80"/>
      <c r="S26" s="81"/>
      <c r="U26" s="148"/>
    </row>
    <row r="27" spans="1:23">
      <c r="A27" s="135" t="s">
        <v>137</v>
      </c>
      <c r="B27" s="89"/>
      <c r="C27" s="60">
        <v>0</v>
      </c>
      <c r="D27" s="60">
        <v>0</v>
      </c>
      <c r="E27" s="91">
        <f t="shared" si="20"/>
        <v>5942822.0683069983</v>
      </c>
      <c r="F27" s="257"/>
      <c r="G27" s="90"/>
      <c r="H27" s="101">
        <f t="shared" si="21"/>
        <v>0</v>
      </c>
      <c r="I27" s="257"/>
      <c r="J27" s="90"/>
      <c r="K27" s="101">
        <f t="shared" si="22"/>
        <v>0</v>
      </c>
      <c r="L27" s="99"/>
      <c r="M27" s="90"/>
      <c r="N27" s="101">
        <f t="shared" si="23"/>
        <v>0</v>
      </c>
      <c r="O27" s="98">
        <f t="shared" si="24"/>
        <v>0</v>
      </c>
      <c r="P27" s="58">
        <f t="shared" si="18"/>
        <v>5942822.0683069983</v>
      </c>
      <c r="Q27" s="46"/>
      <c r="R27" s="80"/>
      <c r="S27" s="81"/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0"/>
        <v>5942822.0683069983</v>
      </c>
      <c r="F28" s="257"/>
      <c r="G28" s="90"/>
      <c r="H28" s="101">
        <f t="shared" si="21"/>
        <v>0</v>
      </c>
      <c r="I28" s="257"/>
      <c r="J28" s="90"/>
      <c r="K28" s="101">
        <f t="shared" si="22"/>
        <v>0</v>
      </c>
      <c r="L28" s="99"/>
      <c r="M28" s="90"/>
      <c r="N28" s="101">
        <f t="shared" si="23"/>
        <v>0</v>
      </c>
      <c r="O28" s="98">
        <f t="shared" si="24"/>
        <v>0</v>
      </c>
      <c r="P28" s="58">
        <f t="shared" si="18"/>
        <v>5942822.0683069983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0"/>
        <v>5942822.0683069983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4"/>
        <v>0</v>
      </c>
      <c r="P29" s="58">
        <f>E29+H29+K29+N29+O29</f>
        <v>5942822.0683069983</v>
      </c>
      <c r="Q29" s="46"/>
      <c r="R29" s="80"/>
      <c r="S29" s="81"/>
    </row>
    <row r="30" spans="1:23" ht="13.5" thickBot="1">
      <c r="A30" s="156" t="s">
        <v>140</v>
      </c>
      <c r="B30" s="105"/>
      <c r="C30" s="62">
        <v>0</v>
      </c>
      <c r="D30" s="62">
        <v>0</v>
      </c>
      <c r="E30" s="256">
        <f t="shared" si="20"/>
        <v>5942822.0683069983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4"/>
        <v>0</v>
      </c>
      <c r="P30" s="63">
        <f t="shared" ref="P30" si="25">E30+H30+K30+N30+O30</f>
        <v>5942822.0683069983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-151482.12712000002</v>
      </c>
      <c r="I31" s="65"/>
      <c r="J31" s="109"/>
      <c r="K31" s="64">
        <f>SUMIF($A$7:$A$30,$G34,K$7:N$30)</f>
        <v>-112061.97786</v>
      </c>
      <c r="L31" s="68"/>
      <c r="M31" s="111"/>
      <c r="N31" s="64">
        <f>SUMIF($A$7:$A$18,$G34,N$7:N$18)</f>
        <v>0</v>
      </c>
      <c r="O31" s="64">
        <f>SUMIF($A$7:$A$30,$G34,O$7:O$30)</f>
        <v>16407.59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202205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16407.59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247136.51498000001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76</v>
      </c>
      <c r="G39" s="52" t="s">
        <v>73</v>
      </c>
      <c r="H39" s="54">
        <f>IF(H31+$K$31+$N$31&lt;0,ABS(H31+$K$31+$N$31),"")</f>
        <v>263544.10498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5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1A8559-E9E1-4D7E-95FA-941AA30681C6}"/>
</file>

<file path=customXml/itemProps2.xml><?xml version="1.0" encoding="utf-8"?>
<ds:datastoreItem xmlns:ds="http://schemas.openxmlformats.org/officeDocument/2006/customXml" ds:itemID="{8E877C62-F806-4BCB-A2F7-251479C63A96}"/>
</file>

<file path=customXml/itemProps3.xml><?xml version="1.0" encoding="utf-8"?>
<ds:datastoreItem xmlns:ds="http://schemas.openxmlformats.org/officeDocument/2006/customXml" ds:itemID="{CF0E3550-5495-4DC9-8CFE-CEA66C5A59F7}"/>
</file>

<file path=customXml/itemProps4.xml><?xml version="1.0" encoding="utf-8"?>
<ds:datastoreItem xmlns:ds="http://schemas.openxmlformats.org/officeDocument/2006/customXml" ds:itemID="{C9AD7267-BEF9-443F-8E42-40CF0A214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Jan 22</vt:lpstr>
      <vt:lpstr>Feb 22</vt:lpstr>
      <vt:lpstr>Mar 22</vt:lpstr>
      <vt:lpstr>Apr 22</vt:lpstr>
      <vt:lpstr>May 22</vt:lpstr>
      <vt:lpstr>191010 WA DEF</vt:lpstr>
      <vt:lpstr>191000 WA Amort</vt:lpstr>
      <vt:lpstr>'191000 WA Amort'!Print_Area</vt:lpstr>
      <vt:lpstr>'191010 WA DEF'!Print_Area</vt:lpstr>
      <vt:lpstr>'Apr 22'!Print_Area</vt:lpstr>
      <vt:lpstr>'Feb 22'!Print_Area</vt:lpstr>
      <vt:lpstr>'Jan 22'!Print_Area</vt:lpstr>
      <vt:lpstr>'Mar 22'!Print_Area</vt:lpstr>
      <vt:lpstr>'May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2022-06-27T18:34:09Z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