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perkinscoie-my.sharepoint.com/personal/jkuzma_perkinscoie_com/Documents/Dates/2020/2020.12.05/Free/"/>
    </mc:Choice>
  </mc:AlternateContent>
  <xr:revisionPtr revIDLastSave="1" documentId="8_{444DC9B0-B128-44AE-B414-66FA84DE9718}" xr6:coauthVersionLast="41" xr6:coauthVersionMax="41" xr10:uidLastSave="{9C19AEC7-24C9-4C75-B073-FABC9058035B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Sheet1!$B$4:$T$51</definedName>
    <definedName name="_xlnm.Print_Titles" localSheetId="0">Sheet1!$B:$F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1" i="1" l="1"/>
  <c r="N41" i="1"/>
  <c r="K41" i="1"/>
  <c r="H41" i="1"/>
  <c r="G41" i="1"/>
  <c r="N26" i="1"/>
  <c r="N40" i="1" s="1"/>
  <c r="R24" i="1"/>
  <c r="Q24" i="1"/>
  <c r="P24" i="1"/>
  <c r="O24" i="1"/>
  <c r="N24" i="1"/>
  <c r="M24" i="1"/>
  <c r="L24" i="1"/>
  <c r="K24" i="1"/>
  <c r="J24" i="1"/>
  <c r="I24" i="1"/>
  <c r="H24" i="1"/>
  <c r="G24" i="1"/>
  <c r="R14" i="1"/>
  <c r="Q14" i="1"/>
  <c r="P14" i="1"/>
  <c r="O14" i="1"/>
  <c r="N14" i="1"/>
  <c r="M14" i="1"/>
  <c r="L14" i="1"/>
  <c r="K14" i="1"/>
  <c r="J14" i="1"/>
  <c r="I14" i="1"/>
  <c r="H14" i="1"/>
  <c r="G14" i="1"/>
  <c r="O9" i="1"/>
  <c r="M9" i="1"/>
  <c r="G9" i="1"/>
  <c r="T7" i="1"/>
  <c r="T6" i="1"/>
  <c r="T8" i="1"/>
  <c r="R15" i="1" s="1"/>
  <c r="T15" i="1" s="1"/>
  <c r="R30" i="1" s="1"/>
  <c r="T30" i="1" s="1"/>
  <c r="R8" i="1"/>
  <c r="R26" i="1" s="1"/>
  <c r="R40" i="1" s="1"/>
  <c r="Q8" i="1"/>
  <c r="Q27" i="1" s="1"/>
  <c r="P8" i="1"/>
  <c r="P27" i="1" s="1"/>
  <c r="O8" i="1"/>
  <c r="O27" i="1" s="1"/>
  <c r="N8" i="1"/>
  <c r="N9" i="1" s="1"/>
  <c r="M8" i="1"/>
  <c r="M26" i="1" s="1"/>
  <c r="M40" i="1" s="1"/>
  <c r="L8" i="1"/>
  <c r="L26" i="1" s="1"/>
  <c r="L40" i="1" s="1"/>
  <c r="K8" i="1"/>
  <c r="K26" i="1" s="1"/>
  <c r="K40" i="1" s="1"/>
  <c r="J8" i="1"/>
  <c r="J26" i="1" s="1"/>
  <c r="J40" i="1" s="1"/>
  <c r="I8" i="1"/>
  <c r="I27" i="1" s="1"/>
  <c r="H8" i="1"/>
  <c r="J10" i="1" s="1"/>
  <c r="J11" i="1" s="1"/>
  <c r="G8" i="1"/>
  <c r="R10" i="1" s="1"/>
  <c r="R11" i="1" l="1"/>
  <c r="R16" i="1"/>
  <c r="O39" i="1"/>
  <c r="O38" i="1"/>
  <c r="P39" i="1"/>
  <c r="P38" i="1"/>
  <c r="P45" i="1" s="1"/>
  <c r="I38" i="1"/>
  <c r="I45" i="1" s="1"/>
  <c r="I39" i="1"/>
  <c r="Q38" i="1"/>
  <c r="Q45" i="1" s="1"/>
  <c r="Q39" i="1"/>
  <c r="J25" i="1"/>
  <c r="J27" i="1"/>
  <c r="R27" i="1"/>
  <c r="L10" i="1"/>
  <c r="H9" i="1"/>
  <c r="P9" i="1"/>
  <c r="T24" i="1"/>
  <c r="K25" i="1"/>
  <c r="G26" i="1"/>
  <c r="O26" i="1"/>
  <c r="O40" i="1" s="1"/>
  <c r="K27" i="1"/>
  <c r="M10" i="1"/>
  <c r="M11" i="1" s="1"/>
  <c r="I9" i="1"/>
  <c r="Q9" i="1"/>
  <c r="L25" i="1"/>
  <c r="H26" i="1"/>
  <c r="H40" i="1" s="1"/>
  <c r="P26" i="1"/>
  <c r="P40" i="1" s="1"/>
  <c r="L27" i="1"/>
  <c r="K10" i="1"/>
  <c r="K11" i="1" s="1"/>
  <c r="N10" i="1"/>
  <c r="N11" i="1" s="1"/>
  <c r="J9" i="1"/>
  <c r="R9" i="1"/>
  <c r="M25" i="1"/>
  <c r="I26" i="1"/>
  <c r="I40" i="1" s="1"/>
  <c r="Q26" i="1"/>
  <c r="Q40" i="1" s="1"/>
  <c r="M27" i="1"/>
  <c r="R25" i="1"/>
  <c r="G10" i="1"/>
  <c r="G11" i="1" s="1"/>
  <c r="O10" i="1"/>
  <c r="K9" i="1"/>
  <c r="N25" i="1"/>
  <c r="N27" i="1"/>
  <c r="H10" i="1"/>
  <c r="H11" i="1" s="1"/>
  <c r="P10" i="1"/>
  <c r="P11" i="1" s="1"/>
  <c r="L9" i="1"/>
  <c r="G25" i="1"/>
  <c r="T25" i="1" s="1"/>
  <c r="O25" i="1"/>
  <c r="G27" i="1"/>
  <c r="H25" i="1"/>
  <c r="P25" i="1"/>
  <c r="H27" i="1"/>
  <c r="I10" i="1"/>
  <c r="Q10" i="1"/>
  <c r="Q11" i="1" s="1"/>
  <c r="I25" i="1"/>
  <c r="Q25" i="1"/>
  <c r="L16" i="1" l="1"/>
  <c r="L11" i="1"/>
  <c r="I11" i="1"/>
  <c r="I16" i="1"/>
  <c r="K38" i="1"/>
  <c r="K45" i="1" s="1"/>
  <c r="K39" i="1"/>
  <c r="K44" i="1" s="1"/>
  <c r="K47" i="1" s="1"/>
  <c r="R38" i="1"/>
  <c r="R45" i="1" s="1"/>
  <c r="R39" i="1"/>
  <c r="R44" i="1" s="1"/>
  <c r="R47" i="1" s="1"/>
  <c r="T26" i="1"/>
  <c r="G40" i="1"/>
  <c r="T40" i="1" s="1"/>
  <c r="N39" i="1"/>
  <c r="N44" i="1" s="1"/>
  <c r="N38" i="1"/>
  <c r="N45" i="1" s="1"/>
  <c r="Q44" i="1"/>
  <c r="Q47" i="1" s="1"/>
  <c r="O45" i="1"/>
  <c r="M39" i="1"/>
  <c r="M38" i="1"/>
  <c r="M45" i="1" s="1"/>
  <c r="J38" i="1"/>
  <c r="J45" i="1" s="1"/>
  <c r="J39" i="1"/>
  <c r="H39" i="1"/>
  <c r="H44" i="1" s="1"/>
  <c r="H38" i="1"/>
  <c r="H45" i="1" s="1"/>
  <c r="T27" i="1"/>
  <c r="G39" i="1"/>
  <c r="G38" i="1"/>
  <c r="T16" i="1"/>
  <c r="R41" i="1"/>
  <c r="L38" i="1"/>
  <c r="L45" i="1" s="1"/>
  <c r="L39" i="1"/>
  <c r="O16" i="1"/>
  <c r="O11" i="1"/>
  <c r="P41" i="1" l="1"/>
  <c r="P44" i="1" s="1"/>
  <c r="P47" i="1" s="1"/>
  <c r="O41" i="1"/>
  <c r="O44" i="1" s="1"/>
  <c r="O47" i="1" s="1"/>
  <c r="N47" i="1"/>
  <c r="J41" i="1"/>
  <c r="J44" i="1" s="1"/>
  <c r="J47" i="1" s="1"/>
  <c r="I41" i="1"/>
  <c r="G45" i="1"/>
  <c r="T45" i="1" s="1"/>
  <c r="T38" i="1"/>
  <c r="H47" i="1"/>
  <c r="T39" i="1"/>
  <c r="G44" i="1"/>
  <c r="M41" i="1"/>
  <c r="M44" i="1" s="1"/>
  <c r="M47" i="1" s="1"/>
  <c r="L41" i="1"/>
  <c r="L44" i="1" s="1"/>
  <c r="L47" i="1" s="1"/>
  <c r="T41" i="1" l="1"/>
  <c r="I44" i="1"/>
  <c r="I47" i="1" s="1"/>
  <c r="G47" i="1"/>
  <c r="T47" i="1" s="1"/>
  <c r="T44" i="1" l="1"/>
</calcChain>
</file>

<file path=xl/sharedStrings.xml><?xml version="1.0" encoding="utf-8"?>
<sst xmlns="http://schemas.openxmlformats.org/spreadsheetml/2006/main" count="61" uniqueCount="53">
  <si>
    <t>Docket UE-______</t>
  </si>
  <si>
    <t>Green Direct Monthly Assumed Actual Information</t>
  </si>
  <si>
    <t>Period</t>
  </si>
  <si>
    <t>Energy Costs</t>
  </si>
  <si>
    <t>to Date</t>
  </si>
  <si>
    <t>PCA period Green Direct Customers delivered load usage (kWh)</t>
  </si>
  <si>
    <t>Expected</t>
  </si>
  <si>
    <t>(Short)/Excess Renewable Energy Generated (kWh)</t>
  </si>
  <si>
    <t>Monthly kWh Position (for Power)</t>
  </si>
  <si>
    <t>Cumulative (Short)/Excess Renewable Energy Generated (kWh)</t>
  </si>
  <si>
    <t>Cumulative kWh Position (for RECs)</t>
  </si>
  <si>
    <t>RECs</t>
  </si>
  <si>
    <t>PPA RECs for Green Direct Customers</t>
  </si>
  <si>
    <t>RECs purchased for Green Direct Customers*</t>
  </si>
  <si>
    <t>RECs banked for Green Direct Customers1</t>
  </si>
  <si>
    <t>Power Prices</t>
  </si>
  <si>
    <t>PPA Rate per kWh</t>
  </si>
  <si>
    <t>Market Rate per kWh (Average Day Ahead Index for the Month)</t>
  </si>
  <si>
    <t>Power Costs Originally Recorded</t>
  </si>
  <si>
    <t>Mechanism</t>
  </si>
  <si>
    <t>When</t>
  </si>
  <si>
    <t>Initial Amount:</t>
  </si>
  <si>
    <t>PPA Cost - Green Direct Customer Usage</t>
  </si>
  <si>
    <t>GD</t>
  </si>
  <si>
    <t>Always</t>
  </si>
  <si>
    <t>PPA Cost - Generation Above Green Direct Usage</t>
  </si>
  <si>
    <t>Long</t>
  </si>
  <si>
    <t>Sale of Excess PPA Generation</t>
  </si>
  <si>
    <t>PCA</t>
  </si>
  <si>
    <t>Mkt Purchases for Short</t>
  </si>
  <si>
    <t>Short</t>
  </si>
  <si>
    <t>Additional REC Costs Originally Recorded</t>
  </si>
  <si>
    <t>Green Direct Unbundled REC Purchases</t>
  </si>
  <si>
    <t xml:space="preserve">Short </t>
  </si>
  <si>
    <t>*Measured on an annual basis</t>
  </si>
  <si>
    <t>1 Amounts measured quarterly</t>
  </si>
  <si>
    <t>Required Journal Entries based on Monthly Actual Information</t>
  </si>
  <si>
    <t>Adjustment:</t>
  </si>
  <si>
    <t>Reclassing Short Purchases or Long Sales Out of PCA to GD</t>
  </si>
  <si>
    <t>Green Direct Short Purchases</t>
  </si>
  <si>
    <t>Green Direct Long Sales</t>
  </si>
  <si>
    <t>Green Direct Excess REC Adjustment</t>
  </si>
  <si>
    <t>REC price=&gt;</t>
  </si>
  <si>
    <t>Total:</t>
  </si>
  <si>
    <t>Net Green Direct Power Costs</t>
  </si>
  <si>
    <t>Net PCA Power Costs (this should be zero)</t>
  </si>
  <si>
    <t>check:  Should equal amount of REC transactions</t>
  </si>
  <si>
    <t>In Summary:</t>
  </si>
  <si>
    <t>If generation is short for the month, move purchases out of PCA</t>
  </si>
  <si>
    <t>If generation is long for the month, move sales of excess generation out of PCA</t>
  </si>
  <si>
    <t>If generation is cumulatively long at a quarter end, bank recs; otherwise no recs to record</t>
  </si>
  <si>
    <t>PPA generation net of losses (kWh)</t>
  </si>
  <si>
    <t>Exh. SEF-9 Pages 7 and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</si>
</sst>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;\–_);&quot;–&quot;_)"/>
    <numFmt numFmtId="166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color rgb="FF0000FF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rgb="FF0000FF"/>
      <name val="Times New Roman"/>
      <family val="1"/>
    </font>
    <font>
      <sz val="8"/>
      <color rgb="FF0000FF"/>
      <name val="Times New Roman"/>
      <family val="1"/>
    </font>
    <font>
      <sz val="10"/>
      <color rgb="FF0066FF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 applyAlignment="1"/>
    <xf numFmtId="0" fontId="2" fillId="2" borderId="0" xfId="0" applyNumberFormat="1" applyFont="1" applyFill="1" applyAlignment="1"/>
    <xf numFmtId="0" fontId="2" fillId="2" borderId="0" xfId="0" applyNumberFormat="1" applyFont="1" applyFill="1" applyAlignment="1">
      <alignment horizontal="center"/>
    </xf>
    <xf numFmtId="17" fontId="4" fillId="2" borderId="0" xfId="0" applyNumberFormat="1" applyFont="1" applyFill="1" applyBorder="1" applyAlignment="1">
      <alignment horizontal="center"/>
    </xf>
    <xf numFmtId="0" fontId="2" fillId="2" borderId="0" xfId="0" quotePrefix="1" applyNumberFormat="1" applyFont="1" applyFill="1" applyAlignment="1" applyProtection="1">
      <alignment horizontal="left"/>
      <protection locked="0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Border="1" applyAlignment="1">
      <alignment horizontal="center" wrapText="1"/>
    </xf>
    <xf numFmtId="164" fontId="2" fillId="2" borderId="0" xfId="1" applyNumberFormat="1" applyFont="1" applyFill="1" applyBorder="1" applyAlignment="1">
      <alignment wrapText="1"/>
    </xf>
    <xf numFmtId="0" fontId="2" fillId="2" borderId="0" xfId="0" applyNumberFormat="1" applyFont="1" applyFill="1" applyAlignment="1" applyProtection="1">
      <alignment horizontal="left"/>
      <protection locked="0"/>
    </xf>
    <xf numFmtId="0" fontId="2" fillId="2" borderId="0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/>
    <xf numFmtId="0" fontId="6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right"/>
    </xf>
    <xf numFmtId="0" fontId="8" fillId="2" borderId="0" xfId="0" applyNumberFormat="1" applyFont="1" applyFill="1" applyAlignment="1"/>
    <xf numFmtId="0" fontId="6" fillId="2" borderId="0" xfId="0" applyNumberFormat="1" applyFont="1" applyFill="1" applyAlignment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/>
    <xf numFmtId="164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Alignment="1"/>
    <xf numFmtId="166" fontId="2" fillId="2" borderId="0" xfId="0" applyNumberFormat="1" applyFont="1" applyFill="1" applyAlignment="1"/>
    <xf numFmtId="0" fontId="4" fillId="2" borderId="1" xfId="0" applyFont="1" applyFill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0" fillId="2" borderId="0" xfId="0" applyNumberFormat="1" applyFont="1" applyFill="1" applyAlignment="1"/>
    <xf numFmtId="5" fontId="2" fillId="2" borderId="0" xfId="0" applyNumberFormat="1" applyFont="1" applyFill="1" applyAlignment="1"/>
    <xf numFmtId="44" fontId="2" fillId="2" borderId="0" xfId="2" applyFont="1" applyFill="1"/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4" fillId="0" borderId="0" xfId="0" applyNumberFormat="1" applyFont="1" applyFill="1" applyAlignment="1"/>
    <xf numFmtId="0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5" fontId="2" fillId="0" borderId="0" xfId="0" applyNumberFormat="1" applyFont="1" applyFill="1" applyAlignment="1"/>
    <xf numFmtId="0" fontId="11" fillId="0" borderId="0" xfId="0" applyFont="1" applyFill="1" applyAlignment="1">
      <alignment horizontal="right"/>
    </xf>
    <xf numFmtId="44" fontId="2" fillId="0" borderId="0" xfId="2" applyNumberFormat="1" applyFont="1" applyFill="1"/>
    <xf numFmtId="5" fontId="2" fillId="0" borderId="0" xfId="0" applyNumberFormat="1" applyFont="1" applyFill="1"/>
    <xf numFmtId="0" fontId="4" fillId="0" borderId="0" xfId="0" applyFont="1" applyFill="1"/>
    <xf numFmtId="0" fontId="12" fillId="0" borderId="0" xfId="0" applyNumberFormat="1" applyFont="1" applyFill="1" applyAlignment="1">
      <alignment horizontal="right"/>
    </xf>
    <xf numFmtId="0" fontId="2" fillId="0" borderId="0" xfId="0" applyFont="1" applyBorder="1"/>
    <xf numFmtId="5" fontId="2" fillId="0" borderId="0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1"/>
  <sheetViews>
    <sheetView tabSelected="1" zoomScaleNormal="100" workbookViewId="0">
      <selection activeCell="C5" sqref="C5"/>
    </sheetView>
  </sheetViews>
  <sheetFormatPr defaultColWidth="9.109375" defaultRowHeight="13.2" x14ac:dyDescent="0.25"/>
  <cols>
    <col min="1" max="1" width="2.109375" style="1" customWidth="1"/>
    <col min="2" max="2" width="3" style="1" bestFit="1" customWidth="1"/>
    <col min="3" max="3" width="51" style="1" customWidth="1"/>
    <col min="4" max="4" width="9" style="1" customWidth="1"/>
    <col min="5" max="6" width="9.44140625" style="1" bestFit="1" customWidth="1"/>
    <col min="7" max="9" width="11.88671875" style="1" bestFit="1" customWidth="1"/>
    <col min="10" max="18" width="12.88671875" style="1" bestFit="1" customWidth="1"/>
    <col min="19" max="19" width="2.6640625" style="1" customWidth="1"/>
    <col min="20" max="20" width="12.88671875" style="1" bestFit="1" customWidth="1"/>
    <col min="21" max="16384" width="9.109375" style="1"/>
  </cols>
  <sheetData>
    <row r="1" spans="2:20" x14ac:dyDescent="0.25">
      <c r="B1" s="1" t="s">
        <v>0</v>
      </c>
    </row>
    <row r="2" spans="2:20" x14ac:dyDescent="0.25">
      <c r="B2" s="1" t="s">
        <v>52</v>
      </c>
    </row>
    <row r="4" spans="2:20" ht="13.8" x14ac:dyDescent="0.3">
      <c r="B4" s="2">
        <v>4</v>
      </c>
      <c r="C4" s="3" t="s">
        <v>1</v>
      </c>
      <c r="D4" s="2"/>
      <c r="E4" s="2"/>
      <c r="F4" s="4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</v>
      </c>
    </row>
    <row r="5" spans="2:20" x14ac:dyDescent="0.25">
      <c r="B5" s="2">
        <v>5</v>
      </c>
      <c r="C5" s="7" t="s">
        <v>3</v>
      </c>
      <c r="D5" s="8"/>
      <c r="E5" s="2"/>
      <c r="F5" s="9"/>
      <c r="G5" s="10">
        <v>44562</v>
      </c>
      <c r="H5" s="10">
        <v>44593</v>
      </c>
      <c r="I5" s="10">
        <v>44621</v>
      </c>
      <c r="J5" s="10">
        <v>44652</v>
      </c>
      <c r="K5" s="10">
        <v>44682</v>
      </c>
      <c r="L5" s="10">
        <v>44713</v>
      </c>
      <c r="M5" s="10">
        <v>44743</v>
      </c>
      <c r="N5" s="10">
        <v>44774</v>
      </c>
      <c r="O5" s="10">
        <v>44805</v>
      </c>
      <c r="P5" s="10">
        <v>44835</v>
      </c>
      <c r="Q5" s="10">
        <v>44866</v>
      </c>
      <c r="R5" s="10">
        <v>44896</v>
      </c>
      <c r="S5" s="10"/>
      <c r="T5" s="10" t="s">
        <v>4</v>
      </c>
    </row>
    <row r="6" spans="2:20" x14ac:dyDescent="0.25">
      <c r="B6" s="2">
        <v>6</v>
      </c>
      <c r="C6" s="11" t="s">
        <v>5</v>
      </c>
      <c r="D6" s="12"/>
      <c r="E6" s="12"/>
      <c r="F6" s="13"/>
      <c r="G6" s="14">
        <v>62050000</v>
      </c>
      <c r="H6" s="14">
        <v>62050000</v>
      </c>
      <c r="I6" s="14">
        <v>62050000</v>
      </c>
      <c r="J6" s="14">
        <v>62050000</v>
      </c>
      <c r="K6" s="14">
        <v>62050000</v>
      </c>
      <c r="L6" s="14">
        <v>62050000</v>
      </c>
      <c r="M6" s="14">
        <v>62050000</v>
      </c>
      <c r="N6" s="14">
        <v>62050000</v>
      </c>
      <c r="O6" s="14">
        <v>62050000</v>
      </c>
      <c r="P6" s="14">
        <v>62050000</v>
      </c>
      <c r="Q6" s="14">
        <v>62050000</v>
      </c>
      <c r="R6" s="14">
        <v>62050000</v>
      </c>
      <c r="S6" s="14"/>
      <c r="T6" s="14">
        <f>SUM(G6:S6)</f>
        <v>744600000</v>
      </c>
    </row>
    <row r="7" spans="2:20" x14ac:dyDescent="0.25">
      <c r="B7" s="2">
        <v>7</v>
      </c>
      <c r="C7" s="15" t="s">
        <v>51</v>
      </c>
      <c r="D7" s="8"/>
      <c r="E7" s="16"/>
      <c r="F7" s="17" t="s">
        <v>6</v>
      </c>
      <c r="G7" s="18">
        <v>50504537.360188857</v>
      </c>
      <c r="H7" s="18">
        <v>52994363.334887251</v>
      </c>
      <c r="I7" s="18">
        <v>66083465.78190966</v>
      </c>
      <c r="J7" s="18">
        <v>67557893.773465514</v>
      </c>
      <c r="K7" s="18">
        <v>66960064.06841442</v>
      </c>
      <c r="L7" s="18">
        <v>66533652.580418825</v>
      </c>
      <c r="M7" s="18">
        <v>71257396.116640776</v>
      </c>
      <c r="N7" s="18">
        <v>66842712.743673041</v>
      </c>
      <c r="O7" s="18">
        <v>59398426.109567523</v>
      </c>
      <c r="P7" s="18">
        <v>58103727.562819809</v>
      </c>
      <c r="Q7" s="18">
        <v>55538774.843314342</v>
      </c>
      <c r="R7" s="18">
        <v>52713553.428699061</v>
      </c>
      <c r="S7" s="18"/>
      <c r="T7" s="19">
        <f>SUM(G7:S7)</f>
        <v>734488567.70399904</v>
      </c>
    </row>
    <row r="8" spans="2:20" x14ac:dyDescent="0.25">
      <c r="B8" s="2">
        <v>8</v>
      </c>
      <c r="C8" s="8" t="s">
        <v>7</v>
      </c>
      <c r="D8" s="8"/>
      <c r="E8" s="8"/>
      <c r="F8" s="20"/>
      <c r="G8" s="21">
        <f>G7-G6</f>
        <v>-11545462.639811143</v>
      </c>
      <c r="H8" s="21">
        <f t="shared" ref="H8:T8" si="0">H7-H6</f>
        <v>-9055636.6651127487</v>
      </c>
      <c r="I8" s="21">
        <f t="shared" si="0"/>
        <v>4033465.7819096595</v>
      </c>
      <c r="J8" s="21">
        <f t="shared" si="0"/>
        <v>5507893.7734655142</v>
      </c>
      <c r="K8" s="21">
        <f t="shared" si="0"/>
        <v>4910064.0684144199</v>
      </c>
      <c r="L8" s="21">
        <f t="shared" si="0"/>
        <v>4483652.5804188251</v>
      </c>
      <c r="M8" s="21">
        <f t="shared" si="0"/>
        <v>9207396.1166407764</v>
      </c>
      <c r="N8" s="21">
        <f t="shared" si="0"/>
        <v>4792712.7436730415</v>
      </c>
      <c r="O8" s="21">
        <f t="shared" si="0"/>
        <v>-2651573.890432477</v>
      </c>
      <c r="P8" s="21">
        <f t="shared" si="0"/>
        <v>-3946272.4371801913</v>
      </c>
      <c r="Q8" s="21">
        <f t="shared" si="0"/>
        <v>-6511225.1566856578</v>
      </c>
      <c r="R8" s="21">
        <f t="shared" si="0"/>
        <v>-9336446.5713009387</v>
      </c>
      <c r="S8" s="21"/>
      <c r="T8" s="21">
        <f t="shared" si="0"/>
        <v>-10111432.296000957</v>
      </c>
    </row>
    <row r="9" spans="2:20" x14ac:dyDescent="0.25">
      <c r="B9" s="2">
        <v>9</v>
      </c>
      <c r="C9" s="8"/>
      <c r="D9" s="8"/>
      <c r="E9" s="2"/>
      <c r="F9" s="22" t="s">
        <v>8</v>
      </c>
      <c r="G9" s="23" t="str">
        <f t="shared" ref="G9:R9" si="1">IF(G8&lt;0,"(short)","long")</f>
        <v>(short)</v>
      </c>
      <c r="H9" s="23" t="str">
        <f t="shared" si="1"/>
        <v>(short)</v>
      </c>
      <c r="I9" s="23" t="str">
        <f t="shared" si="1"/>
        <v>long</v>
      </c>
      <c r="J9" s="23" t="str">
        <f t="shared" si="1"/>
        <v>long</v>
      </c>
      <c r="K9" s="23" t="str">
        <f t="shared" si="1"/>
        <v>long</v>
      </c>
      <c r="L9" s="23" t="str">
        <f t="shared" si="1"/>
        <v>long</v>
      </c>
      <c r="M9" s="23" t="str">
        <f t="shared" si="1"/>
        <v>long</v>
      </c>
      <c r="N9" s="23" t="str">
        <f t="shared" si="1"/>
        <v>long</v>
      </c>
      <c r="O9" s="23" t="str">
        <f t="shared" si="1"/>
        <v>(short)</v>
      </c>
      <c r="P9" s="23" t="str">
        <f t="shared" si="1"/>
        <v>(short)</v>
      </c>
      <c r="Q9" s="23" t="str">
        <f t="shared" si="1"/>
        <v>(short)</v>
      </c>
      <c r="R9" s="23" t="str">
        <f t="shared" si="1"/>
        <v>(short)</v>
      </c>
      <c r="S9" s="23"/>
      <c r="T9" s="23"/>
    </row>
    <row r="10" spans="2:20" x14ac:dyDescent="0.25">
      <c r="B10" s="2">
        <v>10</v>
      </c>
      <c r="C10" s="8" t="s">
        <v>9</v>
      </c>
      <c r="D10" s="8"/>
      <c r="E10" s="8"/>
      <c r="F10" s="20"/>
      <c r="G10" s="21">
        <f>SUM($G$8:G8)</f>
        <v>-11545462.639811143</v>
      </c>
      <c r="H10" s="21">
        <f>SUM($G$8:H8)</f>
        <v>-20601099.304923892</v>
      </c>
      <c r="I10" s="21">
        <f>SUM($G$8:I8)</f>
        <v>-16567633.523014233</v>
      </c>
      <c r="J10" s="21">
        <f>SUM($G$8:J8)</f>
        <v>-11059739.749548718</v>
      </c>
      <c r="K10" s="21">
        <f>SUM($G$8:K8)</f>
        <v>-6149675.6811342984</v>
      </c>
      <c r="L10" s="21">
        <f>SUM($G$8:L8)</f>
        <v>-1666023.1007154733</v>
      </c>
      <c r="M10" s="21">
        <f>SUM($G$8:M8)</f>
        <v>7541373.0159253031</v>
      </c>
      <c r="N10" s="21">
        <f>SUM($G$8:N8)</f>
        <v>12334085.759598345</v>
      </c>
      <c r="O10" s="21">
        <f>SUM($G$8:O8)</f>
        <v>9682511.8691658676</v>
      </c>
      <c r="P10" s="21">
        <f>SUM($G$8:P8)</f>
        <v>5736239.4319856763</v>
      </c>
      <c r="Q10" s="21">
        <f>SUM($G$8:Q8)</f>
        <v>-774985.72469998151</v>
      </c>
      <c r="R10" s="21">
        <f>SUM($G$8:R8)</f>
        <v>-10111432.29600092</v>
      </c>
      <c r="S10" s="21"/>
      <c r="T10" s="21"/>
    </row>
    <row r="11" spans="2:20" x14ac:dyDescent="0.25">
      <c r="B11" s="2">
        <v>11</v>
      </c>
      <c r="C11" s="24"/>
      <c r="D11" s="25"/>
      <c r="E11" s="26"/>
      <c r="F11" s="22" t="s">
        <v>10</v>
      </c>
      <c r="G11" s="23" t="str">
        <f t="shared" ref="G11:R11" si="2">IF(G10&lt;0,"(short)","long")</f>
        <v>(short)</v>
      </c>
      <c r="H11" s="23" t="str">
        <f t="shared" si="2"/>
        <v>(short)</v>
      </c>
      <c r="I11" s="23" t="str">
        <f t="shared" si="2"/>
        <v>(short)</v>
      </c>
      <c r="J11" s="23" t="str">
        <f t="shared" si="2"/>
        <v>(short)</v>
      </c>
      <c r="K11" s="23" t="str">
        <f t="shared" si="2"/>
        <v>(short)</v>
      </c>
      <c r="L11" s="23" t="str">
        <f t="shared" si="2"/>
        <v>(short)</v>
      </c>
      <c r="M11" s="23" t="str">
        <f t="shared" si="2"/>
        <v>long</v>
      </c>
      <c r="N11" s="23" t="str">
        <f t="shared" si="2"/>
        <v>long</v>
      </c>
      <c r="O11" s="23" t="str">
        <f t="shared" si="2"/>
        <v>long</v>
      </c>
      <c r="P11" s="23" t="str">
        <f t="shared" si="2"/>
        <v>long</v>
      </c>
      <c r="Q11" s="23" t="str">
        <f t="shared" si="2"/>
        <v>(short)</v>
      </c>
      <c r="R11" s="23" t="str">
        <f t="shared" si="2"/>
        <v>(short)</v>
      </c>
      <c r="S11" s="21"/>
      <c r="T11" s="21"/>
    </row>
    <row r="12" spans="2:20" x14ac:dyDescent="0.25">
      <c r="B12" s="2">
        <v>12</v>
      </c>
      <c r="C12" s="8"/>
      <c r="D12" s="8"/>
      <c r="E12" s="8"/>
      <c r="F12" s="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2:20" x14ac:dyDescent="0.25">
      <c r="B13" s="2">
        <v>13</v>
      </c>
      <c r="C13" s="7" t="s">
        <v>11</v>
      </c>
      <c r="D13" s="8"/>
      <c r="E13" s="8"/>
      <c r="F13" s="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2:20" x14ac:dyDescent="0.25">
      <c r="B14" s="2">
        <v>14</v>
      </c>
      <c r="C14" s="8" t="s">
        <v>12</v>
      </c>
      <c r="D14" s="8"/>
      <c r="E14" s="8"/>
      <c r="F14" s="9"/>
      <c r="G14" s="21">
        <f>G7/1000</f>
        <v>50504.537360188857</v>
      </c>
      <c r="H14" s="21">
        <f t="shared" ref="H14:R14" si="3">H7/1000</f>
        <v>52994.363334887254</v>
      </c>
      <c r="I14" s="21">
        <f t="shared" si="3"/>
        <v>66083.465781909661</v>
      </c>
      <c r="J14" s="21">
        <f t="shared" si="3"/>
        <v>67557.893773465519</v>
      </c>
      <c r="K14" s="21">
        <f t="shared" si="3"/>
        <v>66960.064068414416</v>
      </c>
      <c r="L14" s="21">
        <f t="shared" si="3"/>
        <v>66533.652580418828</v>
      </c>
      <c r="M14" s="21">
        <f t="shared" si="3"/>
        <v>71257.396116640783</v>
      </c>
      <c r="N14" s="21">
        <f t="shared" si="3"/>
        <v>66842.712743673037</v>
      </c>
      <c r="O14" s="21">
        <f t="shared" si="3"/>
        <v>59398.426109567525</v>
      </c>
      <c r="P14" s="21">
        <f t="shared" si="3"/>
        <v>58103.727562819811</v>
      </c>
      <c r="Q14" s="21">
        <f t="shared" si="3"/>
        <v>55538.774843314342</v>
      </c>
      <c r="R14" s="21">
        <f t="shared" si="3"/>
        <v>52713.553428699059</v>
      </c>
      <c r="S14" s="21"/>
      <c r="T14" s="21">
        <v>734488.567703999</v>
      </c>
    </row>
    <row r="15" spans="2:20" x14ac:dyDescent="0.25">
      <c r="B15" s="2">
        <v>15</v>
      </c>
      <c r="C15" s="8" t="s">
        <v>13</v>
      </c>
      <c r="D15" s="2"/>
      <c r="E15" s="2"/>
      <c r="F15" s="27"/>
      <c r="G15" s="28"/>
      <c r="H15" s="2"/>
      <c r="I15" s="2"/>
      <c r="J15" s="2"/>
      <c r="K15" s="2"/>
      <c r="L15" s="2"/>
      <c r="M15" s="2"/>
      <c r="N15" s="2"/>
      <c r="O15" s="2"/>
      <c r="P15" s="2"/>
      <c r="Q15" s="2"/>
      <c r="R15" s="29">
        <f>IF(T8&lt;0,-T8,0)/1000</f>
        <v>10111.432296000958</v>
      </c>
      <c r="S15" s="2"/>
      <c r="T15" s="21">
        <f>SUM(G15:R15)</f>
        <v>10111.432296000958</v>
      </c>
    </row>
    <row r="16" spans="2:20" x14ac:dyDescent="0.25">
      <c r="B16" s="2">
        <v>16</v>
      </c>
      <c r="C16" s="8" t="s">
        <v>14</v>
      </c>
      <c r="D16" s="2"/>
      <c r="E16" s="2"/>
      <c r="F16" s="27"/>
      <c r="G16" s="2"/>
      <c r="H16" s="2"/>
      <c r="I16" s="28">
        <f>IF(I10&gt;0, I10/1000, 0)</f>
        <v>0</v>
      </c>
      <c r="J16" s="2"/>
      <c r="K16" s="2"/>
      <c r="L16" s="28">
        <f>IF(L10&gt;0, L10/1000, 0)</f>
        <v>0</v>
      </c>
      <c r="M16" s="2"/>
      <c r="N16" s="2"/>
      <c r="O16" s="28">
        <f>IF(O10&gt;0, O10/1000, 0)</f>
        <v>9682.5118691658681</v>
      </c>
      <c r="P16" s="28"/>
      <c r="Q16" s="2"/>
      <c r="R16" s="28">
        <f>IF(R10&gt;0, R10/1000, 0)</f>
        <v>0</v>
      </c>
      <c r="S16" s="2"/>
      <c r="T16" s="28">
        <f>R16</f>
        <v>0</v>
      </c>
    </row>
    <row r="17" spans="2:20" x14ac:dyDescent="0.25">
      <c r="B17" s="2">
        <v>17</v>
      </c>
      <c r="C17" s="8"/>
      <c r="D17" s="2"/>
      <c r="E17" s="2"/>
      <c r="F17" s="2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8"/>
    </row>
    <row r="18" spans="2:20" x14ac:dyDescent="0.25">
      <c r="B18" s="2">
        <v>18</v>
      </c>
      <c r="C18" s="30" t="s">
        <v>15</v>
      </c>
      <c r="D18" s="2"/>
      <c r="E18" s="2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0" x14ac:dyDescent="0.25">
      <c r="B19" s="2">
        <v>19</v>
      </c>
      <c r="C19" s="8" t="s">
        <v>16</v>
      </c>
      <c r="D19" s="2"/>
      <c r="E19" s="2"/>
      <c r="F19" s="31"/>
      <c r="G19" s="32">
        <v>4.161103011880668E-2</v>
      </c>
      <c r="H19" s="32">
        <v>4.0955362292890422E-2</v>
      </c>
      <c r="I19" s="32">
        <v>4.0385709749697893E-2</v>
      </c>
      <c r="J19" s="32">
        <v>3.9639543819775351E-2</v>
      </c>
      <c r="K19" s="32">
        <v>3.9038846125002094E-2</v>
      </c>
      <c r="L19" s="32">
        <v>3.8680940463852002E-2</v>
      </c>
      <c r="M19" s="32">
        <v>3.8589730572871253E-2</v>
      </c>
      <c r="N19" s="32">
        <v>3.887883375870959E-2</v>
      </c>
      <c r="O19" s="32">
        <v>3.9482710709362372E-2</v>
      </c>
      <c r="P19" s="32">
        <v>4.0560949585403967E-2</v>
      </c>
      <c r="Q19" s="32">
        <v>4.1612449446005596E-2</v>
      </c>
      <c r="R19" s="32">
        <v>4.1891142670783567E-2</v>
      </c>
      <c r="S19" s="33"/>
      <c r="T19" s="33"/>
    </row>
    <row r="20" spans="2:20" x14ac:dyDescent="0.25">
      <c r="B20" s="2">
        <v>20</v>
      </c>
      <c r="C20" s="8" t="s">
        <v>17</v>
      </c>
      <c r="D20" s="2"/>
      <c r="E20" s="2"/>
      <c r="F20" s="34">
        <v>2019</v>
      </c>
      <c r="G20" s="32">
        <v>3.2171904761904763E-2</v>
      </c>
      <c r="H20" s="32">
        <v>9.9020000000000025E-2</v>
      </c>
      <c r="I20" s="32">
        <v>7.7310000000000018E-2</v>
      </c>
      <c r="J20" s="32">
        <v>1.7273809523809521E-2</v>
      </c>
      <c r="K20" s="32">
        <v>1.459047619047619E-2</v>
      </c>
      <c r="L20" s="32">
        <v>2.1833500000000006E-2</v>
      </c>
      <c r="M20" s="32">
        <v>3.1020454545454539E-2</v>
      </c>
      <c r="N20" s="32">
        <v>3.2876818181818188E-2</v>
      </c>
      <c r="O20" s="32">
        <v>3.1487999999999988E-2</v>
      </c>
      <c r="P20" s="32">
        <v>3.5151739130434782E-2</v>
      </c>
      <c r="Q20" s="32">
        <v>3.6553333333333327E-2</v>
      </c>
      <c r="R20" s="32">
        <v>3.5297500000000002E-2</v>
      </c>
      <c r="S20" s="33"/>
      <c r="T20" s="2"/>
    </row>
    <row r="21" spans="2:20" x14ac:dyDescent="0.25">
      <c r="B21" s="2">
        <v>21</v>
      </c>
      <c r="C21" s="8"/>
      <c r="D21" s="35"/>
      <c r="E21" s="2"/>
      <c r="F21" s="36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2"/>
    </row>
    <row r="22" spans="2:20" x14ac:dyDescent="0.25">
      <c r="B22" s="2">
        <v>22</v>
      </c>
      <c r="C22" s="7" t="s">
        <v>18</v>
      </c>
      <c r="D22" s="35" t="s">
        <v>19</v>
      </c>
      <c r="E22" s="35" t="s">
        <v>20</v>
      </c>
      <c r="F22" s="2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ht="13.8" x14ac:dyDescent="0.3">
      <c r="B23" s="2">
        <v>23</v>
      </c>
      <c r="C23" s="4" t="s">
        <v>21</v>
      </c>
      <c r="D23" s="37"/>
      <c r="E23" s="37"/>
      <c r="F23" s="2"/>
      <c r="G23" s="21"/>
      <c r="H23" s="21"/>
      <c r="I23" s="21"/>
      <c r="J23" s="21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2:20" x14ac:dyDescent="0.25">
      <c r="B24" s="2">
        <v>24</v>
      </c>
      <c r="C24" s="8" t="s">
        <v>22</v>
      </c>
      <c r="D24" s="27" t="s">
        <v>23</v>
      </c>
      <c r="E24" s="27" t="s">
        <v>24</v>
      </c>
      <c r="F24" s="2"/>
      <c r="G24" s="38">
        <f t="shared" ref="G24:R24" si="4">IF(G7-G6&lt;0, G7*G19, G6*G19)</f>
        <v>2101545.8252312159</v>
      </c>
      <c r="H24" s="38">
        <f t="shared" si="4"/>
        <v>2170403.349861376</v>
      </c>
      <c r="I24" s="38">
        <f t="shared" si="4"/>
        <v>2505933.2899687542</v>
      </c>
      <c r="J24" s="38">
        <f t="shared" si="4"/>
        <v>2459633.6940170606</v>
      </c>
      <c r="K24" s="38">
        <f t="shared" si="4"/>
        <v>2422360.4020563797</v>
      </c>
      <c r="L24" s="38">
        <f t="shared" si="4"/>
        <v>2400152.3557820166</v>
      </c>
      <c r="M24" s="38">
        <f t="shared" si="4"/>
        <v>2394492.7820466612</v>
      </c>
      <c r="N24" s="38">
        <f t="shared" si="4"/>
        <v>2412431.6347279302</v>
      </c>
      <c r="O24" s="38">
        <f t="shared" si="4"/>
        <v>2345210.8746754914</v>
      </c>
      <c r="P24" s="38">
        <f t="shared" si="4"/>
        <v>2356742.3643995812</v>
      </c>
      <c r="Q24" s="38">
        <f t="shared" si="4"/>
        <v>2311104.4604605054</v>
      </c>
      <c r="R24" s="38">
        <f t="shared" si="4"/>
        <v>2208230.9873656048</v>
      </c>
      <c r="S24" s="38"/>
      <c r="T24" s="38">
        <f t="shared" ref="T24" si="5">SUM(G24:R24)</f>
        <v>28088242.020592574</v>
      </c>
    </row>
    <row r="25" spans="2:20" x14ac:dyDescent="0.25">
      <c r="B25" s="2">
        <v>25</v>
      </c>
      <c r="C25" s="8" t="s">
        <v>25</v>
      </c>
      <c r="D25" s="27" t="s">
        <v>23</v>
      </c>
      <c r="E25" s="27" t="s">
        <v>26</v>
      </c>
      <c r="F25" s="2"/>
      <c r="G25" s="38">
        <f t="shared" ref="G25:R25" si="6">IF(G8&gt;0, G8*G19, 0)</f>
        <v>0</v>
      </c>
      <c r="H25" s="38">
        <f t="shared" si="6"/>
        <v>0</v>
      </c>
      <c r="I25" s="38">
        <f t="shared" si="6"/>
        <v>162894.37835354178</v>
      </c>
      <c r="J25" s="38">
        <f t="shared" si="6"/>
        <v>218330.39658795405</v>
      </c>
      <c r="K25" s="38">
        <f t="shared" si="6"/>
        <v>191683.23563073229</v>
      </c>
      <c r="L25" s="38">
        <f t="shared" si="6"/>
        <v>173431.89852377697</v>
      </c>
      <c r="M25" s="38">
        <f t="shared" si="6"/>
        <v>355310.93541886861</v>
      </c>
      <c r="N25" s="38">
        <f t="shared" si="6"/>
        <v>186335.08201451311</v>
      </c>
      <c r="O25" s="38">
        <f t="shared" si="6"/>
        <v>0</v>
      </c>
      <c r="P25" s="38">
        <f t="shared" si="6"/>
        <v>0</v>
      </c>
      <c r="Q25" s="38">
        <f t="shared" si="6"/>
        <v>0</v>
      </c>
      <c r="R25" s="38">
        <f t="shared" si="6"/>
        <v>0</v>
      </c>
      <c r="S25" s="38"/>
      <c r="T25" s="38">
        <f>SUM(G25:R25)</f>
        <v>1287985.926529387</v>
      </c>
    </row>
    <row r="26" spans="2:20" x14ac:dyDescent="0.25">
      <c r="B26" s="2">
        <v>26</v>
      </c>
      <c r="C26" s="8" t="s">
        <v>27</v>
      </c>
      <c r="D26" s="27" t="s">
        <v>28</v>
      </c>
      <c r="E26" s="27" t="s">
        <v>26</v>
      </c>
      <c r="F26" s="2"/>
      <c r="G26" s="38">
        <f t="shared" ref="G26:R26" si="7">IF(G8&gt;0, -G8*G20, 0)</f>
        <v>0</v>
      </c>
      <c r="H26" s="38">
        <f t="shared" si="7"/>
        <v>0</v>
      </c>
      <c r="I26" s="38">
        <f t="shared" si="7"/>
        <v>-311827.23959943582</v>
      </c>
      <c r="J26" s="38">
        <f t="shared" si="7"/>
        <v>-95142.307920219755</v>
      </c>
      <c r="K26" s="38">
        <f t="shared" si="7"/>
        <v>-71640.172883913256</v>
      </c>
      <c r="L26" s="38">
        <f t="shared" si="7"/>
        <v>-97893.82861457445</v>
      </c>
      <c r="M26" s="38">
        <f t="shared" si="7"/>
        <v>-285617.61271824985</v>
      </c>
      <c r="N26" s="38">
        <f t="shared" si="7"/>
        <v>-157569.14547142159</v>
      </c>
      <c r="O26" s="38">
        <f t="shared" si="7"/>
        <v>0</v>
      </c>
      <c r="P26" s="38">
        <f t="shared" si="7"/>
        <v>0</v>
      </c>
      <c r="Q26" s="38">
        <f t="shared" si="7"/>
        <v>0</v>
      </c>
      <c r="R26" s="38">
        <f t="shared" si="7"/>
        <v>0</v>
      </c>
      <c r="S26" s="38"/>
      <c r="T26" s="38">
        <f>SUM(G26:R26)</f>
        <v>-1019690.3072078147</v>
      </c>
    </row>
    <row r="27" spans="2:20" x14ac:dyDescent="0.25">
      <c r="B27" s="2">
        <v>27</v>
      </c>
      <c r="C27" s="8" t="s">
        <v>29</v>
      </c>
      <c r="D27" s="27" t="s">
        <v>28</v>
      </c>
      <c r="E27" s="27" t="s">
        <v>30</v>
      </c>
      <c r="F27" s="2"/>
      <c r="G27" s="38">
        <f t="shared" ref="G27:R27" si="8">IF(G8&lt;0, -G8*G20, 0)</f>
        <v>371439.52448013367</v>
      </c>
      <c r="H27" s="38">
        <f t="shared" si="8"/>
        <v>896689.14257946459</v>
      </c>
      <c r="I27" s="38">
        <f t="shared" si="8"/>
        <v>0</v>
      </c>
      <c r="J27" s="38">
        <f t="shared" si="8"/>
        <v>0</v>
      </c>
      <c r="K27" s="38">
        <f t="shared" si="8"/>
        <v>0</v>
      </c>
      <c r="L27" s="38">
        <f t="shared" si="8"/>
        <v>0</v>
      </c>
      <c r="M27" s="38">
        <f t="shared" si="8"/>
        <v>0</v>
      </c>
      <c r="N27" s="38">
        <f t="shared" si="8"/>
        <v>0</v>
      </c>
      <c r="O27" s="38">
        <f t="shared" si="8"/>
        <v>83492.758661937798</v>
      </c>
      <c r="P27" s="38">
        <f t="shared" si="8"/>
        <v>138718.33924938316</v>
      </c>
      <c r="Q27" s="38">
        <f t="shared" si="8"/>
        <v>238006.98356071635</v>
      </c>
      <c r="R27" s="38">
        <f t="shared" si="8"/>
        <v>329553.2228504949</v>
      </c>
      <c r="S27" s="38"/>
      <c r="T27" s="38">
        <f>SUM(G27:R27)</f>
        <v>2057899.9713821304</v>
      </c>
    </row>
    <row r="28" spans="2:20" x14ac:dyDescent="0.25">
      <c r="B28" s="2">
        <v>28</v>
      </c>
      <c r="C28" s="2"/>
      <c r="D28" s="27"/>
      <c r="E28" s="2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x14ac:dyDescent="0.25">
      <c r="B29" s="2">
        <v>29</v>
      </c>
      <c r="C29" s="7" t="s">
        <v>31</v>
      </c>
      <c r="D29" s="27"/>
      <c r="E29" s="27"/>
      <c r="F29" s="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2:20" x14ac:dyDescent="0.25">
      <c r="B30" s="2">
        <v>30</v>
      </c>
      <c r="C30" s="2" t="s">
        <v>32</v>
      </c>
      <c r="D30" s="27" t="s">
        <v>23</v>
      </c>
      <c r="E30" s="27" t="s">
        <v>33</v>
      </c>
      <c r="F30" s="39">
        <v>3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f>T15*F30</f>
        <v>30334.296888002871</v>
      </c>
      <c r="S30" s="38"/>
      <c r="T30" s="38">
        <f>SUM(G30:R30)</f>
        <v>30334.296888002871</v>
      </c>
    </row>
    <row r="31" spans="2:20" x14ac:dyDescent="0.25">
      <c r="B31" s="2">
        <v>31</v>
      </c>
      <c r="C31" s="8"/>
      <c r="D31" s="2"/>
      <c r="E31" s="2"/>
      <c r="F31" s="36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  <c r="T31" s="2"/>
    </row>
    <row r="32" spans="2:20" x14ac:dyDescent="0.25">
      <c r="B32" s="2">
        <v>32</v>
      </c>
      <c r="C32" s="8"/>
      <c r="D32" s="2"/>
      <c r="E32" s="2"/>
      <c r="F32" s="36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3"/>
      <c r="T32" s="2"/>
    </row>
    <row r="33" spans="2:20" x14ac:dyDescent="0.25">
      <c r="B33" s="2">
        <v>33</v>
      </c>
      <c r="C33" s="2" t="s">
        <v>34</v>
      </c>
      <c r="D33" s="2"/>
      <c r="E33" s="2"/>
      <c r="F33" s="36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  <c r="T33" s="2"/>
    </row>
    <row r="34" spans="2:20" x14ac:dyDescent="0.25">
      <c r="B34" s="2">
        <v>34</v>
      </c>
      <c r="C34" s="40" t="s">
        <v>35</v>
      </c>
      <c r="D34" s="2"/>
      <c r="E34" s="2"/>
      <c r="F34" s="36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  <c r="T34" s="2"/>
    </row>
    <row r="35" spans="2:20" x14ac:dyDescent="0.25">
      <c r="B35" s="1">
        <v>35</v>
      </c>
      <c r="F35" s="41"/>
    </row>
    <row r="36" spans="2:20" ht="13.8" x14ac:dyDescent="0.3">
      <c r="B36" s="1">
        <v>36</v>
      </c>
      <c r="C36" s="42" t="s">
        <v>36</v>
      </c>
      <c r="D36" s="43"/>
    </row>
    <row r="37" spans="2:20" x14ac:dyDescent="0.25">
      <c r="B37" s="1">
        <v>37</v>
      </c>
      <c r="C37" s="44" t="s">
        <v>37</v>
      </c>
      <c r="D37" s="43"/>
    </row>
    <row r="38" spans="2:20" x14ac:dyDescent="0.25">
      <c r="B38" s="1">
        <v>38</v>
      </c>
      <c r="C38" s="45" t="s">
        <v>38</v>
      </c>
      <c r="D38" s="46" t="s">
        <v>28</v>
      </c>
      <c r="E38" s="43"/>
      <c r="F38" s="43"/>
      <c r="G38" s="47">
        <f t="shared" ref="G38:H38" si="9">IF(G27&gt;0, -G27, -G26)</f>
        <v>-371439.52448013367</v>
      </c>
      <c r="H38" s="47">
        <f t="shared" si="9"/>
        <v>-896689.14257946459</v>
      </c>
      <c r="I38" s="47">
        <f>IF(I27&gt;0, -I27, -I26)</f>
        <v>311827.23959943582</v>
      </c>
      <c r="J38" s="47">
        <f t="shared" ref="J38:R38" si="10">IF(J27&gt;0, -J27, -J26)</f>
        <v>95142.307920219755</v>
      </c>
      <c r="K38" s="47">
        <f t="shared" si="10"/>
        <v>71640.172883913256</v>
      </c>
      <c r="L38" s="47">
        <f t="shared" si="10"/>
        <v>97893.82861457445</v>
      </c>
      <c r="M38" s="47">
        <f t="shared" si="10"/>
        <v>285617.61271824985</v>
      </c>
      <c r="N38" s="47">
        <f t="shared" si="10"/>
        <v>157569.14547142159</v>
      </c>
      <c r="O38" s="47">
        <f t="shared" si="10"/>
        <v>-83492.758661937798</v>
      </c>
      <c r="P38" s="47">
        <f t="shared" si="10"/>
        <v>-138718.33924938316</v>
      </c>
      <c r="Q38" s="47">
        <f t="shared" si="10"/>
        <v>-238006.98356071635</v>
      </c>
      <c r="R38" s="47">
        <f t="shared" si="10"/>
        <v>-329553.2228504949</v>
      </c>
      <c r="S38" s="47"/>
      <c r="T38" s="47">
        <f>SUM(G38:R38)</f>
        <v>-1038209.6641743159</v>
      </c>
    </row>
    <row r="39" spans="2:20" x14ac:dyDescent="0.25">
      <c r="B39" s="1">
        <v>39</v>
      </c>
      <c r="C39" s="45" t="s">
        <v>39</v>
      </c>
      <c r="D39" s="46" t="s">
        <v>23</v>
      </c>
      <c r="E39" s="43"/>
      <c r="F39" s="43"/>
      <c r="G39" s="47">
        <f t="shared" ref="G39:R39" si="11">IF(G27&gt;0, G27, 0)</f>
        <v>371439.52448013367</v>
      </c>
      <c r="H39" s="47">
        <f t="shared" si="11"/>
        <v>896689.14257946459</v>
      </c>
      <c r="I39" s="47">
        <f t="shared" si="11"/>
        <v>0</v>
      </c>
      <c r="J39" s="47">
        <f t="shared" si="11"/>
        <v>0</v>
      </c>
      <c r="K39" s="47">
        <f t="shared" si="11"/>
        <v>0</v>
      </c>
      <c r="L39" s="47">
        <f t="shared" si="11"/>
        <v>0</v>
      </c>
      <c r="M39" s="47">
        <f t="shared" si="11"/>
        <v>0</v>
      </c>
      <c r="N39" s="47">
        <f t="shared" si="11"/>
        <v>0</v>
      </c>
      <c r="O39" s="47">
        <f t="shared" si="11"/>
        <v>83492.758661937798</v>
      </c>
      <c r="P39" s="47">
        <f t="shared" si="11"/>
        <v>138718.33924938316</v>
      </c>
      <c r="Q39" s="47">
        <f t="shared" si="11"/>
        <v>238006.98356071635</v>
      </c>
      <c r="R39" s="47">
        <f t="shared" si="11"/>
        <v>329553.2228504949</v>
      </c>
      <c r="S39" s="47"/>
      <c r="T39" s="47">
        <f>SUM(G39:R39)</f>
        <v>2057899.9713821304</v>
      </c>
    </row>
    <row r="40" spans="2:20" x14ac:dyDescent="0.25">
      <c r="B40" s="1">
        <v>40</v>
      </c>
      <c r="C40" s="45" t="s">
        <v>40</v>
      </c>
      <c r="D40" s="46" t="s">
        <v>23</v>
      </c>
      <c r="E40" s="43"/>
      <c r="F40" s="43"/>
      <c r="G40" s="47">
        <f t="shared" ref="G40:R40" si="12">IF(G26&lt;0, G26, 0)</f>
        <v>0</v>
      </c>
      <c r="H40" s="47">
        <f t="shared" si="12"/>
        <v>0</v>
      </c>
      <c r="I40" s="47">
        <f t="shared" si="12"/>
        <v>-311827.23959943582</v>
      </c>
      <c r="J40" s="47">
        <f t="shared" si="12"/>
        <v>-95142.307920219755</v>
      </c>
      <c r="K40" s="47">
        <f t="shared" si="12"/>
        <v>-71640.172883913256</v>
      </c>
      <c r="L40" s="47">
        <f t="shared" si="12"/>
        <v>-97893.82861457445</v>
      </c>
      <c r="M40" s="47">
        <f t="shared" si="12"/>
        <v>-285617.61271824985</v>
      </c>
      <c r="N40" s="47">
        <f t="shared" si="12"/>
        <v>-157569.14547142159</v>
      </c>
      <c r="O40" s="47">
        <f t="shared" si="12"/>
        <v>0</v>
      </c>
      <c r="P40" s="47">
        <f t="shared" si="12"/>
        <v>0</v>
      </c>
      <c r="Q40" s="47">
        <f t="shared" si="12"/>
        <v>0</v>
      </c>
      <c r="R40" s="47">
        <f t="shared" si="12"/>
        <v>0</v>
      </c>
      <c r="S40" s="47"/>
      <c r="T40" s="47">
        <f>SUM(G40:R40)</f>
        <v>-1019690.3072078147</v>
      </c>
    </row>
    <row r="41" spans="2:20" x14ac:dyDescent="0.25">
      <c r="B41" s="1">
        <v>41</v>
      </c>
      <c r="C41" s="45" t="s">
        <v>41</v>
      </c>
      <c r="D41" s="46" t="s">
        <v>23</v>
      </c>
      <c r="E41" s="48" t="s">
        <v>42</v>
      </c>
      <c r="F41" s="49">
        <v>3</v>
      </c>
      <c r="G41" s="47">
        <f>IF(G16&gt;0,-G16*$F$41,IF(F16&gt;0,F16*$F$41,0))</f>
        <v>0</v>
      </c>
      <c r="H41" s="47">
        <f t="shared" ref="H41:R41" si="13">IF(H16&gt;0,-H16*$F$41,IF(G16&gt;0,G16*$F$41,0))</f>
        <v>0</v>
      </c>
      <c r="I41" s="47">
        <f t="shared" si="13"/>
        <v>0</v>
      </c>
      <c r="J41" s="47">
        <f t="shared" si="13"/>
        <v>0</v>
      </c>
      <c r="K41" s="47">
        <f t="shared" si="13"/>
        <v>0</v>
      </c>
      <c r="L41" s="47">
        <f t="shared" si="13"/>
        <v>0</v>
      </c>
      <c r="M41" s="47">
        <f t="shared" si="13"/>
        <v>0</v>
      </c>
      <c r="N41" s="47">
        <f t="shared" si="13"/>
        <v>0</v>
      </c>
      <c r="O41" s="47">
        <f t="shared" si="13"/>
        <v>-29047.535607497604</v>
      </c>
      <c r="P41" s="47">
        <f t="shared" si="13"/>
        <v>29047.535607497604</v>
      </c>
      <c r="Q41" s="47">
        <f t="shared" si="13"/>
        <v>0</v>
      </c>
      <c r="R41" s="47">
        <f t="shared" si="13"/>
        <v>0</v>
      </c>
      <c r="S41" s="47"/>
      <c r="T41" s="47">
        <f>SUM(G41:R41)</f>
        <v>0</v>
      </c>
    </row>
    <row r="42" spans="2:20" x14ac:dyDescent="0.25">
      <c r="B42" s="1">
        <v>42</v>
      </c>
      <c r="C42" s="43"/>
      <c r="D42" s="43"/>
      <c r="E42" s="43"/>
      <c r="F42" s="43"/>
      <c r="G42" s="47"/>
      <c r="H42" s="47"/>
      <c r="I42" s="47"/>
      <c r="J42" s="47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2:20" x14ac:dyDescent="0.25">
      <c r="B43" s="1">
        <v>43</v>
      </c>
      <c r="C43" s="51" t="s">
        <v>43</v>
      </c>
      <c r="D43" s="43"/>
      <c r="E43" s="43"/>
      <c r="F43" s="43"/>
      <c r="G43" s="47"/>
      <c r="H43" s="47"/>
      <c r="I43" s="47"/>
      <c r="J43" s="47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2:20" x14ac:dyDescent="0.25">
      <c r="B44" s="1">
        <v>44</v>
      </c>
      <c r="C44" s="45" t="s">
        <v>44</v>
      </c>
      <c r="D44" s="43"/>
      <c r="E44" s="43"/>
      <c r="F44" s="43"/>
      <c r="G44" s="50">
        <f t="shared" ref="G44:R44" si="14">G39+G24+G30+G25+G40+G41</f>
        <v>2472985.3497113497</v>
      </c>
      <c r="H44" s="50">
        <f t="shared" si="14"/>
        <v>3067092.4924408407</v>
      </c>
      <c r="I44" s="50">
        <f t="shared" si="14"/>
        <v>2357000.4287228603</v>
      </c>
      <c r="J44" s="50">
        <f t="shared" si="14"/>
        <v>2582821.7826847946</v>
      </c>
      <c r="K44" s="50">
        <f t="shared" si="14"/>
        <v>2542403.4648031988</v>
      </c>
      <c r="L44" s="50">
        <f t="shared" si="14"/>
        <v>2475690.425691219</v>
      </c>
      <c r="M44" s="50">
        <f t="shared" si="14"/>
        <v>2464186.10474728</v>
      </c>
      <c r="N44" s="50">
        <f t="shared" si="14"/>
        <v>2441197.5712710219</v>
      </c>
      <c r="O44" s="50">
        <f t="shared" si="14"/>
        <v>2399656.0977299316</v>
      </c>
      <c r="P44" s="50">
        <f t="shared" si="14"/>
        <v>2524508.2392564621</v>
      </c>
      <c r="Q44" s="50">
        <f t="shared" si="14"/>
        <v>2549111.4440212217</v>
      </c>
      <c r="R44" s="50">
        <f t="shared" si="14"/>
        <v>2568118.5071041025</v>
      </c>
      <c r="S44" s="50"/>
      <c r="T44" s="47">
        <f t="shared" ref="T44:T47" si="15">SUM(G44:R44)</f>
        <v>30444771.908184282</v>
      </c>
    </row>
    <row r="45" spans="2:20" x14ac:dyDescent="0.25">
      <c r="B45" s="1">
        <v>45</v>
      </c>
      <c r="C45" s="45" t="s">
        <v>45</v>
      </c>
      <c r="D45" s="43"/>
      <c r="E45" s="43"/>
      <c r="F45" s="43"/>
      <c r="G45" s="50">
        <f>G27+G38+G26</f>
        <v>0</v>
      </c>
      <c r="H45" s="50">
        <f>H27+H38+H26</f>
        <v>0</v>
      </c>
      <c r="I45" s="50">
        <f>I27+I38+I26</f>
        <v>0</v>
      </c>
      <c r="J45" s="50">
        <f t="shared" ref="J45:R45" si="16">J27+J38+J26</f>
        <v>0</v>
      </c>
      <c r="K45" s="50">
        <f t="shared" si="16"/>
        <v>0</v>
      </c>
      <c r="L45" s="50">
        <f t="shared" si="16"/>
        <v>0</v>
      </c>
      <c r="M45" s="50">
        <f t="shared" si="16"/>
        <v>0</v>
      </c>
      <c r="N45" s="50">
        <f t="shared" si="16"/>
        <v>0</v>
      </c>
      <c r="O45" s="50">
        <f t="shared" si="16"/>
        <v>0</v>
      </c>
      <c r="P45" s="50">
        <f t="shared" si="16"/>
        <v>0</v>
      </c>
      <c r="Q45" s="50">
        <f t="shared" si="16"/>
        <v>0</v>
      </c>
      <c r="R45" s="50">
        <f t="shared" si="16"/>
        <v>0</v>
      </c>
      <c r="S45" s="50"/>
      <c r="T45" s="47">
        <f t="shared" si="15"/>
        <v>0</v>
      </c>
    </row>
    <row r="46" spans="2:20" x14ac:dyDescent="0.25">
      <c r="B46" s="1">
        <v>46</v>
      </c>
      <c r="C46" s="43"/>
      <c r="D46" s="43"/>
      <c r="E46" s="43"/>
      <c r="F46" s="4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2:20" x14ac:dyDescent="0.25">
      <c r="B47" s="1">
        <v>47</v>
      </c>
      <c r="C47" s="52" t="s">
        <v>46</v>
      </c>
      <c r="D47" s="43"/>
      <c r="E47" s="43"/>
      <c r="F47" s="43"/>
      <c r="G47" s="50">
        <f>IF(G8&lt;0, (G7*G19)+(-G8*G20)-SUM(G44:G45), (G7*G19)-SUM(G44:G45))+G26+G30</f>
        <v>0</v>
      </c>
      <c r="H47" s="50">
        <f>IF(H8&lt;0, (H7*H19)+(-H8*H20)-SUM(H44:H45), (H7*H19)-SUM(H44:H45))+H26+H30</f>
        <v>0</v>
      </c>
      <c r="I47" s="50">
        <f>IF(I8&lt;0, (I7*I19)+(-I8*I20)-SUM(I44:I45), (I7*I19)-SUM(I44:I45))+I26+I30</f>
        <v>-2.3283064365386963E-10</v>
      </c>
      <c r="J47" s="50">
        <f t="shared" ref="J47:R47" si="17">IF(J8&lt;0, (J7*J19)+(-J8*J20)-SUM(J44:J45), (J7*J19)-SUM(J44:J45))+J26+J30</f>
        <v>8.7311491370201111E-11</v>
      </c>
      <c r="K47" s="50">
        <f t="shared" si="17"/>
        <v>1.3096723705530167E-10</v>
      </c>
      <c r="L47" s="50">
        <f t="shared" si="17"/>
        <v>4.0745362639427185E-10</v>
      </c>
      <c r="M47" s="50">
        <f t="shared" si="17"/>
        <v>-1.7462298274040222E-10</v>
      </c>
      <c r="N47" s="50">
        <f t="shared" si="17"/>
        <v>-5.2386894822120667E-10</v>
      </c>
      <c r="O47" s="50">
        <f t="shared" si="17"/>
        <v>29047.535607497673</v>
      </c>
      <c r="P47" s="50">
        <f t="shared" si="17"/>
        <v>-29047.535607497673</v>
      </c>
      <c r="Q47" s="50">
        <f t="shared" si="17"/>
        <v>0</v>
      </c>
      <c r="R47" s="50">
        <f t="shared" si="17"/>
        <v>2.1100277081131935E-10</v>
      </c>
      <c r="S47" s="50"/>
      <c r="T47" s="47">
        <f t="shared" si="15"/>
        <v>-9.4587448984384537E-11</v>
      </c>
    </row>
    <row r="48" spans="2:20" ht="13.8" x14ac:dyDescent="0.3">
      <c r="B48" s="1">
        <v>48</v>
      </c>
      <c r="C48" s="42" t="s">
        <v>47</v>
      </c>
      <c r="D48" s="43"/>
      <c r="E48" s="43"/>
      <c r="F48" s="43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2:20" ht="13.8" x14ac:dyDescent="0.3">
      <c r="B49" s="1">
        <v>49</v>
      </c>
      <c r="C49" s="42" t="s">
        <v>48</v>
      </c>
      <c r="D49" s="43"/>
      <c r="E49" s="43"/>
      <c r="F49" s="43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2:20" ht="13.8" x14ac:dyDescent="0.3">
      <c r="B50" s="1">
        <v>50</v>
      </c>
      <c r="C50" s="42" t="s">
        <v>49</v>
      </c>
      <c r="D50" s="53"/>
      <c r="E50" s="53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2:20" ht="13.8" x14ac:dyDescent="0.3">
      <c r="B51" s="1">
        <v>51</v>
      </c>
      <c r="C51" s="42" t="s">
        <v>50</v>
      </c>
    </row>
  </sheetData>
  <printOptions horizontalCentered="1"/>
  <pageMargins left="0.25" right="0.25" top="0.75" bottom="0.5" header="0.25" footer="0.25"/>
  <pageSetup scale="70" orientation="landscape" r:id="rId1"/>
  <headerFooter scaleWithDoc="0" alignWithMargins="0">
    <oddFooter>&amp;R&amp;"Times New Roman,Regular"&amp;12Exh. SEF-9
Page &amp;P of &amp;N</oddFooter>
  </headerFooter>
  <colBreaks count="1" manualBreakCount="1">
    <brk id="12" min="3" max="5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140F336-FEB9-49A0-88CD-7633E606E99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215807-0bed-430f-b408-c95fe85364a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68FB79-6A65-4FFA-A33F-C79BC6500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912136-1B04-428A-811D-238C7D3AA6CA}"/>
</file>

<file path=customXml/itemProps4.xml><?xml version="1.0" encoding="utf-8"?>
<ds:datastoreItem xmlns:ds="http://schemas.openxmlformats.org/officeDocument/2006/customXml" ds:itemID="{151B15BA-E3E9-4CEC-9BA1-0A3B34F5BD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Kuzma, Jason (BEL)</cp:lastModifiedBy>
  <cp:lastPrinted>2020-12-06T02:43:19Z</cp:lastPrinted>
  <dcterms:created xsi:type="dcterms:W3CDTF">2020-11-23T19:21:45Z</dcterms:created>
  <dcterms:modified xsi:type="dcterms:W3CDTF">2020-12-06T02:45:27Z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