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3.xml" ContentType="application/vnd.openxmlformats-officedocument.spreadsheetml.comment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4.bin" ContentType="application/vnd.openxmlformats-officedocument.spreadsheetml.customProperty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1\04.2021\"/>
    </mc:Choice>
  </mc:AlternateContent>
  <xr:revisionPtr revIDLastSave="0" documentId="13_ncr:1_{DAC18780-1CB0-477F-8DA2-40A3F1BE4051}" xr6:coauthVersionLast="45" xr6:coauthVersionMax="45" xr10:uidLastSave="{00000000-0000-0000-0000-000000000000}"/>
  <bookViews>
    <workbookView xWindow="-120" yWindow="-120" windowWidth="29040" windowHeight="15840" tabRatio="772" activeTab="3" xr2:uid="{00000000-000D-0000-FFFF-FFFF00000000}"/>
  </bookViews>
  <sheets>
    <sheet name="Jan NEW FORMAT" sheetId="64" r:id="rId1"/>
    <sheet name="Feb NEW FORMAT" sheetId="63" r:id="rId2"/>
    <sheet name="Mar NEW FORMAT" sheetId="62" r:id="rId3"/>
    <sheet name="April NEW FORMAT" sheetId="65" r:id="rId4"/>
    <sheet name="191010 WA DEF" sheetId="39" r:id="rId5"/>
    <sheet name="191000 WA Amort" sheetId="41" r:id="rId6"/>
  </sheets>
  <externalReferences>
    <externalReference r:id="rId7"/>
    <externalReference r:id="rId8"/>
    <externalReference r:id="rId9"/>
  </externalReferences>
  <definedNames>
    <definedName name="Actual_Cost_Per_MMBtu" localSheetId="5">'[1]Oregon Gas Costs - 1999'!#REF!</definedName>
    <definedName name="Actual_Cost_Per_MMBtu">'[1]Oregon Gas Costs - 1999'!#REF!</definedName>
    <definedName name="Actual_Gas_Costs" localSheetId="5">#REF!</definedName>
    <definedName name="Actual_Gas_Costs">#REF!</definedName>
    <definedName name="Actual_Volumes" localSheetId="5">#REF!</definedName>
    <definedName name="Actual_Volumes">#REF!</definedName>
    <definedName name="Analysis_of_Year_to_Date_Gas_Costs___WWP_System" localSheetId="5">#REF!</definedName>
    <definedName name="Analysis_of_Year_to_Date_Gas_Costs___WWP_System">#REF!</definedName>
    <definedName name="Balancing_Account_Summary" localSheetId="5">#REF!</definedName>
    <definedName name="Balancing_Account_Summary">#REF!</definedName>
    <definedName name="Budgeted_Costs_Volumes" localSheetId="5">#REF!</definedName>
    <definedName name="Budgeted_Costs_Volumes">#REF!</definedName>
    <definedName name="Commodity_Costs" localSheetId="5">#REF!</definedName>
    <definedName name="Commodity_Costs">#REF!</definedName>
    <definedName name="_xlnm.Database" localSheetId="5">'[2]May 2000'!#REF!</definedName>
    <definedName name="_xlnm.Database">'[2]May 2000'!#REF!</definedName>
    <definedName name="EIA857_Report_Info" localSheetId="5">#REF!</definedName>
    <definedName name="EIA857_Report_Info">#REF!</definedName>
    <definedName name="InputMonth">[3]Start!$B$2</definedName>
    <definedName name="JanJunPretaxRate">[3]Start!$C$7</definedName>
    <definedName name="jj" localSheetId="5">'[1]Oregon Gas Costs - 1999'!#REF!</definedName>
    <definedName name="jj">'[1]Oregon Gas Costs - 1999'!#REF!</definedName>
    <definedName name="Journal_Entry_Dollars" localSheetId="5">#REF!</definedName>
    <definedName name="Journal_Entry_Dollars">#REF!</definedName>
    <definedName name="Journal_Entry_Volumes" localSheetId="5">#REF!</definedName>
    <definedName name="Journal_Entry_Volumes">#REF!</definedName>
    <definedName name="JournalEntryPrintArea" localSheetId="5">#REF!</definedName>
    <definedName name="JournalEntryPrintArea">#REF!</definedName>
    <definedName name="JulDecPretaxRate">[3]Start!$C$8</definedName>
    <definedName name="Notes" localSheetId="5">#REF!</definedName>
    <definedName name="Notes">#REF!</definedName>
    <definedName name="_xlnm.Print_Area" localSheetId="5">'191000 WA Amort'!$A$1:$S$45</definedName>
    <definedName name="_xlnm.Print_Area" localSheetId="4">'191010 WA DEF'!$A$1:$L$45</definedName>
    <definedName name="_xlnm.Print_Area" localSheetId="3">'April NEW FORMAT'!$B$1:$R$50</definedName>
    <definedName name="_xlnm.Print_Area" localSheetId="1">'Feb NEW FORMAT'!$B$1:$R$42</definedName>
    <definedName name="_xlnm.Print_Area" localSheetId="0">'Jan NEW FORMAT'!$B$1:$R$42</definedName>
    <definedName name="_xlnm.Print_Area" localSheetId="2">'Mar NEW FORMAT'!$B$1:$R$42</definedName>
    <definedName name="SPREADSHEET_DOCUMENTATION" localSheetId="5">#REF!</definedName>
    <definedName name="SPREADSHEET_DOCUMENTATION">#REF!</definedName>
    <definedName name="Summary_of_Off_system_Sales" localSheetId="5">'[1]Oregon Gas Costs - 1999'!#REF!</definedName>
    <definedName name="Summary_of_Off_system_Sales">'[1]Oregon Gas Costs - 1999'!#REF!</definedName>
    <definedName name="Transportation_Costs" localSheetId="5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" i="65" l="1"/>
  <c r="F22" i="41" l="1"/>
  <c r="N24" i="39"/>
  <c r="D1398" i="65" l="1"/>
  <c r="L28" i="65"/>
  <c r="N28" i="65" s="1"/>
  <c r="P27" i="65"/>
  <c r="R27" i="65" s="1"/>
  <c r="L27" i="65"/>
  <c r="N27" i="65" s="1"/>
  <c r="P26" i="65"/>
  <c r="R26" i="65" s="1"/>
  <c r="L26" i="65"/>
  <c r="N26" i="65" s="1"/>
  <c r="P25" i="65"/>
  <c r="R25" i="65" s="1"/>
  <c r="L25" i="65"/>
  <c r="N25" i="65" s="1"/>
  <c r="P24" i="65"/>
  <c r="R24" i="65" s="1"/>
  <c r="L24" i="65"/>
  <c r="N24" i="65" s="1"/>
  <c r="P23" i="65"/>
  <c r="L23" i="65"/>
  <c r="N23" i="65" s="1"/>
  <c r="L17" i="65"/>
  <c r="L19" i="65" s="1"/>
  <c r="N16" i="65"/>
  <c r="P15" i="65"/>
  <c r="P17" i="65" s="1"/>
  <c r="N15" i="65"/>
  <c r="R14" i="65"/>
  <c r="N14" i="65"/>
  <c r="R13" i="65"/>
  <c r="N13" i="65"/>
  <c r="R12" i="65"/>
  <c r="N12" i="65"/>
  <c r="R11" i="65"/>
  <c r="N11" i="65"/>
  <c r="R10" i="65"/>
  <c r="N10" i="65"/>
  <c r="E8" i="65"/>
  <c r="N17" i="65" l="1"/>
  <c r="G33" i="65"/>
  <c r="I34" i="65"/>
  <c r="P28" i="65"/>
  <c r="P30" i="65" s="1"/>
  <c r="R15" i="65"/>
  <c r="N36" i="65" s="1"/>
  <c r="R23" i="65"/>
  <c r="R28" i="65" s="1"/>
  <c r="O36" i="65" s="1"/>
  <c r="N29" i="65"/>
  <c r="M36" i="65" s="1"/>
  <c r="G35" i="65"/>
  <c r="E12" i="65"/>
  <c r="E13" i="65"/>
  <c r="E31" i="65" s="1"/>
  <c r="E32" i="65" s="1"/>
  <c r="I36" i="65"/>
  <c r="L36" i="65"/>
  <c r="L29" i="65"/>
  <c r="I32" i="65" l="1"/>
  <c r="G32" i="65"/>
  <c r="P36" i="65"/>
  <c r="E14" i="65"/>
  <c r="E37" i="65"/>
  <c r="E39" i="65" s="1"/>
  <c r="G8" i="65"/>
  <c r="I8" i="65" s="1"/>
  <c r="I39" i="65" s="1"/>
  <c r="O35" i="65" s="1"/>
  <c r="O37" i="65" s="1"/>
  <c r="L31" i="65"/>
  <c r="H14" i="65" l="1"/>
  <c r="H39" i="65" s="1"/>
  <c r="N35" i="65" s="1"/>
  <c r="N37" i="65" s="1"/>
  <c r="F14" i="65"/>
  <c r="F39" i="65" s="1"/>
  <c r="L35" i="65" s="1"/>
  <c r="L37" i="65" s="1"/>
  <c r="G22" i="39" s="1"/>
  <c r="G39" i="65"/>
  <c r="O39" i="65" l="1"/>
  <c r="M35" i="65"/>
  <c r="M37" i="65" s="1"/>
  <c r="D1395" i="64"/>
  <c r="I34" i="64"/>
  <c r="G33" i="64"/>
  <c r="L28" i="64"/>
  <c r="N28" i="64" s="1"/>
  <c r="P27" i="64"/>
  <c r="R27" i="64" s="1"/>
  <c r="L27" i="64"/>
  <c r="N27" i="64" s="1"/>
  <c r="P26" i="64"/>
  <c r="R26" i="64" s="1"/>
  <c r="L26" i="64"/>
  <c r="N26" i="64" s="1"/>
  <c r="P25" i="64"/>
  <c r="R25" i="64" s="1"/>
  <c r="L25" i="64"/>
  <c r="N25" i="64" s="1"/>
  <c r="P24" i="64"/>
  <c r="R24" i="64" s="1"/>
  <c r="L24" i="64"/>
  <c r="N24" i="64" s="1"/>
  <c r="P23" i="64"/>
  <c r="R23" i="64" s="1"/>
  <c r="L23" i="64"/>
  <c r="L17" i="64"/>
  <c r="L19" i="64" s="1"/>
  <c r="N16" i="64"/>
  <c r="P15" i="64"/>
  <c r="P17" i="64" s="1"/>
  <c r="N15" i="64"/>
  <c r="R14" i="64"/>
  <c r="N14" i="64"/>
  <c r="R13" i="64"/>
  <c r="N13" i="64"/>
  <c r="R12" i="64"/>
  <c r="N12" i="64"/>
  <c r="R11" i="64"/>
  <c r="N11" i="64"/>
  <c r="R10" i="64"/>
  <c r="N10" i="64"/>
  <c r="E8" i="64"/>
  <c r="L29" i="64" l="1"/>
  <c r="P35" i="65"/>
  <c r="M39" i="65"/>
  <c r="F22" i="39"/>
  <c r="N17" i="64"/>
  <c r="R28" i="64"/>
  <c r="O36" i="64" s="1"/>
  <c r="R15" i="64"/>
  <c r="N36" i="64" s="1"/>
  <c r="P28" i="64"/>
  <c r="P30" i="64" s="1"/>
  <c r="N23" i="64"/>
  <c r="N29" i="64" s="1"/>
  <c r="M36" i="64" s="1"/>
  <c r="E12" i="64"/>
  <c r="E13" i="64"/>
  <c r="E31" i="64" s="1"/>
  <c r="E32" i="64" s="1"/>
  <c r="I36" i="64"/>
  <c r="G35" i="64"/>
  <c r="L31" i="64"/>
  <c r="L36" i="64"/>
  <c r="B52" i="63"/>
  <c r="B51" i="63"/>
  <c r="B46" i="63"/>
  <c r="P36" i="64" l="1"/>
  <c r="G8" i="64"/>
  <c r="I8" i="64" s="1"/>
  <c r="I32" i="64" s="1"/>
  <c r="I39" i="64" s="1"/>
  <c r="O35" i="64" s="1"/>
  <c r="O37" i="64" s="1"/>
  <c r="E14" i="64"/>
  <c r="F14" i="64" s="1"/>
  <c r="F39" i="64" s="1"/>
  <c r="L35" i="64" s="1"/>
  <c r="L37" i="64" s="1"/>
  <c r="G19" i="39" s="1"/>
  <c r="E37" i="64"/>
  <c r="E39" i="64" s="1"/>
  <c r="G32" i="64" l="1"/>
  <c r="G39" i="64" s="1"/>
  <c r="M35" i="64" s="1"/>
  <c r="M37" i="64" s="1"/>
  <c r="H14" i="64"/>
  <c r="H39" i="64" s="1"/>
  <c r="N35" i="64" s="1"/>
  <c r="N37" i="64" s="1"/>
  <c r="E42" i="64"/>
  <c r="O39" i="64" l="1"/>
  <c r="M39" i="64"/>
  <c r="F19" i="39"/>
  <c r="P35" i="64"/>
  <c r="D1406" i="63" l="1"/>
  <c r="I34" i="63"/>
  <c r="G33" i="63"/>
  <c r="L28" i="63"/>
  <c r="N28" i="63" s="1"/>
  <c r="P27" i="63"/>
  <c r="R27" i="63" s="1"/>
  <c r="L27" i="63"/>
  <c r="N27" i="63" s="1"/>
  <c r="P26" i="63"/>
  <c r="R26" i="63" s="1"/>
  <c r="L26" i="63"/>
  <c r="N26" i="63" s="1"/>
  <c r="P25" i="63"/>
  <c r="R25" i="63" s="1"/>
  <c r="L25" i="63"/>
  <c r="N25" i="63" s="1"/>
  <c r="P24" i="63"/>
  <c r="R24" i="63" s="1"/>
  <c r="L24" i="63"/>
  <c r="N24" i="63" s="1"/>
  <c r="P23" i="63"/>
  <c r="R23" i="63" s="1"/>
  <c r="L23" i="63"/>
  <c r="N23" i="63" s="1"/>
  <c r="L17" i="63"/>
  <c r="L19" i="63" s="1"/>
  <c r="N16" i="63"/>
  <c r="P15" i="63"/>
  <c r="P17" i="63" s="1"/>
  <c r="N15" i="63"/>
  <c r="R14" i="63"/>
  <c r="N14" i="63"/>
  <c r="R13" i="63"/>
  <c r="N13" i="63"/>
  <c r="R12" i="63"/>
  <c r="N12" i="63"/>
  <c r="R11" i="63"/>
  <c r="N11" i="63"/>
  <c r="R10" i="63"/>
  <c r="N10" i="63"/>
  <c r="E8" i="63"/>
  <c r="R15" i="63" l="1"/>
  <c r="N36" i="63" s="1"/>
  <c r="N29" i="63"/>
  <c r="M36" i="63" s="1"/>
  <c r="N17" i="63"/>
  <c r="E13" i="63"/>
  <c r="E31" i="63" s="1"/>
  <c r="E32" i="63" s="1"/>
  <c r="I36" i="63"/>
  <c r="G35" i="63"/>
  <c r="E12" i="63"/>
  <c r="B53" i="63"/>
  <c r="B48" i="63"/>
  <c r="R28" i="63"/>
  <c r="O36" i="63" s="1"/>
  <c r="L29" i="63"/>
  <c r="P28" i="63"/>
  <c r="P30" i="63" s="1"/>
  <c r="E8" i="62"/>
  <c r="I34" i="62"/>
  <c r="G33" i="62"/>
  <c r="E14" i="63" l="1"/>
  <c r="H14" i="63" s="1"/>
  <c r="H39" i="63" s="1"/>
  <c r="N35" i="63" s="1"/>
  <c r="N37" i="63" s="1"/>
  <c r="L36" i="63"/>
  <c r="P36" i="63"/>
  <c r="F14" i="63"/>
  <c r="F39" i="63" s="1"/>
  <c r="L35" i="63" s="1"/>
  <c r="L37" i="63" s="1"/>
  <c r="G20" i="39" s="1"/>
  <c r="L31" i="63"/>
  <c r="G8" i="63"/>
  <c r="I8" i="63" s="1"/>
  <c r="I32" i="63" s="1"/>
  <c r="I39" i="63" s="1"/>
  <c r="O35" i="63" s="1"/>
  <c r="O37" i="63" s="1"/>
  <c r="E37" i="63"/>
  <c r="E39" i="63" s="1"/>
  <c r="L28" i="62"/>
  <c r="N28" i="62" s="1"/>
  <c r="P27" i="62"/>
  <c r="R27" i="62" s="1"/>
  <c r="L27" i="62"/>
  <c r="N27" i="62" s="1"/>
  <c r="P26" i="62"/>
  <c r="R26" i="62" s="1"/>
  <c r="L26" i="62"/>
  <c r="N26" i="62" s="1"/>
  <c r="P25" i="62"/>
  <c r="R25" i="62" s="1"/>
  <c r="L25" i="62"/>
  <c r="N25" i="62" s="1"/>
  <c r="P24" i="62"/>
  <c r="R24" i="62" s="1"/>
  <c r="L24" i="62"/>
  <c r="N24" i="62" s="1"/>
  <c r="P23" i="62"/>
  <c r="R23" i="62" s="1"/>
  <c r="L23" i="62"/>
  <c r="N23" i="62" s="1"/>
  <c r="L17" i="62"/>
  <c r="L19" i="62" s="1"/>
  <c r="N16" i="62"/>
  <c r="P15" i="62"/>
  <c r="P17" i="62" s="1"/>
  <c r="N15" i="62"/>
  <c r="R14" i="62"/>
  <c r="N14" i="62"/>
  <c r="R13" i="62"/>
  <c r="N13" i="62"/>
  <c r="R12" i="62"/>
  <c r="N12" i="62"/>
  <c r="R11" i="62"/>
  <c r="N11" i="62"/>
  <c r="R10" i="62"/>
  <c r="N10" i="62"/>
  <c r="B52" i="62"/>
  <c r="D1409" i="62"/>
  <c r="G32" i="63" l="1"/>
  <c r="G39" i="63" s="1"/>
  <c r="M35" i="63" s="1"/>
  <c r="M37" i="63" s="1"/>
  <c r="O39" i="63"/>
  <c r="E42" i="63"/>
  <c r="G35" i="62"/>
  <c r="I36" i="62"/>
  <c r="E12" i="62"/>
  <c r="E13" i="62"/>
  <c r="E31" i="62" s="1"/>
  <c r="E32" i="62" s="1"/>
  <c r="R15" i="62"/>
  <c r="N36" i="62" s="1"/>
  <c r="P28" i="62"/>
  <c r="P30" i="62" s="1"/>
  <c r="N17" i="62"/>
  <c r="N29" i="62"/>
  <c r="M36" i="62" s="1"/>
  <c r="R28" i="62"/>
  <c r="L29" i="62"/>
  <c r="B46" i="62"/>
  <c r="B48" i="62" s="1"/>
  <c r="B51" i="62"/>
  <c r="B53" i="62" s="1"/>
  <c r="B56" i="62" s="1"/>
  <c r="G8" i="62" l="1"/>
  <c r="I8" i="62" s="1"/>
  <c r="P35" i="63"/>
  <c r="M39" i="63"/>
  <c r="F20" i="39"/>
  <c r="L36" i="62"/>
  <c r="E37" i="62"/>
  <c r="G32" i="62"/>
  <c r="G39" i="62" s="1"/>
  <c r="M35" i="62" s="1"/>
  <c r="I32" i="62"/>
  <c r="I39" i="62" s="1"/>
  <c r="O35" i="62" s="1"/>
  <c r="O36" i="62"/>
  <c r="P36" i="62" s="1"/>
  <c r="E14" i="62"/>
  <c r="L31" i="62"/>
  <c r="F21" i="41"/>
  <c r="E39" i="62" l="1"/>
  <c r="E42" i="62" s="1"/>
  <c r="H14" i="62"/>
  <c r="H39" i="62" s="1"/>
  <c r="N35" i="62" s="1"/>
  <c r="N37" i="62" s="1"/>
  <c r="F14" i="62"/>
  <c r="F39" i="62" s="1"/>
  <c r="L35" i="62" l="1"/>
  <c r="L37" i="62" s="1"/>
  <c r="G21" i="39" s="1"/>
  <c r="M37" i="62"/>
  <c r="F21" i="39" s="1"/>
  <c r="O37" i="62"/>
  <c r="P35" i="62" l="1"/>
  <c r="O39" i="62"/>
  <c r="M39" i="62"/>
  <c r="F20" i="41" l="1"/>
  <c r="F19" i="41" l="1"/>
  <c r="D31" i="41" l="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N31" i="41" s="1"/>
  <c r="K19" i="41"/>
  <c r="K31" i="41" s="1"/>
  <c r="H19" i="41"/>
  <c r="H31" i="41" s="1"/>
  <c r="A20" i="39"/>
  <c r="A21" i="39" l="1"/>
  <c r="H18" i="41"/>
  <c r="F18" i="41"/>
  <c r="A22" i="39" l="1"/>
  <c r="A23" i="39" l="1"/>
  <c r="A24" i="39" s="1"/>
  <c r="A25" i="39" s="1"/>
  <c r="A26" i="39" s="1"/>
  <c r="A27" i="39" s="1"/>
  <c r="A28" i="39" s="1"/>
  <c r="A29" i="39" s="1"/>
  <c r="A30" i="39" s="1"/>
  <c r="H17" i="41" l="1"/>
  <c r="F17" i="41" l="1"/>
  <c r="F16" i="41" l="1"/>
  <c r="F15" i="41" l="1"/>
  <c r="F14" i="41" l="1"/>
  <c r="F13" i="41" l="1"/>
  <c r="F12" i="41" l="1"/>
  <c r="B12" i="41" l="1"/>
  <c r="F11" i="41" l="1"/>
  <c r="B11" i="41" l="1"/>
  <c r="F10" i="41" l="1"/>
  <c r="B10" i="41" l="1"/>
  <c r="F9" i="41" l="1"/>
  <c r="B9" i="41" l="1"/>
  <c r="N7" i="41" l="1"/>
  <c r="K7" i="41"/>
  <c r="F8" i="41" l="1"/>
  <c r="B8" i="41" l="1"/>
  <c r="F7" i="41" l="1"/>
  <c r="H7" i="41" s="1"/>
  <c r="B7" i="41" l="1"/>
  <c r="N16" i="4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A8" i="39" l="1"/>
  <c r="A9" i="39" s="1"/>
  <c r="A10" i="39" l="1"/>
  <c r="A11" i="39" l="1"/>
  <c r="A12" i="39" l="1"/>
  <c r="A13" i="39" l="1"/>
  <c r="A14" i="39" l="1"/>
  <c r="A15" i="39" l="1"/>
  <c r="A16" i="39" l="1"/>
  <c r="A17" i="39" l="1"/>
  <c r="A18" i="39" l="1"/>
  <c r="H44" i="41" l="1"/>
  <c r="I45" i="41" l="1"/>
  <c r="H39" i="41" l="1"/>
  <c r="I39" i="41"/>
  <c r="D31" i="39" l="1"/>
  <c r="F31" i="39"/>
  <c r="G31" i="39"/>
  <c r="F39" i="39" l="1"/>
  <c r="E39" i="39" l="1"/>
  <c r="H7" i="39" l="1"/>
  <c r="O7" i="41" l="1"/>
  <c r="P7" i="41" s="1"/>
  <c r="I7" i="39"/>
  <c r="E8" i="39" s="1"/>
  <c r="E8" i="41" l="1"/>
  <c r="O8" i="41" s="1"/>
  <c r="S7" i="41"/>
  <c r="H8" i="39"/>
  <c r="L7" i="39"/>
  <c r="I8" i="39" l="1"/>
  <c r="E9" i="39" s="1"/>
  <c r="H9" i="39" s="1"/>
  <c r="P8" i="41" l="1"/>
  <c r="L8" i="39"/>
  <c r="E9" i="41" l="1"/>
  <c r="O9" i="41" s="1"/>
  <c r="S8" i="41"/>
  <c r="I9" i="39" l="1"/>
  <c r="P9" i="41"/>
  <c r="E10" i="41" l="1"/>
  <c r="O10" i="41" s="1"/>
  <c r="S9" i="41"/>
  <c r="E10" i="39"/>
  <c r="H10" i="39" s="1"/>
  <c r="L9" i="39"/>
  <c r="I10" i="39" l="1"/>
  <c r="P10" i="41"/>
  <c r="E11" i="41" l="1"/>
  <c r="O11" i="41" s="1"/>
  <c r="S10" i="41"/>
  <c r="E11" i="39"/>
  <c r="H11" i="39" s="1"/>
  <c r="L10" i="39"/>
  <c r="I11" i="39" l="1"/>
  <c r="P11" i="41"/>
  <c r="E12" i="41" l="1"/>
  <c r="O12" i="41" s="1"/>
  <c r="S11" i="41"/>
  <c r="E12" i="39"/>
  <c r="H12" i="39" s="1"/>
  <c r="L11" i="39"/>
  <c r="P12" i="41" l="1"/>
  <c r="I12" i="39"/>
  <c r="E13" i="41" l="1"/>
  <c r="S12" i="41"/>
  <c r="E13" i="39"/>
  <c r="H13" i="39" s="1"/>
  <c r="L12" i="39"/>
  <c r="I13" i="39" l="1"/>
  <c r="O13" i="41"/>
  <c r="P13" i="41" l="1"/>
  <c r="E14" i="39"/>
  <c r="H14" i="39" s="1"/>
  <c r="L13" i="39"/>
  <c r="I14" i="39" l="1"/>
  <c r="E14" i="41"/>
  <c r="O14" i="41" s="1"/>
  <c r="S13" i="41"/>
  <c r="P14" i="41" l="1"/>
  <c r="E15" i="39"/>
  <c r="H15" i="39" s="1"/>
  <c r="L14" i="39"/>
  <c r="I15" i="39" l="1"/>
  <c r="E15" i="41"/>
  <c r="O15" i="41" s="1"/>
  <c r="S14" i="41"/>
  <c r="E16" i="39" l="1"/>
  <c r="H16" i="39" s="1"/>
  <c r="L15" i="39"/>
  <c r="P15" i="41"/>
  <c r="E16" i="41" l="1"/>
  <c r="O16" i="41" s="1"/>
  <c r="P16" i="41" s="1"/>
  <c r="S16" i="41" s="1"/>
  <c r="S15" i="41"/>
  <c r="I16" i="39"/>
  <c r="D17" i="39" s="1"/>
  <c r="E45" i="39" l="1"/>
  <c r="C17" i="41"/>
  <c r="E44" i="39"/>
  <c r="F45" i="39" s="1"/>
  <c r="E17" i="39"/>
  <c r="H17" i="39" s="1"/>
  <c r="L16" i="39"/>
  <c r="E17" i="41" l="1"/>
  <c r="I17" i="39"/>
  <c r="O17" i="41" l="1"/>
  <c r="P17" i="41" s="1"/>
  <c r="E18" i="39"/>
  <c r="H18" i="39" s="1"/>
  <c r="L17" i="39"/>
  <c r="S17" i="41" l="1"/>
  <c r="E18" i="41"/>
  <c r="O18" i="41" s="1"/>
  <c r="I18" i="39"/>
  <c r="L18" i="39" l="1"/>
  <c r="E19" i="39"/>
  <c r="H19" i="39" s="1"/>
  <c r="P18" i="41"/>
  <c r="S18" i="41" l="1"/>
  <c r="E19" i="41"/>
  <c r="O19" i="41" l="1"/>
  <c r="I19" i="39"/>
  <c r="L19" i="39" l="1"/>
  <c r="E20" i="39"/>
  <c r="H20" i="39" s="1"/>
  <c r="P19" i="41"/>
  <c r="E20" i="41" s="1"/>
  <c r="O20" i="41" s="1"/>
  <c r="P20" i="41" s="1"/>
  <c r="S19" i="41"/>
  <c r="S20" i="41" l="1"/>
  <c r="E21" i="41"/>
  <c r="O21" i="41" s="1"/>
  <c r="P21" i="41" s="1"/>
  <c r="I20" i="39"/>
  <c r="S21" i="41" l="1"/>
  <c r="E22" i="41"/>
  <c r="L20" i="39"/>
  <c r="E21" i="39"/>
  <c r="H21" i="39" s="1"/>
  <c r="O22" i="41"/>
  <c r="P22" i="41" s="1"/>
  <c r="S22" i="41" s="1"/>
  <c r="H23" i="39"/>
  <c r="I23" i="39" s="1"/>
  <c r="O31" i="41" l="1"/>
  <c r="H37" i="41" s="1"/>
  <c r="I21" i="39"/>
  <c r="O23" i="41"/>
  <c r="P23" i="41" s="1"/>
  <c r="H24" i="39"/>
  <c r="I24" i="39" s="1"/>
  <c r="H38" i="41" l="1"/>
  <c r="I38" i="41"/>
  <c r="I41" i="41" s="1"/>
  <c r="I36" i="41"/>
  <c r="L21" i="39"/>
  <c r="E22" i="39"/>
  <c r="H22" i="39" s="1"/>
  <c r="O24" i="41"/>
  <c r="P24" i="41" s="1"/>
  <c r="H25" i="39"/>
  <c r="I25" i="39" s="1"/>
  <c r="I22" i="39" l="1"/>
  <c r="L22" i="39" s="1"/>
  <c r="N25" i="39" s="1"/>
  <c r="H31" i="39"/>
  <c r="O25" i="41"/>
  <c r="P25" i="41" s="1"/>
  <c r="H26" i="39"/>
  <c r="I26" i="39" s="1"/>
  <c r="E38" i="39" l="1"/>
  <c r="F38" i="39"/>
  <c r="F36" i="39"/>
  <c r="E37" i="39"/>
  <c r="O26" i="41"/>
  <c r="P26" i="41" s="1"/>
  <c r="H27" i="39"/>
  <c r="I27" i="39" s="1"/>
  <c r="O3" i="63" l="1"/>
  <c r="N3" i="64"/>
  <c r="O3" i="64"/>
  <c r="N3" i="63"/>
  <c r="N3" i="62"/>
  <c r="O3" i="62"/>
  <c r="E47" i="65"/>
  <c r="F41" i="39"/>
  <c r="O27" i="41"/>
  <c r="P27" i="41" s="1"/>
  <c r="H28" i="39"/>
  <c r="I28" i="39" s="1"/>
  <c r="F47" i="65" l="1"/>
  <c r="E50" i="65"/>
  <c r="O28" i="41"/>
  <c r="P28" i="41" s="1"/>
  <c r="H29" i="39"/>
  <c r="I29" i="39" s="1"/>
  <c r="O29" i="41" l="1"/>
  <c r="P29" i="41" s="1"/>
  <c r="H30" i="39"/>
  <c r="I30" i="39" s="1"/>
  <c r="O30" i="41" l="1"/>
  <c r="P30" i="41" s="1"/>
  <c r="E42" i="6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73634542-0632-47F7-8E8F-CDFD619458F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01137DFD-342F-4C37-977D-E947B5741578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Cannot pull GLWand because 495000 not inclusive of what needs to be on deferral</t>
        </r>
      </text>
    </comment>
    <comment ref="E33" authorId="1" shapeId="0" xr:uid="{10BF025C-4B11-4953-9840-3A8EACD3A102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Cannot pull GLWand because 495000 not inclusive of what needs to be on deferral</t>
        </r>
      </text>
    </comment>
    <comment ref="E34" authorId="1" shapeId="0" xr:uid="{DFD72B75-C6B8-4EB0-B6BA-AF0CABA46B86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Cannot pull GLWand because 495000 not inclusive of what needs to be on deferral</t>
        </r>
      </text>
    </comment>
    <comment ref="K37" authorId="1" shapeId="0" xr:uid="{F9C09AEF-E7FE-4796-A521-D336DE0EE5D8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D07FE95F-B072-43E9-B0C1-70C9B1AE081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7B0AB6D0-7B08-4665-B6FB-D2F348BAAC02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Cannot pull GLWand because 495000 not inclusive of what needs to be on deferral</t>
        </r>
      </text>
    </comment>
    <comment ref="E33" authorId="1" shapeId="0" xr:uid="{B5EF30B1-A07E-40F7-90D0-02FC639FB35F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Cannot pull GLWand because 495000 not inclusive of what needs to be on deferral</t>
        </r>
      </text>
    </comment>
    <comment ref="E34" authorId="1" shapeId="0" xr:uid="{932587D1-2F21-4B56-9399-2ADD214BB36D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Cannot pull GLWand because 495000 not inclusive of what needs to be on deferral</t>
        </r>
      </text>
    </comment>
    <comment ref="K37" authorId="1" shapeId="0" xr:uid="{2CBAA1A1-443F-4B7B-AF95-7D87094098C2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1987A893-D348-4C3B-BC16-864B19DBF1D1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39BF246E-844E-4ADA-8243-44E022EB6174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Cannot pull GLWand because 495000 not inclusive of what needs to be on deferral</t>
        </r>
      </text>
    </comment>
    <comment ref="E33" authorId="1" shapeId="0" xr:uid="{9EE2DFD5-CD28-4F80-B7B3-9D4427D30013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Cannot pull GLWand because 495000 not inclusive of what needs to be on deferral</t>
        </r>
      </text>
    </comment>
    <comment ref="E34" authorId="1" shapeId="0" xr:uid="{9984F81B-BA60-4F40-A972-F8EFFFE634F7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Cannot pull GLWand because 495000 not inclusive of what needs to be on deferral</t>
        </r>
      </text>
    </comment>
    <comment ref="K37" authorId="1" shapeId="0" xr:uid="{97CAF469-151F-47F8-9E6E-1A7D5B4AAEA0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452C2C1-0EAF-47CF-8269-F58D4BDE490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B27B8702-2B19-46F5-A8C4-A17540B60CB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P17" authorId="0" shapeId="0" xr:uid="{965F01AF-BD70-4694-986E-758B15AE2CEB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plugged .02 to clean up rounding</t>
        </r>
      </text>
    </comment>
  </commentList>
</comments>
</file>

<file path=xl/sharedStrings.xml><?xml version="1.0" encoding="utf-8"?>
<sst xmlns="http://schemas.openxmlformats.org/spreadsheetml/2006/main" count="683" uniqueCount="157">
  <si>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</si>
  <si>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</si>
  <si>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</si>
  <si>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</si>
  <si>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</si>
  <si>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</si>
  <si>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</si>
  <si>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</si>
  <si>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</si>
  <si>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</si>
  <si>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</si>
  <si>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</si>
  <si>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</si>
  <si>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</si>
  <si>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</si>
  <si>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</si>
  <si>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</si>
  <si>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</si>
  <si>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</si>
  <si>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</si>
  <si>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</si>
  <si>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</si>
  <si>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</si>
  <si>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</si>
  <si>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</si>
  <si>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</si>
  <si>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</si>
  <si>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</si>
  <si>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</si>
  <si>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</si>
  <si>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</si>
  <si>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</si>
  <si>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</si>
  <si>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</si>
  <si>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</si>
  <si>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</si>
  <si>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</si>
  <si>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</si>
  <si>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</si>
  <si>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</si>
  <si>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</si>
  <si>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</si>
  <si>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</si>
  <si>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</si>
  <si>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</si>
  <si>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</si>
  <si>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</si>
  <si>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</si>
  <si>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</si>
  <si>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</si>
  <si>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</si>
  <si>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</si>
  <si>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</si>
  <si>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</si>
  <si>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</si>
  <si>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</si>
  <si>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</si>
  <si>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</si>
  <si>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</si>
  <si>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</si>
  <si>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</si>
  <si>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</si>
  <si>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</si>
  <si>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</si>
  <si>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</si>
  <si>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</si>
  <si>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</si>
  <si>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</si>
  <si>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</si>
  <si>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</si>
  <si>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</si>
  <si>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</si>
  <si>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</si>
  <si>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</si>
  <si>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</si>
  <si>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</si>
  <si>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</si>
  <si>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</si>
  <si>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</si>
  <si>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</si>
  <si>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</si>
  <si>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</si>
  <si>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</si>
  <si>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</si>
  <si>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Total from DJ 430 Gas Costs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</si>
  <si>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</si>
  <si>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</si>
  <si>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</si>
  <si>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</si>
  <si>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</si>
  <si>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</si>
  <si>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</si>
  <si>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</si>
  <si>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</si>
  <si>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</si>
  <si>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</si>
  <si>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</si>
  <si>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</si>
  <si>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ID Entitlement Penalty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</si>
  <si>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</si>
  <si>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</si>
  <si>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</si>
  <si>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</si>
  <si>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</si>
  <si>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</si>
  <si>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</si>
  <si>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</si>
  <si>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</si>
  <si>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</si>
  <si>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</si>
  <si>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</si>
  <si>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</si>
  <si>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</si>
  <si>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</si>
  <si>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</si>
  <si>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</si>
  <si>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</si>
  <si>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</si>
  <si>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</si>
  <si>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</si>
  <si>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</si>
  <si>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</si>
  <si>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above</t>
  </si>
  <si>
    <t>original JE</t>
  </si>
  <si>
    <t>difference is rounding due to NUC 4 decimals vs. Oracle 9 decimals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</si>
  <si>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</si>
  <si>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</si>
  <si>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</si>
  <si>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</si>
  <si>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</si>
  <si>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</si>
  <si>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</si>
  <si>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</si>
  <si>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</si>
  <si>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</si>
  <si>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FX gain/loss - REVGSALES JE (inadvertantly not included on original deferral JE)</t>
  </si>
  <si>
    <t>Total per GL</t>
  </si>
  <si>
    <t>804%,808%,811000,483%,495028,495100</t>
  </si>
  <si>
    <t>JE</t>
  </si>
  <si>
    <t>trueup</t>
  </si>
  <si>
    <t>trueups</t>
  </si>
  <si>
    <t>final JET entry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</si>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</sst>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9" formatCode="#,##0.00000_);\(#,##0.00000\)"/>
    <numFmt numFmtId="170" formatCode="#,##0.0000_);\(#,##0.0000\)"/>
    <numFmt numFmtId="171" formatCode="#,##0.0000_);[Red]\(#,##0.0000\)"/>
    <numFmt numFmtId="172" formatCode="&quot;$&quot;#,##0\ ;\(&quot;$&quot;#,##0\)"/>
    <numFmt numFmtId="173" formatCode="_(* #,##0_);_(* \(#,##0\);_(* &quot;-&quot;??_);_(@_)"/>
    <numFmt numFmtId="174" formatCode="_(* #,##0.00000_);_(* \(#,##0.00000\);_(* &quot;-&quot;?????_);_(@_)"/>
    <numFmt numFmtId="175" formatCode="_(&quot;$&quot;* #,##0.00000_);_(&quot;$&quot;* \(#,##0.00000\);_(&quot;$&quot;* &quot;-&quot;??_);_(@_)"/>
  </numFmts>
  <fonts count="54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sz val="9"/>
      <color indexed="81"/>
      <name val="Tahoma"/>
      <charset val="1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b/>
      <sz val="9"/>
      <color indexed="81"/>
      <name val="Tahoma"/>
      <charset val="1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80">
    <xf numFmtId="39" fontId="0" fillId="0" borderId="0" xfId="0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2" fillId="0" borderId="0" xfId="0" applyFont="1" applyAlignment="1">
      <alignment horizontal="right"/>
    </xf>
    <xf numFmtId="39" fontId="13" fillId="0" borderId="0" xfId="0" applyFont="1" applyBorder="1"/>
    <xf numFmtId="39" fontId="12" fillId="3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2" fillId="0" borderId="8" xfId="0" applyFont="1" applyFill="1" applyBorder="1"/>
    <xf numFmtId="39" fontId="13" fillId="0" borderId="5" xfId="0" applyFont="1" applyFill="1" applyBorder="1" applyAlignment="1">
      <alignment horizontal="center"/>
    </xf>
    <xf numFmtId="39" fontId="12" fillId="0" borderId="2" xfId="0" applyFont="1" applyFill="1" applyBorder="1"/>
    <xf numFmtId="39" fontId="12" fillId="0" borderId="7" xfId="0" applyFont="1" applyFill="1" applyBorder="1"/>
    <xf numFmtId="39" fontId="12" fillId="0" borderId="7" xfId="0" applyFont="1" applyFill="1" applyBorder="1" applyAlignment="1">
      <alignment horizontal="left"/>
    </xf>
    <xf numFmtId="169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9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4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39" fontId="12" fillId="0" borderId="0" xfId="0" applyFont="1"/>
    <xf numFmtId="39" fontId="12" fillId="0" borderId="0" xfId="0" applyFont="1" applyFill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18" xfId="137" applyFont="1" applyBorder="1" applyAlignment="1">
      <alignment horizontal="center" wrapText="1"/>
    </xf>
    <xf numFmtId="0" fontId="27" fillId="0" borderId="17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6" borderId="17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7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17" xfId="63" applyNumberFormat="1" applyFont="1" applyFill="1" applyBorder="1" applyAlignment="1">
      <alignment horizontal="left"/>
    </xf>
    <xf numFmtId="40" fontId="26" fillId="8" borderId="17" xfId="1" applyFont="1" applyFill="1" applyBorder="1"/>
    <xf numFmtId="40" fontId="26" fillId="0" borderId="17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17" xfId="138" applyFont="1" applyFill="1" applyBorder="1"/>
    <xf numFmtId="43" fontId="35" fillId="0" borderId="0" xfId="138" applyFont="1" applyFill="1" applyBorder="1"/>
    <xf numFmtId="10" fontId="35" fillId="5" borderId="17" xfId="4" applyNumberFormat="1" applyFont="1" applyFill="1" applyBorder="1"/>
    <xf numFmtId="43" fontId="35" fillId="5" borderId="17" xfId="138" applyFont="1" applyFill="1" applyBorder="1"/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18" xfId="137" quotePrefix="1" applyFont="1" applyBorder="1" applyAlignment="1">
      <alignment horizontal="center" wrapText="1"/>
    </xf>
    <xf numFmtId="0" fontId="27" fillId="0" borderId="21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19" xfId="137" quotePrefix="1" applyFont="1" applyBorder="1" applyAlignment="1">
      <alignment horizontal="center" wrapText="1"/>
    </xf>
    <xf numFmtId="10" fontId="35" fillId="5" borderId="20" xfId="4" applyNumberFormat="1" applyFont="1" applyFill="1" applyBorder="1"/>
    <xf numFmtId="43" fontId="35" fillId="5" borderId="20" xfId="138" applyFont="1" applyFill="1" applyBorder="1"/>
    <xf numFmtId="43" fontId="26" fillId="0" borderId="20" xfId="138" applyFont="1" applyFill="1" applyBorder="1"/>
    <xf numFmtId="43" fontId="26" fillId="6" borderId="20" xfId="138" applyFont="1" applyFill="1" applyBorder="1"/>
    <xf numFmtId="43" fontId="27" fillId="6" borderId="20" xfId="138" applyFont="1" applyFill="1" applyBorder="1"/>
    <xf numFmtId="43" fontId="35" fillId="5" borderId="22" xfId="138" applyFont="1" applyFill="1" applyBorder="1"/>
    <xf numFmtId="0" fontId="29" fillId="0" borderId="0" xfId="24" applyFont="1"/>
    <xf numFmtId="43" fontId="29" fillId="0" borderId="0" xfId="24" applyNumberFormat="1" applyFont="1"/>
    <xf numFmtId="1" fontId="26" fillId="0" borderId="17" xfId="24" applyNumberFormat="1" applyFont="1" applyFill="1" applyBorder="1" applyAlignment="1">
      <alignment horizontal="left"/>
    </xf>
    <xf numFmtId="43" fontId="26" fillId="0" borderId="17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5" borderId="20" xfId="139" applyNumberFormat="1" applyFont="1" applyFill="1" applyBorder="1"/>
    <xf numFmtId="169" fontId="39" fillId="5" borderId="20" xfId="145" applyNumberFormat="1" applyFont="1" applyFill="1" applyBorder="1" applyAlignment="1">
      <alignment horizontal="center"/>
    </xf>
    <xf numFmtId="43" fontId="26" fillId="0" borderId="23" xfId="138" applyFont="1" applyFill="1" applyBorder="1"/>
    <xf numFmtId="0" fontId="27" fillId="0" borderId="25" xfId="137" applyFont="1" applyBorder="1" applyAlignment="1">
      <alignment horizontal="center" wrapText="1"/>
    </xf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43" fontId="35" fillId="5" borderId="29" xfId="138" applyFont="1" applyFill="1" applyBorder="1"/>
    <xf numFmtId="43" fontId="35" fillId="5" borderId="31" xfId="138" applyFont="1" applyFill="1" applyBorder="1"/>
    <xf numFmtId="43" fontId="26" fillId="0" borderId="24" xfId="138" applyFont="1" applyFill="1" applyBorder="1"/>
    <xf numFmtId="43" fontId="26" fillId="0" borderId="32" xfId="138" applyFont="1" applyFill="1" applyBorder="1"/>
    <xf numFmtId="173" fontId="35" fillId="5" borderId="28" xfId="138" applyNumberFormat="1" applyFont="1" applyFill="1" applyBorder="1"/>
    <xf numFmtId="38" fontId="35" fillId="5" borderId="28" xfId="138" applyNumberFormat="1" applyFont="1" applyFill="1" applyBorder="1"/>
    <xf numFmtId="0" fontId="27" fillId="0" borderId="33" xfId="137" applyFont="1" applyBorder="1" applyAlignment="1">
      <alignment horizontal="center" wrapText="1"/>
    </xf>
    <xf numFmtId="43" fontId="26" fillId="0" borderId="33" xfId="138" applyFont="1" applyFill="1" applyBorder="1"/>
    <xf numFmtId="43" fontId="26" fillId="0" borderId="29" xfId="138" applyFont="1" applyFill="1" applyBorder="1"/>
    <xf numFmtId="0" fontId="27" fillId="0" borderId="32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5" borderId="22" xfId="139" applyNumberFormat="1" applyFont="1" applyFill="1" applyBorder="1"/>
    <xf numFmtId="43" fontId="26" fillId="0" borderId="34" xfId="138" applyFont="1" applyFill="1" applyBorder="1"/>
    <xf numFmtId="173" fontId="35" fillId="5" borderId="30" xfId="138" applyNumberFormat="1" applyFont="1" applyFill="1" applyBorder="1"/>
    <xf numFmtId="38" fontId="35" fillId="5" borderId="30" xfId="138" applyNumberFormat="1" applyFont="1" applyFill="1" applyBorder="1"/>
    <xf numFmtId="43" fontId="26" fillId="0" borderId="35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169" fontId="12" fillId="0" borderId="0" xfId="0" applyNumberFormat="1" applyFont="1" applyFill="1" applyBorder="1" applyAlignment="1" applyProtection="1">
      <alignment horizontal="center"/>
      <protection locked="0"/>
    </xf>
    <xf numFmtId="39" fontId="12" fillId="0" borderId="0" xfId="0" applyNumberFormat="1" applyFont="1" applyAlignment="1">
      <alignment horizontal="right"/>
    </xf>
    <xf numFmtId="5" fontId="12" fillId="0" borderId="0" xfId="0" applyNumberFormat="1" applyFont="1" applyFill="1" applyAlignment="1">
      <alignment horizontal="center"/>
    </xf>
    <xf numFmtId="39" fontId="12" fillId="0" borderId="11" xfId="0" applyFont="1" applyFill="1" applyBorder="1" applyAlignment="1">
      <alignment horizontal="center"/>
    </xf>
    <xf numFmtId="39" fontId="12" fillId="0" borderId="12" xfId="0" applyFont="1" applyFill="1" applyBorder="1" applyAlignment="1">
      <alignment horizontal="center"/>
    </xf>
    <xf numFmtId="39" fontId="12" fillId="0" borderId="11" xfId="0" applyFont="1" applyFill="1" applyBorder="1"/>
    <xf numFmtId="39" fontId="12" fillId="0" borderId="12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 applyFill="1" applyBorder="1"/>
    <xf numFmtId="43" fontId="12" fillId="4" borderId="0" xfId="1" applyNumberFormat="1" applyFont="1" applyFill="1" applyBorder="1"/>
    <xf numFmtId="37" fontId="13" fillId="0" borderId="15" xfId="0" applyNumberFormat="1" applyFont="1" applyFill="1" applyBorder="1" applyProtection="1"/>
    <xf numFmtId="169" fontId="13" fillId="0" borderId="0" xfId="0" applyNumberFormat="1" applyFont="1" applyFill="1" applyBorder="1" applyAlignment="1" applyProtection="1">
      <alignment horizontal="center"/>
      <protection locked="0"/>
    </xf>
    <xf numFmtId="174" fontId="12" fillId="0" borderId="8" xfId="0" applyNumberFormat="1" applyFont="1" applyFill="1" applyBorder="1"/>
    <xf numFmtId="44" fontId="13" fillId="9" borderId="16" xfId="0" applyNumberFormat="1" applyFont="1" applyFill="1" applyBorder="1"/>
    <xf numFmtId="49" fontId="27" fillId="0" borderId="20" xfId="137" quotePrefix="1" applyNumberFormat="1" applyFont="1" applyFill="1" applyBorder="1" applyAlignment="1">
      <alignment horizontal="right"/>
    </xf>
    <xf numFmtId="174" fontId="12" fillId="0" borderId="36" xfId="0" applyNumberFormat="1" applyFont="1" applyFill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5" xfId="2" applyNumberFormat="1" applyFont="1" applyFill="1" applyBorder="1"/>
    <xf numFmtId="174" fontId="12" fillId="0" borderId="37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35" fillId="5" borderId="23" xfId="138" applyFont="1" applyFill="1" applyBorder="1"/>
    <xf numFmtId="43" fontId="26" fillId="0" borderId="18" xfId="138" applyFont="1" applyFill="1" applyBorder="1"/>
    <xf numFmtId="43" fontId="34" fillId="0" borderId="0" xfId="137" applyNumberFormat="1" applyFont="1" applyFill="1" applyBorder="1"/>
    <xf numFmtId="170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2" xfId="137" quotePrefix="1" applyNumberFormat="1" applyFont="1" applyFill="1" applyBorder="1" applyAlignment="1">
      <alignment horizontal="right"/>
    </xf>
    <xf numFmtId="43" fontId="26" fillId="6" borderId="22" xfId="138" applyFont="1" applyFill="1" applyBorder="1"/>
    <xf numFmtId="43" fontId="27" fillId="6" borderId="22" xfId="138" applyFont="1" applyFill="1" applyBorder="1"/>
    <xf numFmtId="43" fontId="12" fillId="0" borderId="8" xfId="2" applyNumberFormat="1" applyFont="1" applyBorder="1"/>
    <xf numFmtId="38" fontId="12" fillId="0" borderId="0" xfId="1" applyNumberFormat="1" applyFont="1" applyFill="1" applyBorder="1" applyProtection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5" fontId="45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12" fillId="0" borderId="0" xfId="0" applyNumberFormat="1" applyFont="1" applyBorder="1"/>
    <xf numFmtId="17" fontId="46" fillId="0" borderId="0" xfId="0" applyNumberFormat="1" applyFont="1" applyProtection="1">
      <protection locked="0"/>
    </xf>
    <xf numFmtId="0" fontId="47" fillId="10" borderId="0" xfId="145" applyNumberFormat="1" applyFont="1" applyFill="1" applyAlignment="1" applyProtection="1">
      <alignment horizontal="center"/>
      <protection locked="0"/>
    </xf>
    <xf numFmtId="43" fontId="49" fillId="11" borderId="0" xfId="1" applyNumberFormat="1" applyFont="1" applyFill="1" applyBorder="1"/>
    <xf numFmtId="39" fontId="50" fillId="11" borderId="0" xfId="145" applyFont="1" applyFill="1" applyAlignment="1" applyProtection="1">
      <alignment horizontal="left"/>
      <protection locked="0"/>
    </xf>
    <xf numFmtId="175" fontId="45" fillId="0" borderId="0" xfId="57" applyNumberFormat="1" applyFont="1" applyFill="1" applyAlignment="1" applyProtection="1">
      <alignment horizontal="left"/>
      <protection locked="0"/>
    </xf>
    <xf numFmtId="39" fontId="51" fillId="0" borderId="0" xfId="145" applyFont="1" applyProtection="1">
      <protection locked="0"/>
    </xf>
    <xf numFmtId="39" fontId="12" fillId="0" borderId="0" xfId="145" applyFont="1" applyProtection="1">
      <protection locked="0"/>
    </xf>
    <xf numFmtId="39" fontId="52" fillId="0" borderId="0" xfId="145" applyFont="1" applyProtection="1">
      <protection locked="0"/>
    </xf>
    <xf numFmtId="39" fontId="53" fillId="0" borderId="0" xfId="0" applyFont="1"/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39" xfId="0" applyNumberFormat="1" applyFont="1" applyFill="1" applyBorder="1" applyProtection="1">
      <protection locked="0"/>
    </xf>
    <xf numFmtId="38" fontId="49" fillId="11" borderId="0" xfId="1" applyNumberFormat="1" applyFont="1" applyFill="1" applyBorder="1" applyProtection="1"/>
    <xf numFmtId="169" fontId="49" fillId="11" borderId="0" xfId="0" applyNumberFormat="1" applyFont="1" applyFill="1" applyBorder="1" applyAlignment="1" applyProtection="1">
      <alignment horizontal="center"/>
      <protection locked="0"/>
    </xf>
    <xf numFmtId="37" fontId="49" fillId="11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70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0" xfId="0" applyNumberFormat="1" applyFont="1" applyFill="1" applyBorder="1" applyAlignment="1" applyProtection="1">
      <alignment horizontal="center"/>
    </xf>
    <xf numFmtId="167" fontId="13" fillId="0" borderId="41" xfId="0" applyNumberFormat="1" applyFont="1" applyFill="1" applyBorder="1" applyAlignment="1" applyProtection="1">
      <alignment horizontal="center"/>
    </xf>
    <xf numFmtId="39" fontId="12" fillId="0" borderId="42" xfId="0" applyFont="1" applyFill="1" applyBorder="1"/>
    <xf numFmtId="39" fontId="12" fillId="0" borderId="43" xfId="0" applyFont="1" applyFill="1" applyBorder="1"/>
    <xf numFmtId="10" fontId="49" fillId="11" borderId="42" xfId="4" applyNumberFormat="1" applyFont="1" applyFill="1" applyBorder="1" applyAlignment="1">
      <alignment horizontal="center"/>
    </xf>
    <xf numFmtId="10" fontId="12" fillId="0" borderId="43" xfId="4" applyNumberFormat="1" applyFont="1" applyFill="1" applyBorder="1" applyAlignment="1">
      <alignment horizontal="center"/>
    </xf>
    <xf numFmtId="43" fontId="12" fillId="0" borderId="42" xfId="1" applyNumberFormat="1" applyFont="1" applyFill="1" applyBorder="1"/>
    <xf numFmtId="43" fontId="12" fillId="0" borderId="43" xfId="1" applyNumberFormat="1" applyFont="1" applyFill="1" applyBorder="1"/>
    <xf numFmtId="44" fontId="13" fillId="0" borderId="42" xfId="0" applyNumberFormat="1" applyFont="1" applyFill="1" applyBorder="1"/>
    <xf numFmtId="44" fontId="13" fillId="0" borderId="43" xfId="0" applyNumberFormat="1" applyFont="1" applyFill="1" applyBorder="1"/>
    <xf numFmtId="44" fontId="12" fillId="0" borderId="43" xfId="0" applyNumberFormat="1" applyFont="1" applyFill="1" applyBorder="1" applyProtection="1">
      <protection locked="0"/>
    </xf>
    <xf numFmtId="44" fontId="12" fillId="0" borderId="42" xfId="0" applyNumberFormat="1" applyFont="1" applyFill="1" applyBorder="1" applyAlignment="1" applyProtection="1">
      <alignment horizontal="center"/>
    </xf>
    <xf numFmtId="44" fontId="12" fillId="0" borderId="43" xfId="0" applyNumberFormat="1" applyFont="1" applyFill="1" applyBorder="1" applyAlignment="1" applyProtection="1">
      <alignment horizontal="center"/>
    </xf>
    <xf numFmtId="167" fontId="13" fillId="0" borderId="22" xfId="0" applyNumberFormat="1" applyFont="1" applyFill="1" applyBorder="1" applyAlignment="1" applyProtection="1">
      <alignment horizontal="center"/>
    </xf>
    <xf numFmtId="39" fontId="12" fillId="0" borderId="19" xfId="0" applyFont="1" applyFill="1" applyBorder="1"/>
    <xf numFmtId="43" fontId="12" fillId="10" borderId="19" xfId="1" applyNumberFormat="1" applyFont="1" applyFill="1" applyBorder="1"/>
    <xf numFmtId="44" fontId="13" fillId="3" borderId="44" xfId="0" applyNumberFormat="1" applyFont="1" applyFill="1" applyBorder="1"/>
    <xf numFmtId="43" fontId="12" fillId="0" borderId="19" xfId="1" applyNumberFormat="1" applyFont="1" applyFill="1" applyBorder="1"/>
    <xf numFmtId="44" fontId="12" fillId="0" borderId="19" xfId="0" applyNumberFormat="1" applyFont="1" applyFill="1" applyBorder="1"/>
    <xf numFmtId="43" fontId="49" fillId="11" borderId="19" xfId="1" applyNumberFormat="1" applyFont="1" applyFill="1" applyBorder="1"/>
    <xf numFmtId="44" fontId="12" fillId="0" borderId="19" xfId="0" applyNumberFormat="1" applyFont="1" applyFill="1" applyBorder="1" applyAlignment="1" applyProtection="1">
      <alignment horizontal="center"/>
    </xf>
    <xf numFmtId="167" fontId="13" fillId="0" borderId="45" xfId="0" applyNumberFormat="1" applyFont="1" applyFill="1" applyBorder="1" applyAlignment="1" applyProtection="1">
      <alignment horizontal="center"/>
    </xf>
    <xf numFmtId="44" fontId="12" fillId="0" borderId="34" xfId="0" applyNumberFormat="1" applyFont="1" applyFill="1" applyBorder="1" applyProtection="1">
      <protection locked="0"/>
    </xf>
    <xf numFmtId="44" fontId="12" fillId="0" borderId="35" xfId="0" applyNumberFormat="1" applyFont="1" applyFill="1" applyBorder="1" applyProtection="1">
      <protection locked="0"/>
    </xf>
    <xf numFmtId="40" fontId="12" fillId="0" borderId="42" xfId="1" applyFont="1" applyFill="1" applyBorder="1" applyProtection="1">
      <protection locked="0"/>
    </xf>
    <xf numFmtId="40" fontId="13" fillId="0" borderId="43" xfId="1" applyFont="1" applyFill="1" applyBorder="1"/>
    <xf numFmtId="40" fontId="13" fillId="0" borderId="8" xfId="1" applyFont="1" applyFill="1" applyBorder="1"/>
    <xf numFmtId="40" fontId="12" fillId="0" borderId="42" xfId="1" applyFont="1" applyFill="1" applyBorder="1"/>
    <xf numFmtId="40" fontId="12" fillId="0" borderId="43" xfId="1" applyFont="1" applyFill="1" applyBorder="1"/>
    <xf numFmtId="40" fontId="12" fillId="0" borderId="8" xfId="1" applyFont="1" applyFill="1" applyBorder="1"/>
    <xf numFmtId="40" fontId="51" fillId="0" borderId="42" xfId="1" applyFont="1" applyBorder="1" applyAlignment="1" applyProtection="1">
      <alignment horizontal="left"/>
      <protection locked="0"/>
    </xf>
    <xf numFmtId="40" fontId="49" fillId="0" borderId="42" xfId="1" applyFont="1" applyFill="1" applyBorder="1"/>
    <xf numFmtId="40" fontId="49" fillId="0" borderId="43" xfId="1" applyFont="1" applyFill="1" applyBorder="1"/>
    <xf numFmtId="40" fontId="49" fillId="0" borderId="8" xfId="1" applyFont="1" applyFill="1" applyBorder="1"/>
    <xf numFmtId="40" fontId="13" fillId="0" borderId="42" xfId="1" applyFont="1" applyFill="1" applyBorder="1"/>
    <xf numFmtId="9" fontId="12" fillId="0" borderId="19" xfId="4" applyFont="1" applyFill="1" applyBorder="1" applyAlignment="1">
      <alignment horizontal="center"/>
    </xf>
    <xf numFmtId="40" fontId="18" fillId="0" borderId="0" xfId="1" applyFont="1" applyFill="1"/>
    <xf numFmtId="39" fontId="52" fillId="0" borderId="38" xfId="145" applyFont="1" applyBorder="1" applyProtection="1">
      <protection locked="0"/>
    </xf>
    <xf numFmtId="39" fontId="51" fillId="0" borderId="38" xfId="145" applyFont="1" applyFill="1" applyBorder="1" applyProtection="1">
      <protection locked="0"/>
    </xf>
    <xf numFmtId="39" fontId="12" fillId="0" borderId="0" xfId="0" quotePrefix="1" applyFont="1" applyFill="1" applyAlignment="1">
      <alignment horizontal="left"/>
    </xf>
    <xf numFmtId="171" fontId="12" fillId="0" borderId="0" xfId="1" quotePrefix="1" applyNumberFormat="1" applyFont="1" applyFill="1"/>
    <xf numFmtId="0" fontId="33" fillId="0" borderId="0" xfId="137" applyFont="1"/>
    <xf numFmtId="0" fontId="33" fillId="0" borderId="38" xfId="137" applyFont="1" applyBorder="1"/>
    <xf numFmtId="43" fontId="33" fillId="0" borderId="0" xfId="137" applyNumberFormat="1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12" fillId="0" borderId="38" xfId="0" applyFont="1" applyBorder="1"/>
    <xf numFmtId="39" fontId="13" fillId="0" borderId="9" xfId="0" applyFont="1" applyFill="1" applyBorder="1" applyAlignment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3" xfId="0" applyFont="1" applyFill="1" applyBorder="1" applyAlignment="1">
      <alignment horizontal="center"/>
    </xf>
    <xf numFmtId="39" fontId="12" fillId="0" borderId="9" xfId="145" applyFont="1" applyBorder="1" applyAlignment="1" applyProtection="1">
      <alignment horizontal="center"/>
      <protection locked="0"/>
    </xf>
    <xf numFmtId="39" fontId="12" fillId="0" borderId="13" xfId="145" applyFont="1" applyBorder="1" applyAlignment="1" applyProtection="1">
      <alignment horizontal="center"/>
      <protection locked="0"/>
    </xf>
    <xf numFmtId="167" fontId="13" fillId="0" borderId="46" xfId="0" applyNumberFormat="1" applyFont="1" applyFill="1" applyBorder="1" applyAlignment="1" applyProtection="1">
      <alignment horizontal="center"/>
    </xf>
    <xf numFmtId="167" fontId="13" fillId="0" borderId="47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2" fillId="0" borderId="0" xfId="145" applyFont="1" applyBorder="1" applyAlignment="1" applyProtection="1">
      <alignment horizontal="center"/>
      <protection locked="0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112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99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D6A5B-A772-426F-834D-AAD79C0B134F}">
  <sheetPr>
    <pageSetUpPr fitToPage="1"/>
  </sheetPr>
  <dimension ref="A1:R1395"/>
  <sheetViews>
    <sheetView topLeftCell="F10" zoomScale="85" zoomScaleNormal="85" workbookViewId="0">
      <selection activeCell="K38" sqref="K38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20" style="8" bestFit="1" customWidth="1"/>
    <col min="6" max="7" width="18.5703125" style="32" bestFit="1" customWidth="1"/>
    <col min="8" max="8" width="16.42578125" style="32" bestFit="1" customWidth="1"/>
    <col min="9" max="9" width="18.5703125" style="32" bestFit="1" customWidth="1"/>
    <col min="10" max="10" width="4.85546875" style="31" bestFit="1" customWidth="1"/>
    <col min="11" max="11" width="25" style="31" bestFit="1" customWidth="1"/>
    <col min="12" max="12" width="19.42578125" style="31" bestFit="1" customWidth="1"/>
    <col min="13" max="13" width="18.140625" style="31" customWidth="1"/>
    <col min="14" max="14" width="18.5703125" style="31" bestFit="1" customWidth="1"/>
    <col min="15" max="15" width="20.85546875" style="31" bestFit="1" customWidth="1"/>
    <col min="16" max="16" width="14.28515625" style="31" bestFit="1" customWidth="1"/>
    <col min="17" max="17" width="10.7109375" style="31" bestFit="1" customWidth="1"/>
    <col min="18" max="18" width="18.5703125" style="31" bestFit="1" customWidth="1"/>
    <col min="19" max="16384" width="16" style="31"/>
  </cols>
  <sheetData>
    <row r="1" spans="2:18" ht="15.6" customHeight="1" thickBot="1">
      <c r="B1" s="179" t="s">
        <v>132</v>
      </c>
      <c r="C1" s="180">
        <v>202101</v>
      </c>
      <c r="D1" s="178"/>
      <c r="E1" s="133"/>
      <c r="F1" s="133"/>
      <c r="G1" s="133"/>
      <c r="H1" s="133"/>
      <c r="I1" s="133"/>
      <c r="K1" s="174" t="s">
        <v>114</v>
      </c>
      <c r="L1" s="182" t="s">
        <v>115</v>
      </c>
      <c r="N1" s="274" t="s">
        <v>127</v>
      </c>
      <c r="O1" s="275"/>
    </row>
    <row r="2" spans="2:18" ht="15.6" customHeight="1">
      <c r="D2" s="133"/>
      <c r="E2" s="133"/>
      <c r="F2" s="133"/>
      <c r="G2" s="133"/>
      <c r="H2" s="133"/>
      <c r="I2" s="133"/>
      <c r="K2" s="175"/>
      <c r="L2" s="176" t="s">
        <v>116</v>
      </c>
      <c r="N2" s="177" t="s">
        <v>38</v>
      </c>
      <c r="O2" s="218" t="s">
        <v>39</v>
      </c>
    </row>
    <row r="3" spans="2:18" ht="15.6" customHeight="1" thickBot="1">
      <c r="D3" s="133"/>
      <c r="E3" s="133"/>
      <c r="F3" s="133"/>
      <c r="G3" s="133"/>
      <c r="H3" s="133"/>
      <c r="I3" s="133"/>
      <c r="K3" s="175"/>
      <c r="L3" s="183"/>
      <c r="N3" s="219" t="e">
        <f>SUM('191010 WA DEF'!E36:E45)+SUM('191000 WA Amort'!H36:H45)+SUM(#REF!)+SUM(#REF!)</f>
        <v>#REF!</v>
      </c>
      <c r="O3" s="217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133"/>
      <c r="E4" s="133"/>
      <c r="F4" s="133"/>
      <c r="G4" s="133"/>
      <c r="H4" s="133"/>
      <c r="I4" s="133"/>
      <c r="K4" s="175"/>
      <c r="L4" s="183"/>
    </row>
    <row r="5" spans="2:18" ht="15.6" customHeight="1" thickBot="1">
      <c r="B5" s="188"/>
      <c r="C5" s="14"/>
      <c r="D5" s="14"/>
      <c r="E5" s="245" t="s">
        <v>17</v>
      </c>
      <c r="F5" s="276" t="s">
        <v>32</v>
      </c>
      <c r="G5" s="277"/>
      <c r="H5" s="276" t="s">
        <v>33</v>
      </c>
      <c r="I5" s="278"/>
      <c r="J5" s="32"/>
      <c r="K5" s="271" t="s">
        <v>32</v>
      </c>
      <c r="L5" s="272"/>
      <c r="M5" s="272"/>
      <c r="N5" s="273"/>
      <c r="O5" s="271" t="s">
        <v>33</v>
      </c>
      <c r="P5" s="272"/>
      <c r="Q5" s="272"/>
      <c r="R5" s="273"/>
    </row>
    <row r="6" spans="2:18" ht="15.6" customHeight="1" thickBot="1">
      <c r="B6" s="189" t="s">
        <v>18</v>
      </c>
      <c r="C6" s="3"/>
      <c r="D6" s="3"/>
      <c r="E6" s="237" t="s">
        <v>130</v>
      </c>
      <c r="F6" s="224" t="s">
        <v>2</v>
      </c>
      <c r="G6" s="225" t="s">
        <v>1</v>
      </c>
      <c r="H6" s="224" t="s">
        <v>2</v>
      </c>
      <c r="I6" s="223" t="s">
        <v>1</v>
      </c>
      <c r="J6" s="32"/>
      <c r="K6" s="136" t="s">
        <v>24</v>
      </c>
      <c r="L6" s="134" t="s">
        <v>6</v>
      </c>
      <c r="M6" s="134" t="s">
        <v>6</v>
      </c>
      <c r="N6" s="134" t="s">
        <v>6</v>
      </c>
      <c r="O6" s="136" t="s">
        <v>24</v>
      </c>
      <c r="P6" s="134" t="s">
        <v>6</v>
      </c>
      <c r="Q6" s="134" t="s">
        <v>6</v>
      </c>
      <c r="R6" s="168" t="s">
        <v>6</v>
      </c>
    </row>
    <row r="7" spans="2:18" ht="15.6" customHeight="1" thickBot="1">
      <c r="B7" s="15"/>
      <c r="C7" s="3"/>
      <c r="D7" s="3"/>
      <c r="E7" s="238"/>
      <c r="F7" s="226"/>
      <c r="G7" s="227"/>
      <c r="H7" s="226"/>
      <c r="I7" s="12"/>
      <c r="J7" s="32"/>
      <c r="K7" s="137" t="s">
        <v>35</v>
      </c>
      <c r="L7" s="135" t="s">
        <v>22</v>
      </c>
      <c r="M7" s="135" t="s">
        <v>9</v>
      </c>
      <c r="N7" s="135" t="s">
        <v>7</v>
      </c>
      <c r="O7" s="137" t="s">
        <v>35</v>
      </c>
      <c r="P7" s="135" t="s">
        <v>22</v>
      </c>
      <c r="Q7" s="135" t="s">
        <v>9</v>
      </c>
      <c r="R7" s="135" t="s">
        <v>7</v>
      </c>
    </row>
    <row r="8" spans="2:18" ht="15.6" customHeight="1">
      <c r="B8" s="15"/>
      <c r="C8" s="3"/>
      <c r="D8" s="3"/>
      <c r="E8" s="259">
        <f>F8+H8</f>
        <v>1</v>
      </c>
      <c r="F8" s="228">
        <v>0.68810000000000004</v>
      </c>
      <c r="G8" s="229">
        <f>ROUND($L$29/($L$29+$P$28),4)</f>
        <v>0.6764</v>
      </c>
      <c r="H8" s="228">
        <v>0.31190000000000001</v>
      </c>
      <c r="I8" s="190">
        <f>1-G8</f>
        <v>0.3236</v>
      </c>
      <c r="J8" s="260"/>
      <c r="K8" s="15"/>
      <c r="L8" s="167"/>
      <c r="M8" s="167"/>
      <c r="N8" s="168"/>
      <c r="O8" s="138"/>
      <c r="P8" s="139"/>
      <c r="Q8" s="139"/>
      <c r="R8" s="27"/>
    </row>
    <row r="9" spans="2:18" ht="15.6" customHeight="1">
      <c r="B9" s="15"/>
      <c r="C9" s="3"/>
      <c r="D9" s="3"/>
      <c r="E9" s="238"/>
      <c r="F9" s="226"/>
      <c r="G9" s="227"/>
      <c r="H9" s="226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18" ht="15.6" customHeight="1">
      <c r="B10" s="177" t="s">
        <v>155</v>
      </c>
      <c r="C10" s="28">
        <v>804001</v>
      </c>
      <c r="D10" s="28" t="s">
        <v>113</v>
      </c>
      <c r="E10" s="239">
        <v>2257262.19</v>
      </c>
      <c r="F10" s="230"/>
      <c r="G10" s="231"/>
      <c r="H10" s="230"/>
      <c r="I10" s="221"/>
      <c r="J10" s="32"/>
      <c r="K10" s="26" t="s">
        <v>10</v>
      </c>
      <c r="L10" s="201">
        <v>20652318</v>
      </c>
      <c r="M10" s="202">
        <v>9.8220000000000002E-2</v>
      </c>
      <c r="N10" s="172">
        <f t="shared" ref="N10:N16" si="0">L10*M10</f>
        <v>2028470.67396</v>
      </c>
      <c r="O10" s="26" t="s">
        <v>10</v>
      </c>
      <c r="P10" s="201">
        <v>10486334</v>
      </c>
      <c r="Q10" s="202">
        <v>8.9520000000000002E-2</v>
      </c>
      <c r="R10" s="172">
        <f t="shared" ref="R10:R11" si="1">P10*Q10</f>
        <v>938736.61968</v>
      </c>
    </row>
    <row r="11" spans="2:18" ht="15.6" customHeight="1" thickBot="1">
      <c r="B11" s="177" t="s">
        <v>156</v>
      </c>
      <c r="C11" s="28">
        <v>804002</v>
      </c>
      <c r="D11" s="28" t="s">
        <v>113</v>
      </c>
      <c r="E11" s="239">
        <v>35148.730000000003</v>
      </c>
      <c r="F11" s="230"/>
      <c r="G11" s="231"/>
      <c r="H11" s="230"/>
      <c r="I11" s="221"/>
      <c r="J11" s="32"/>
      <c r="K11" s="26" t="s">
        <v>42</v>
      </c>
      <c r="L11" s="201">
        <v>32556</v>
      </c>
      <c r="M11" s="202">
        <v>9.8220000000000002E-2</v>
      </c>
      <c r="N11" s="172">
        <f t="shared" si="0"/>
        <v>3197.6503200000002</v>
      </c>
      <c r="O11" s="26" t="s">
        <v>11</v>
      </c>
      <c r="P11" s="201">
        <v>3100340</v>
      </c>
      <c r="Q11" s="202">
        <v>8.9520000000000002E-2</v>
      </c>
      <c r="R11" s="172">
        <f t="shared" si="1"/>
        <v>277542.43680000002</v>
      </c>
    </row>
    <row r="12" spans="2:18" ht="15.6" customHeight="1" thickBot="1">
      <c r="B12" s="191" t="s">
        <v>117</v>
      </c>
      <c r="C12" s="7"/>
      <c r="D12" s="7"/>
      <c r="E12" s="240">
        <f>SUM(E10:E11)</f>
        <v>2292410.92</v>
      </c>
      <c r="F12" s="232"/>
      <c r="G12" s="233"/>
      <c r="H12" s="232"/>
      <c r="I12" s="222"/>
      <c r="J12" s="32"/>
      <c r="K12" s="26" t="s">
        <v>11</v>
      </c>
      <c r="L12" s="201">
        <v>7466798</v>
      </c>
      <c r="M12" s="202">
        <v>8.8349999999999998E-2</v>
      </c>
      <c r="N12" s="172">
        <f t="shared" si="0"/>
        <v>659691.60329999996</v>
      </c>
      <c r="O12" s="26" t="s">
        <v>12</v>
      </c>
      <c r="P12" s="201">
        <v>940</v>
      </c>
      <c r="Q12" s="202">
        <v>8.9520000000000002E-2</v>
      </c>
      <c r="R12" s="172">
        <f>P12*Q12</f>
        <v>84.148800000000008</v>
      </c>
    </row>
    <row r="13" spans="2:18" ht="15.6" customHeight="1" thickBot="1">
      <c r="B13" s="192" t="s">
        <v>25</v>
      </c>
      <c r="C13" s="1"/>
      <c r="D13" s="1"/>
      <c r="E13" s="241">
        <f>-E11</f>
        <v>-35148.730000000003</v>
      </c>
      <c r="F13" s="230"/>
      <c r="G13" s="231"/>
      <c r="H13" s="230"/>
      <c r="I13" s="221"/>
      <c r="J13" s="32"/>
      <c r="K13" s="26" t="s">
        <v>12</v>
      </c>
      <c r="L13" s="201">
        <v>124760</v>
      </c>
      <c r="M13" s="202">
        <v>8.8349999999999998E-2</v>
      </c>
      <c r="N13" s="172">
        <f t="shared" si="0"/>
        <v>11022.546</v>
      </c>
      <c r="O13" s="26" t="s">
        <v>13</v>
      </c>
      <c r="P13" s="201">
        <v>0</v>
      </c>
      <c r="Q13" s="202">
        <v>8.9520000000000002E-2</v>
      </c>
      <c r="R13" s="172">
        <f t="shared" ref="R13:R14" si="2">P13*Q13</f>
        <v>0</v>
      </c>
    </row>
    <row r="14" spans="2:18" ht="15.6" customHeight="1" thickBot="1">
      <c r="B14" s="191" t="s">
        <v>133</v>
      </c>
      <c r="C14" s="193"/>
      <c r="D14" s="193"/>
      <c r="E14" s="240">
        <f>SUM(E12:E13)</f>
        <v>2257262.19</v>
      </c>
      <c r="F14" s="248">
        <f>E14*F8</f>
        <v>1553222.1129390001</v>
      </c>
      <c r="G14" s="249"/>
      <c r="H14" s="248">
        <f>E14*H8</f>
        <v>704040.07706100005</v>
      </c>
      <c r="I14" s="250"/>
      <c r="J14" s="32"/>
      <c r="K14" s="26" t="s">
        <v>13</v>
      </c>
      <c r="L14" s="201">
        <v>0</v>
      </c>
      <c r="M14" s="202">
        <v>5.6399999999999999E-2</v>
      </c>
      <c r="N14" s="172">
        <f t="shared" si="0"/>
        <v>0</v>
      </c>
      <c r="O14" s="26" t="s">
        <v>14</v>
      </c>
      <c r="P14" s="201">
        <v>0</v>
      </c>
      <c r="Q14" s="202">
        <v>8.9520000000000002E-2</v>
      </c>
      <c r="R14" s="172">
        <f t="shared" si="2"/>
        <v>0</v>
      </c>
    </row>
    <row r="15" spans="2:18" ht="15.6" customHeight="1" thickBot="1">
      <c r="B15" s="15"/>
      <c r="C15" s="3"/>
      <c r="D15" s="3"/>
      <c r="E15" s="242"/>
      <c r="F15" s="251"/>
      <c r="G15" s="252"/>
      <c r="H15" s="251"/>
      <c r="I15" s="253"/>
      <c r="J15" s="32"/>
      <c r="K15" s="26" t="s">
        <v>14</v>
      </c>
      <c r="L15" s="201">
        <v>127342</v>
      </c>
      <c r="M15" s="202">
        <v>5.6399999999999999E-2</v>
      </c>
      <c r="N15" s="172">
        <f t="shared" si="0"/>
        <v>7182.0887999999995</v>
      </c>
      <c r="O15" s="25" t="s">
        <v>29</v>
      </c>
      <c r="P15" s="143">
        <f>SUM(P10:P14)</f>
        <v>13587614</v>
      </c>
      <c r="Q15" s="144"/>
      <c r="R15" s="23">
        <f>SUM(R10:R14)</f>
        <v>1216363.2052800001</v>
      </c>
    </row>
    <row r="16" spans="2:18" ht="15.6" customHeight="1" thickTop="1">
      <c r="B16" s="15"/>
      <c r="C16" s="3"/>
      <c r="D16" s="3"/>
      <c r="E16" s="242"/>
      <c r="F16" s="251"/>
      <c r="G16" s="252"/>
      <c r="H16" s="251"/>
      <c r="I16" s="253"/>
      <c r="J16" s="32"/>
      <c r="K16" s="26" t="s">
        <v>20</v>
      </c>
      <c r="L16" s="201">
        <v>3218284</v>
      </c>
      <c r="M16" s="202">
        <v>5.4000000000000001E-4</v>
      </c>
      <c r="N16" s="172">
        <f t="shared" si="0"/>
        <v>1737.87336</v>
      </c>
      <c r="O16" s="26"/>
      <c r="P16" s="203">
        <v>13587614</v>
      </c>
      <c r="Q16" s="17"/>
      <c r="R16" s="145"/>
    </row>
    <row r="17" spans="2:18" ht="15.6" customHeight="1" thickBot="1">
      <c r="B17" s="177" t="s">
        <v>142</v>
      </c>
      <c r="C17" s="28">
        <v>804000</v>
      </c>
      <c r="D17" s="28" t="s">
        <v>113</v>
      </c>
      <c r="E17" s="239">
        <v>11230022.02</v>
      </c>
      <c r="F17" s="254"/>
      <c r="G17" s="252"/>
      <c r="H17" s="251"/>
      <c r="I17" s="253"/>
      <c r="J17" s="32"/>
      <c r="K17" s="25" t="s">
        <v>29</v>
      </c>
      <c r="L17" s="143">
        <f>SUM(L10:L16)</f>
        <v>31622058</v>
      </c>
      <c r="M17" s="4"/>
      <c r="N17" s="23">
        <f>SUM(N10:N16)</f>
        <v>2711302.4357400001</v>
      </c>
      <c r="O17" s="26"/>
      <c r="P17" s="142">
        <f>P15-P16</f>
        <v>0</v>
      </c>
      <c r="Q17" s="17" t="s">
        <v>23</v>
      </c>
      <c r="R17" s="24"/>
    </row>
    <row r="18" spans="2:18" ht="15.6" customHeight="1" thickTop="1">
      <c r="B18" s="177" t="s">
        <v>143</v>
      </c>
      <c r="C18" s="28">
        <v>804010</v>
      </c>
      <c r="D18" s="28" t="s">
        <v>113</v>
      </c>
      <c r="E18" s="239">
        <v>34454.18</v>
      </c>
      <c r="F18" s="251"/>
      <c r="G18" s="252"/>
      <c r="H18" s="251"/>
      <c r="I18" s="253"/>
      <c r="J18" s="32"/>
      <c r="K18" s="16"/>
      <c r="L18" s="203">
        <v>31622058</v>
      </c>
      <c r="M18" s="17"/>
      <c r="N18" s="145"/>
      <c r="O18" s="15"/>
      <c r="P18" s="3"/>
      <c r="Q18" s="131"/>
      <c r="R18" s="24"/>
    </row>
    <row r="19" spans="2:18" ht="15.6" customHeight="1">
      <c r="B19" s="177" t="s">
        <v>144</v>
      </c>
      <c r="C19" s="28">
        <v>804017</v>
      </c>
      <c r="D19" s="28" t="s">
        <v>113</v>
      </c>
      <c r="E19" s="239">
        <v>28646.52</v>
      </c>
      <c r="F19" s="251"/>
      <c r="G19" s="252"/>
      <c r="H19" s="251"/>
      <c r="I19" s="253"/>
      <c r="J19" s="32"/>
      <c r="K19" s="15"/>
      <c r="L19" s="142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7" t="s">
        <v>145</v>
      </c>
      <c r="C20" s="28">
        <v>804018</v>
      </c>
      <c r="D20" s="28" t="s">
        <v>113</v>
      </c>
      <c r="E20" s="239">
        <v>8503.56</v>
      </c>
      <c r="F20" s="251"/>
      <c r="G20" s="252"/>
      <c r="H20" s="251"/>
      <c r="I20" s="253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7" t="s">
        <v>146</v>
      </c>
      <c r="C21" s="28">
        <v>804600</v>
      </c>
      <c r="D21" s="28" t="s">
        <v>113</v>
      </c>
      <c r="E21" s="239">
        <v>-822897.68</v>
      </c>
      <c r="F21" s="251"/>
      <c r="G21" s="252"/>
      <c r="H21" s="251"/>
      <c r="I21" s="253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7" t="s">
        <v>147</v>
      </c>
      <c r="C22" s="28">
        <v>804730</v>
      </c>
      <c r="D22" s="28" t="s">
        <v>113</v>
      </c>
      <c r="E22" s="239">
        <v>966504.06</v>
      </c>
      <c r="F22" s="251"/>
      <c r="G22" s="252"/>
      <c r="H22" s="251"/>
      <c r="I22" s="253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7" t="s">
        <v>148</v>
      </c>
      <c r="C23" s="28">
        <v>808100</v>
      </c>
      <c r="D23" s="28" t="s">
        <v>113</v>
      </c>
      <c r="E23" s="239">
        <v>1713320.43</v>
      </c>
      <c r="F23" s="251"/>
      <c r="G23" s="252"/>
      <c r="H23" s="251"/>
      <c r="I23" s="253"/>
      <c r="J23" s="32"/>
      <c r="K23" s="26" t="s">
        <v>10</v>
      </c>
      <c r="L23" s="173">
        <f>+L10</f>
        <v>20652318</v>
      </c>
      <c r="M23" s="202">
        <v>0.16167000000000001</v>
      </c>
      <c r="N23" s="172">
        <f t="shared" ref="N23:N28" si="3">L23*M23</f>
        <v>3338860.2510600002</v>
      </c>
      <c r="O23" s="26" t="s">
        <v>10</v>
      </c>
      <c r="P23" s="173">
        <f>+P10</f>
        <v>10486334</v>
      </c>
      <c r="Q23" s="202">
        <v>0.16148000000000001</v>
      </c>
      <c r="R23" s="172">
        <f t="shared" ref="R23" si="4">P23*Q23</f>
        <v>1693333.21432</v>
      </c>
    </row>
    <row r="24" spans="2:18" ht="15.6" customHeight="1">
      <c r="B24" s="177" t="s">
        <v>149</v>
      </c>
      <c r="C24" s="28">
        <v>808200</v>
      </c>
      <c r="D24" s="28" t="s">
        <v>113</v>
      </c>
      <c r="E24" s="239">
        <v>-366220.33</v>
      </c>
      <c r="F24" s="251"/>
      <c r="G24" s="252"/>
      <c r="H24" s="251"/>
      <c r="I24" s="253"/>
      <c r="J24" s="32"/>
      <c r="K24" s="26" t="s">
        <v>42</v>
      </c>
      <c r="L24" s="173">
        <f t="shared" ref="L24:L28" si="5">+L11</f>
        <v>32556</v>
      </c>
      <c r="M24" s="202">
        <v>0.16167000000000001</v>
      </c>
      <c r="N24" s="172">
        <f t="shared" si="3"/>
        <v>5263.32852</v>
      </c>
      <c r="O24" s="26" t="s">
        <v>11</v>
      </c>
      <c r="P24" s="173">
        <f t="shared" ref="P24:P27" si="6">+P11</f>
        <v>3100340</v>
      </c>
      <c r="Q24" s="202">
        <v>0.16148000000000001</v>
      </c>
      <c r="R24" s="172">
        <f>P24*Q24</f>
        <v>500642.90320000006</v>
      </c>
    </row>
    <row r="25" spans="2:18" ht="15.6" customHeight="1">
      <c r="B25" s="177" t="s">
        <v>150</v>
      </c>
      <c r="C25" s="28">
        <v>811000</v>
      </c>
      <c r="D25" s="28" t="s">
        <v>113</v>
      </c>
      <c r="E25" s="239">
        <v>-3734.75</v>
      </c>
      <c r="F25" s="251"/>
      <c r="G25" s="252"/>
      <c r="H25" s="251"/>
      <c r="I25" s="253"/>
      <c r="J25" s="32"/>
      <c r="K25" s="26" t="s">
        <v>11</v>
      </c>
      <c r="L25" s="173">
        <f t="shared" si="5"/>
        <v>7466798</v>
      </c>
      <c r="M25" s="202">
        <v>0.16167000000000001</v>
      </c>
      <c r="N25" s="172">
        <f t="shared" si="3"/>
        <v>1207157.23266</v>
      </c>
      <c r="O25" s="26" t="s">
        <v>12</v>
      </c>
      <c r="P25" s="173">
        <f t="shared" si="6"/>
        <v>940</v>
      </c>
      <c r="Q25" s="202">
        <v>0.16148000000000001</v>
      </c>
      <c r="R25" s="172">
        <f t="shared" ref="R25:R27" si="7">P25*Q25</f>
        <v>151.7912</v>
      </c>
    </row>
    <row r="26" spans="2:18" ht="15.6" customHeight="1">
      <c r="B26" s="177" t="s">
        <v>151</v>
      </c>
      <c r="C26" s="28">
        <v>483000</v>
      </c>
      <c r="D26" s="28" t="s">
        <v>113</v>
      </c>
      <c r="E26" s="239">
        <v>-2822148.55</v>
      </c>
      <c r="F26" s="254"/>
      <c r="G26" s="252"/>
      <c r="H26" s="251"/>
      <c r="I26" s="253"/>
      <c r="J26" s="32"/>
      <c r="K26" s="26" t="s">
        <v>12</v>
      </c>
      <c r="L26" s="173">
        <f t="shared" si="5"/>
        <v>124760</v>
      </c>
      <c r="M26" s="202">
        <v>0.16167000000000001</v>
      </c>
      <c r="N26" s="172">
        <f t="shared" si="3"/>
        <v>20169.949200000003</v>
      </c>
      <c r="O26" s="26" t="s">
        <v>13</v>
      </c>
      <c r="P26" s="173">
        <f t="shared" si="6"/>
        <v>0</v>
      </c>
      <c r="Q26" s="202">
        <v>0.16148000000000001</v>
      </c>
      <c r="R26" s="172">
        <f t="shared" si="7"/>
        <v>0</v>
      </c>
    </row>
    <row r="27" spans="2:18" ht="15.6" customHeight="1">
      <c r="B27" s="177" t="s">
        <v>152</v>
      </c>
      <c r="C27" s="28">
        <v>483600</v>
      </c>
      <c r="D27" s="28" t="s">
        <v>113</v>
      </c>
      <c r="E27" s="239">
        <v>266872.5</v>
      </c>
      <c r="F27" s="251"/>
      <c r="G27" s="252"/>
      <c r="H27" s="251"/>
      <c r="I27" s="253"/>
      <c r="J27" s="32"/>
      <c r="K27" s="26" t="s">
        <v>13</v>
      </c>
      <c r="L27" s="173">
        <f t="shared" si="5"/>
        <v>0</v>
      </c>
      <c r="M27" s="202">
        <v>0.16167000000000001</v>
      </c>
      <c r="N27" s="172">
        <f t="shared" si="3"/>
        <v>0</v>
      </c>
      <c r="O27" s="26" t="s">
        <v>14</v>
      </c>
      <c r="P27" s="173">
        <f t="shared" si="6"/>
        <v>0</v>
      </c>
      <c r="Q27" s="202">
        <v>0.16148000000000001</v>
      </c>
      <c r="R27" s="172">
        <f t="shared" si="7"/>
        <v>0</v>
      </c>
    </row>
    <row r="28" spans="2:18" ht="15.6" customHeight="1" thickBot="1">
      <c r="B28" s="177" t="s">
        <v>153</v>
      </c>
      <c r="C28" s="28">
        <v>483730</v>
      </c>
      <c r="D28" s="28" t="s">
        <v>113</v>
      </c>
      <c r="E28" s="239">
        <v>-1924306.27</v>
      </c>
      <c r="F28" s="251"/>
      <c r="G28" s="252"/>
      <c r="H28" s="251"/>
      <c r="I28" s="253"/>
      <c r="J28" s="32"/>
      <c r="K28" s="26" t="s">
        <v>14</v>
      </c>
      <c r="L28" s="173">
        <f t="shared" si="5"/>
        <v>127342</v>
      </c>
      <c r="M28" s="202">
        <v>0.16167000000000001</v>
      </c>
      <c r="N28" s="172">
        <f t="shared" si="3"/>
        <v>20587.381140000001</v>
      </c>
      <c r="O28" s="25" t="s">
        <v>31</v>
      </c>
      <c r="P28" s="143">
        <f>SUM(P23:P27)</f>
        <v>13587614</v>
      </c>
      <c r="Q28" s="144"/>
      <c r="R28" s="23">
        <f>SUM(R23:R27)</f>
        <v>2194127.9087199997</v>
      </c>
    </row>
    <row r="29" spans="2:18" ht="15.6" customHeight="1" thickTop="1" thickBot="1">
      <c r="B29" s="177" t="s">
        <v>154</v>
      </c>
      <c r="C29" s="28">
        <v>495028</v>
      </c>
      <c r="D29" s="28" t="s">
        <v>113</v>
      </c>
      <c r="E29" s="239">
        <v>-375000</v>
      </c>
      <c r="F29" s="251"/>
      <c r="G29" s="252"/>
      <c r="H29" s="251"/>
      <c r="I29" s="253"/>
      <c r="J29" s="32"/>
      <c r="K29" s="25" t="s">
        <v>31</v>
      </c>
      <c r="L29" s="143">
        <f>SUM(L23:L28)</f>
        <v>28403774</v>
      </c>
      <c r="M29" s="144"/>
      <c r="N29" s="151">
        <f>SUM(N23:N28)</f>
        <v>4592038.1425799998</v>
      </c>
      <c r="O29" s="25"/>
      <c r="P29" s="203">
        <v>13587614</v>
      </c>
      <c r="Q29" s="17"/>
      <c r="R29" s="148"/>
    </row>
    <row r="30" spans="2:18" ht="15.6" customHeight="1" thickTop="1">
      <c r="B30" s="177" t="s">
        <v>112</v>
      </c>
      <c r="C30" s="28">
        <v>495000</v>
      </c>
      <c r="D30" s="28" t="s">
        <v>113</v>
      </c>
      <c r="E30" s="243">
        <v>0</v>
      </c>
      <c r="F30" s="255"/>
      <c r="G30" s="256"/>
      <c r="H30" s="255"/>
      <c r="I30" s="257"/>
      <c r="J30" s="32"/>
      <c r="K30" s="16"/>
      <c r="L30" s="203">
        <v>28403774</v>
      </c>
      <c r="M30" s="17"/>
      <c r="N30" s="152"/>
      <c r="O30" s="25"/>
      <c r="P30" s="142">
        <f>P28-P29</f>
        <v>0</v>
      </c>
      <c r="Q30" s="17" t="s">
        <v>23</v>
      </c>
      <c r="R30" s="24"/>
    </row>
    <row r="31" spans="2:18" ht="15.6" customHeight="1" thickBot="1">
      <c r="B31" s="195" t="s">
        <v>26</v>
      </c>
      <c r="C31" s="28"/>
      <c r="D31" s="28"/>
      <c r="E31" s="241">
        <f>-E13</f>
        <v>35148.730000000003</v>
      </c>
      <c r="F31" s="251"/>
      <c r="G31" s="252"/>
      <c r="H31" s="251"/>
      <c r="I31" s="253"/>
      <c r="J31" s="32"/>
      <c r="K31" s="18"/>
      <c r="L31" s="149">
        <f>L29-L30</f>
        <v>0</v>
      </c>
      <c r="M31" s="19" t="s">
        <v>23</v>
      </c>
      <c r="N31" s="150"/>
      <c r="O31" s="153"/>
      <c r="P31" s="154"/>
      <c r="Q31" s="155"/>
      <c r="R31" s="156"/>
    </row>
    <row r="32" spans="2:18" ht="15.6" customHeight="1" thickBot="1">
      <c r="B32" s="191" t="s">
        <v>27</v>
      </c>
      <c r="C32" s="3"/>
      <c r="D32" s="3"/>
      <c r="E32" s="240">
        <f>SUM(E17:E31)</f>
        <v>7969164.4200000018</v>
      </c>
      <c r="F32" s="258"/>
      <c r="G32" s="231">
        <f>E32*G8</f>
        <v>5390342.8136880016</v>
      </c>
      <c r="H32" s="140"/>
      <c r="I32" s="221">
        <f>E32*I8</f>
        <v>2578821.6063120007</v>
      </c>
      <c r="J32" s="32"/>
    </row>
    <row r="33" spans="1:18" ht="15.6" customHeight="1">
      <c r="B33" s="177" t="s">
        <v>111</v>
      </c>
      <c r="C33" s="28">
        <v>495000</v>
      </c>
      <c r="D33" s="3" t="s">
        <v>118</v>
      </c>
      <c r="E33" s="243">
        <v>0</v>
      </c>
      <c r="F33" s="255"/>
      <c r="G33" s="231">
        <f>E33</f>
        <v>0</v>
      </c>
      <c r="H33" s="140"/>
      <c r="I33" s="221"/>
      <c r="J33" s="32"/>
      <c r="K33" s="20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6"/>
      <c r="Q33" s="1"/>
    </row>
    <row r="34" spans="1:18" ht="15.6" customHeight="1" thickBot="1">
      <c r="B34" s="196" t="s">
        <v>98</v>
      </c>
      <c r="C34" s="28">
        <v>495000</v>
      </c>
      <c r="D34" s="3" t="s">
        <v>119</v>
      </c>
      <c r="E34" s="243">
        <v>0</v>
      </c>
      <c r="F34" s="255"/>
      <c r="G34" s="231"/>
      <c r="H34" s="140"/>
      <c r="I34" s="221">
        <f>E34</f>
        <v>0</v>
      </c>
      <c r="J34" s="32"/>
      <c r="K34" s="189"/>
      <c r="L34" s="13" t="s">
        <v>2</v>
      </c>
      <c r="M34" s="13" t="s">
        <v>1</v>
      </c>
      <c r="N34" s="13" t="s">
        <v>2</v>
      </c>
      <c r="O34" s="13" t="s">
        <v>1</v>
      </c>
      <c r="P34" s="216" t="s">
        <v>126</v>
      </c>
      <c r="Q34" s="1"/>
    </row>
    <row r="35" spans="1:18" ht="15.6" customHeight="1">
      <c r="B35" s="16" t="s">
        <v>120</v>
      </c>
      <c r="C35" s="28">
        <v>804000</v>
      </c>
      <c r="D35" s="3" t="s">
        <v>118</v>
      </c>
      <c r="E35" s="239">
        <v>-38528.42</v>
      </c>
      <c r="F35" s="251"/>
      <c r="G35" s="231">
        <f>E35</f>
        <v>-38528.42</v>
      </c>
      <c r="H35" s="140"/>
      <c r="I35" s="221"/>
      <c r="J35" s="32"/>
      <c r="K35" s="15" t="s">
        <v>128</v>
      </c>
      <c r="L35" s="141">
        <f>$F$39</f>
        <v>1553222.1129390001</v>
      </c>
      <c r="M35" s="141">
        <f>G39</f>
        <v>5351814.3936880017</v>
      </c>
      <c r="N35" s="141">
        <f>$H$39</f>
        <v>704040.07706100005</v>
      </c>
      <c r="O35" s="141">
        <f>I39</f>
        <v>2560779.9063120005</v>
      </c>
      <c r="P35" s="215">
        <f>SUM(L35:O35)-E39</f>
        <v>0</v>
      </c>
      <c r="Q35" s="1"/>
    </row>
    <row r="36" spans="1:18" ht="15.6" customHeight="1" thickBot="1">
      <c r="B36" s="16" t="s">
        <v>121</v>
      </c>
      <c r="C36" s="28">
        <v>804000</v>
      </c>
      <c r="D36" s="3" t="s">
        <v>119</v>
      </c>
      <c r="E36" s="239">
        <v>-18041.7</v>
      </c>
      <c r="F36" s="251"/>
      <c r="G36" s="231"/>
      <c r="H36" s="140"/>
      <c r="I36" s="221">
        <f>E36</f>
        <v>-18041.7</v>
      </c>
      <c r="J36" s="32"/>
      <c r="K36" s="15" t="s">
        <v>131</v>
      </c>
      <c r="L36" s="204">
        <f>-$N$17</f>
        <v>-2711302.4357400001</v>
      </c>
      <c r="M36" s="204">
        <f>-N29</f>
        <v>-4592038.1425799998</v>
      </c>
      <c r="N36" s="204">
        <f>-$R$15</f>
        <v>-1216363.2052800001</v>
      </c>
      <c r="O36" s="204">
        <f>-R28</f>
        <v>-2194127.9087199997</v>
      </c>
      <c r="P36" s="215">
        <f>SUM(L36:O36)+N17+N29+R15+R28</f>
        <v>0</v>
      </c>
      <c r="Q36" s="1"/>
    </row>
    <row r="37" spans="1:18" ht="15.6" customHeight="1" thickBot="1">
      <c r="B37" s="191" t="s">
        <v>134</v>
      </c>
      <c r="C37" s="28"/>
      <c r="D37" s="3"/>
      <c r="E37" s="240">
        <f>SUM(E32:E36)</f>
        <v>7912594.3000000017</v>
      </c>
      <c r="F37" s="232"/>
      <c r="G37" s="234"/>
      <c r="H37" s="232"/>
      <c r="I37" s="194"/>
      <c r="J37" s="32"/>
      <c r="K37" s="191" t="s">
        <v>129</v>
      </c>
      <c r="L37" s="146">
        <f t="shared" ref="L37:O37" si="8">SUM(L35:L36)</f>
        <v>-1158080.322801</v>
      </c>
      <c r="M37" s="146">
        <f>SUM(M35:M36)</f>
        <v>759776.25110800192</v>
      </c>
      <c r="N37" s="146">
        <f t="shared" si="8"/>
        <v>-512323.12821900006</v>
      </c>
      <c r="O37" s="146">
        <f t="shared" si="8"/>
        <v>366651.99759200076</v>
      </c>
      <c r="P37" s="207"/>
      <c r="Q37" s="1"/>
    </row>
    <row r="38" spans="1:18" ht="15.6" customHeight="1" thickBot="1">
      <c r="B38" s="15"/>
      <c r="C38" s="9"/>
      <c r="D38" s="9"/>
      <c r="E38" s="244"/>
      <c r="F38" s="235"/>
      <c r="G38" s="236"/>
      <c r="H38" s="235"/>
      <c r="I38" s="197"/>
      <c r="J38" s="32"/>
      <c r="K38" s="208"/>
      <c r="L38" s="163"/>
      <c r="M38" s="7"/>
      <c r="N38" s="1"/>
      <c r="O38" s="212"/>
      <c r="P38" s="209"/>
      <c r="Q38" s="1"/>
    </row>
    <row r="39" spans="1:18" ht="15.6" customHeight="1" thickBot="1">
      <c r="B39" s="198" t="s">
        <v>125</v>
      </c>
      <c r="C39" s="199"/>
      <c r="D39" s="199"/>
      <c r="E39" s="240">
        <f>E37+E14</f>
        <v>10169856.490000002</v>
      </c>
      <c r="F39" s="246">
        <f>SUM(F14:F37)</f>
        <v>1553222.1129390001</v>
      </c>
      <c r="G39" s="247">
        <f t="shared" ref="G39:I39" si="9">SUM(G14:G37)</f>
        <v>5351814.3936880017</v>
      </c>
      <c r="H39" s="246">
        <f t="shared" si="9"/>
        <v>704040.07706100005</v>
      </c>
      <c r="I39" s="200">
        <f t="shared" si="9"/>
        <v>2560779.9063120005</v>
      </c>
      <c r="J39" s="32"/>
      <c r="K39" s="210"/>
      <c r="L39" s="213" t="s">
        <v>36</v>
      </c>
      <c r="M39" s="211">
        <f>SUM(L37:M37)</f>
        <v>-398304.07169299806</v>
      </c>
      <c r="N39" s="214" t="s">
        <v>37</v>
      </c>
      <c r="O39" s="211">
        <f>SUM(N37:O37)</f>
        <v>-145671.13062699931</v>
      </c>
      <c r="P39" s="30"/>
      <c r="Q39" s="1"/>
    </row>
    <row r="40" spans="1:18" ht="15.6" customHeight="1">
      <c r="B40" s="32"/>
      <c r="C40" s="10"/>
      <c r="D40" s="10"/>
      <c r="E40" s="130"/>
      <c r="F40" s="130"/>
      <c r="G40" s="130"/>
      <c r="H40" s="130"/>
      <c r="I40" s="130"/>
      <c r="J40" s="32"/>
      <c r="M40" s="29"/>
      <c r="Q40" s="1"/>
    </row>
    <row r="41" spans="1:18" ht="15.6" customHeight="1">
      <c r="A41" s="32"/>
      <c r="B41" s="129"/>
      <c r="C41" s="10"/>
      <c r="D41" s="11" t="s">
        <v>84</v>
      </c>
      <c r="E41" s="181">
        <v>10169856.49</v>
      </c>
      <c r="F41" s="130"/>
      <c r="G41" s="130"/>
      <c r="H41" s="130"/>
      <c r="I41" s="130"/>
      <c r="J41" s="32"/>
      <c r="P41" s="2"/>
    </row>
    <row r="42" spans="1:18" ht="15.6" customHeight="1">
      <c r="B42" s="185"/>
      <c r="C42" s="185"/>
      <c r="D42" s="11" t="s">
        <v>34</v>
      </c>
      <c r="E42" s="140">
        <f>ROUND(E39-E41,2)</f>
        <v>0</v>
      </c>
      <c r="F42" s="220"/>
      <c r="G42" s="220"/>
      <c r="H42" s="220"/>
      <c r="I42" s="220"/>
    </row>
    <row r="43" spans="1:18" ht="15.6" customHeight="1">
      <c r="B43" s="185"/>
      <c r="C43" s="185"/>
      <c r="E43" s="160"/>
      <c r="F43" s="220"/>
      <c r="G43" s="220"/>
      <c r="H43" s="220"/>
      <c r="I43" s="220"/>
    </row>
    <row r="44" spans="1:18" ht="15.6" customHeight="1">
      <c r="B44" s="185"/>
      <c r="C44" s="185"/>
      <c r="E44" s="160"/>
      <c r="F44" s="220"/>
      <c r="G44" s="220"/>
      <c r="H44" s="220"/>
      <c r="I44" s="220"/>
    </row>
    <row r="45" spans="1:18" s="32" customFormat="1">
      <c r="A45" s="31"/>
      <c r="B45" s="31"/>
      <c r="C45" s="31"/>
      <c r="D45" s="31"/>
      <c r="E45" s="31"/>
      <c r="J45" s="31"/>
      <c r="K45" s="31"/>
      <c r="L45" s="31"/>
      <c r="M45" s="31"/>
      <c r="N45" s="31"/>
      <c r="O45" s="31"/>
      <c r="P45" s="31"/>
      <c r="Q45" s="31"/>
      <c r="R45" s="31"/>
    </row>
    <row r="46" spans="1:18" s="32" customFormat="1">
      <c r="A46" s="31"/>
      <c r="B46" s="31"/>
      <c r="C46" s="31"/>
      <c r="D46" s="31"/>
      <c r="E46" s="31"/>
      <c r="J46" s="31"/>
      <c r="K46" s="31"/>
      <c r="L46" s="31"/>
      <c r="M46" s="31"/>
      <c r="N46" s="31"/>
      <c r="O46" s="31"/>
      <c r="P46" s="31"/>
      <c r="Q46" s="31"/>
      <c r="R46" s="31"/>
    </row>
    <row r="47" spans="1:18" s="32" customFormat="1">
      <c r="A47" s="31"/>
      <c r="B47" s="31"/>
      <c r="C47" s="31"/>
      <c r="D47" s="31"/>
      <c r="E47" s="31"/>
      <c r="J47" s="31"/>
      <c r="K47" s="31"/>
      <c r="L47" s="31"/>
      <c r="M47" s="31"/>
      <c r="N47" s="31"/>
      <c r="O47" s="31"/>
      <c r="P47" s="31"/>
      <c r="Q47" s="31"/>
      <c r="R47" s="31"/>
    </row>
    <row r="48" spans="1:18" s="32" customFormat="1">
      <c r="A48" s="31"/>
      <c r="B48" s="31"/>
      <c r="C48" s="31"/>
      <c r="D48" s="31"/>
      <c r="E48" s="31"/>
      <c r="J48" s="31"/>
      <c r="K48" s="31"/>
      <c r="L48" s="31"/>
      <c r="M48" s="31"/>
      <c r="N48" s="31"/>
      <c r="O48" s="31"/>
      <c r="P48" s="31"/>
      <c r="Q48" s="31"/>
      <c r="R48" s="31"/>
    </row>
    <row r="49" spans="1:18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18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18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18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18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18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18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18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18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18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18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1387" spans="1:18" s="8" customFormat="1">
      <c r="A1387" s="31"/>
      <c r="B1387" s="31"/>
      <c r="C1387" s="31"/>
      <c r="D1387" s="31">
        <v>-2130</v>
      </c>
      <c r="F1387" s="32"/>
      <c r="G1387" s="32"/>
      <c r="H1387" s="32"/>
      <c r="I1387" s="32"/>
      <c r="J1387" s="31"/>
      <c r="K1387" s="31"/>
      <c r="L1387" s="31"/>
      <c r="M1387" s="31"/>
      <c r="N1387" s="31"/>
      <c r="O1387" s="31"/>
      <c r="P1387" s="31"/>
      <c r="Q1387" s="31"/>
      <c r="R1387" s="31"/>
    </row>
    <row r="1395" spans="1:18" s="8" customFormat="1">
      <c r="A1395" s="31"/>
      <c r="B1395" s="31"/>
      <c r="C1395" s="31"/>
      <c r="D1395" s="31">
        <f>7004298-2130</f>
        <v>7002168</v>
      </c>
      <c r="F1395" s="32"/>
      <c r="G1395" s="32"/>
      <c r="H1395" s="32"/>
      <c r="I1395" s="32"/>
      <c r="J1395" s="31"/>
      <c r="K1395" s="31"/>
      <c r="L1395" s="31"/>
      <c r="M1395" s="31"/>
      <c r="N1395" s="31"/>
      <c r="O1395" s="31"/>
      <c r="P1395" s="31"/>
      <c r="Q1395" s="31"/>
      <c r="R1395" s="31"/>
    </row>
  </sheetData>
  <mergeCells count="5">
    <mergeCell ref="N1:O1"/>
    <mergeCell ref="F5:G5"/>
    <mergeCell ref="H5:I5"/>
    <mergeCell ref="K5:N5"/>
    <mergeCell ref="O5:R5"/>
  </mergeCells>
  <conditionalFormatting sqref="D43:D44">
    <cfRule type="cellIs" dxfId="111" priority="29" operator="equal">
      <formula>"ERROR"</formula>
    </cfRule>
  </conditionalFormatting>
  <conditionalFormatting sqref="D43:D44">
    <cfRule type="cellIs" dxfId="110" priority="28" operator="equal">
      <formula>"ERROR"</formula>
    </cfRule>
  </conditionalFormatting>
  <conditionalFormatting sqref="P31">
    <cfRule type="cellIs" dxfId="109" priority="25" operator="notEqual">
      <formula>0</formula>
    </cfRule>
  </conditionalFormatting>
  <conditionalFormatting sqref="L19">
    <cfRule type="cellIs" dxfId="108" priority="23" stopIfTrue="1" operator="equal">
      <formula>0</formula>
    </cfRule>
    <cfRule type="cellIs" dxfId="107" priority="24" stopIfTrue="1" operator="notEqual">
      <formula>0</formula>
    </cfRule>
  </conditionalFormatting>
  <conditionalFormatting sqref="L19">
    <cfRule type="cellIs" dxfId="106" priority="21" stopIfTrue="1" operator="equal">
      <formula>0</formula>
    </cfRule>
    <cfRule type="cellIs" dxfId="105" priority="22" stopIfTrue="1" operator="notEqual">
      <formula>0</formula>
    </cfRule>
  </conditionalFormatting>
  <conditionalFormatting sqref="L31">
    <cfRule type="cellIs" dxfId="104" priority="19" stopIfTrue="1" operator="equal">
      <formula>0</formula>
    </cfRule>
    <cfRule type="cellIs" dxfId="103" priority="20" stopIfTrue="1" operator="notEqual">
      <formula>0</formula>
    </cfRule>
  </conditionalFormatting>
  <conditionalFormatting sqref="L31">
    <cfRule type="cellIs" dxfId="102" priority="17" stopIfTrue="1" operator="equal">
      <formula>0</formula>
    </cfRule>
    <cfRule type="cellIs" dxfId="101" priority="18" stopIfTrue="1" operator="notEqual">
      <formula>0</formula>
    </cfRule>
  </conditionalFormatting>
  <conditionalFormatting sqref="P17">
    <cfRule type="cellIs" dxfId="100" priority="15" stopIfTrue="1" operator="equal">
      <formula>0</formula>
    </cfRule>
    <cfRule type="cellIs" dxfId="99" priority="16" stopIfTrue="1" operator="notEqual">
      <formula>0</formula>
    </cfRule>
  </conditionalFormatting>
  <conditionalFormatting sqref="P17">
    <cfRule type="cellIs" dxfId="98" priority="13" stopIfTrue="1" operator="equal">
      <formula>0</formula>
    </cfRule>
    <cfRule type="cellIs" dxfId="97" priority="14" stopIfTrue="1" operator="notEqual">
      <formula>0</formula>
    </cfRule>
  </conditionalFormatting>
  <conditionalFormatting sqref="P30">
    <cfRule type="cellIs" dxfId="96" priority="11" stopIfTrue="1" operator="equal">
      <formula>0</formula>
    </cfRule>
    <cfRule type="cellIs" dxfId="95" priority="12" stopIfTrue="1" operator="notEqual">
      <formula>0</formula>
    </cfRule>
  </conditionalFormatting>
  <conditionalFormatting sqref="P30">
    <cfRule type="cellIs" dxfId="94" priority="9" stopIfTrue="1" operator="equal">
      <formula>0</formula>
    </cfRule>
    <cfRule type="cellIs" dxfId="93" priority="10" stopIfTrue="1" operator="notEqual">
      <formula>0</formula>
    </cfRule>
  </conditionalFormatting>
  <conditionalFormatting sqref="P35:P36">
    <cfRule type="cellIs" dxfId="92" priority="7" stopIfTrue="1" operator="equal">
      <formula>0</formula>
    </cfRule>
    <cfRule type="cellIs" dxfId="91" priority="8" stopIfTrue="1" operator="notEqual">
      <formula>0</formula>
    </cfRule>
  </conditionalFormatting>
  <conditionalFormatting sqref="P35:P36">
    <cfRule type="cellIs" dxfId="90" priority="5" stopIfTrue="1" operator="equal">
      <formula>0</formula>
    </cfRule>
    <cfRule type="cellIs" dxfId="89" priority="6" stopIfTrue="1" operator="notEqual">
      <formula>0</formula>
    </cfRule>
  </conditionalFormatting>
  <conditionalFormatting sqref="E42">
    <cfRule type="cellIs" dxfId="88" priority="3" stopIfTrue="1" operator="equal">
      <formula>0</formula>
    </cfRule>
    <cfRule type="cellIs" dxfId="87" priority="4" stopIfTrue="1" operator="notEqual">
      <formula>0</formula>
    </cfRule>
  </conditionalFormatting>
  <conditionalFormatting sqref="E42">
    <cfRule type="cellIs" dxfId="86" priority="1" stopIfTrue="1" operator="equal">
      <formula>0</formula>
    </cfRule>
    <cfRule type="cellIs" dxfId="85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customProperties>
    <customPr name="xxe4aP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2C35-A3DC-49E6-9253-F782621549D7}">
  <sheetPr>
    <pageSetUpPr fitToPage="1"/>
  </sheetPr>
  <dimension ref="A1:R1406"/>
  <sheetViews>
    <sheetView topLeftCell="A2" zoomScale="60" zoomScaleNormal="60" workbookViewId="0">
      <selection activeCell="M14" sqref="M14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24.7109375" style="8" bestFit="1" customWidth="1"/>
    <col min="6" max="6" width="19.140625" style="32" bestFit="1" customWidth="1"/>
    <col min="7" max="7" width="19.7109375" style="32" bestFit="1" customWidth="1"/>
    <col min="8" max="8" width="17.5703125" style="32" customWidth="1"/>
    <col min="9" max="9" width="19.140625" style="32" bestFit="1" customWidth="1"/>
    <col min="10" max="10" width="4.85546875" style="31" bestFit="1" customWidth="1"/>
    <col min="11" max="11" width="29" style="31" bestFit="1" customWidth="1"/>
    <col min="12" max="14" width="24" style="31" bestFit="1" customWidth="1"/>
    <col min="15" max="15" width="24.140625" style="31" bestFit="1" customWidth="1"/>
    <col min="16" max="16" width="17" style="31" bestFit="1" customWidth="1"/>
    <col min="17" max="17" width="11.5703125" style="31" bestFit="1" customWidth="1"/>
    <col min="18" max="18" width="23" style="31" bestFit="1" customWidth="1"/>
    <col min="19" max="16384" width="16" style="31"/>
  </cols>
  <sheetData>
    <row r="1" spans="2:18" ht="15.6" customHeight="1" thickBot="1">
      <c r="B1" s="179" t="s">
        <v>132</v>
      </c>
      <c r="C1" s="180">
        <v>202102</v>
      </c>
      <c r="D1" s="178"/>
      <c r="E1" s="133"/>
      <c r="F1" s="133"/>
      <c r="G1" s="133"/>
      <c r="H1" s="133"/>
      <c r="I1" s="133"/>
      <c r="K1" s="174" t="s">
        <v>114</v>
      </c>
      <c r="L1" s="182" t="s">
        <v>115</v>
      </c>
      <c r="N1" s="274" t="s">
        <v>127</v>
      </c>
      <c r="O1" s="275"/>
    </row>
    <row r="2" spans="2:18" ht="15.6" customHeight="1">
      <c r="D2" s="133"/>
      <c r="E2" s="133"/>
      <c r="F2" s="133"/>
      <c r="G2" s="133"/>
      <c r="H2" s="133"/>
      <c r="I2" s="133"/>
      <c r="K2" s="175"/>
      <c r="L2" s="176" t="s">
        <v>116</v>
      </c>
      <c r="N2" s="177" t="s">
        <v>38</v>
      </c>
      <c r="O2" s="218" t="s">
        <v>39</v>
      </c>
    </row>
    <row r="3" spans="2:18" ht="15.6" customHeight="1" thickBot="1">
      <c r="D3" s="133"/>
      <c r="E3" s="133"/>
      <c r="F3" s="133"/>
      <c r="G3" s="133"/>
      <c r="H3" s="133"/>
      <c r="I3" s="133"/>
      <c r="K3" s="175"/>
      <c r="L3" s="183"/>
      <c r="N3" s="219" t="e">
        <f>SUM('191010 WA DEF'!E36:E45)+SUM('191000 WA Amort'!H36:H45)+SUM(#REF!)+SUM(#REF!)</f>
        <v>#REF!</v>
      </c>
      <c r="O3" s="217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133"/>
      <c r="E4" s="133"/>
      <c r="F4" s="133"/>
      <c r="G4" s="133"/>
      <c r="H4" s="133"/>
      <c r="I4" s="133"/>
      <c r="K4" s="175"/>
      <c r="L4" s="183"/>
    </row>
    <row r="5" spans="2:18" ht="15.6" customHeight="1" thickBot="1">
      <c r="B5" s="188"/>
      <c r="C5" s="14"/>
      <c r="D5" s="14"/>
      <c r="E5" s="245" t="s">
        <v>17</v>
      </c>
      <c r="F5" s="276" t="s">
        <v>32</v>
      </c>
      <c r="G5" s="277"/>
      <c r="H5" s="276" t="s">
        <v>33</v>
      </c>
      <c r="I5" s="278"/>
      <c r="J5" s="32"/>
      <c r="K5" s="271" t="s">
        <v>32</v>
      </c>
      <c r="L5" s="272"/>
      <c r="M5" s="272"/>
      <c r="N5" s="273"/>
      <c r="O5" s="271" t="s">
        <v>33</v>
      </c>
      <c r="P5" s="272"/>
      <c r="Q5" s="272"/>
      <c r="R5" s="273"/>
    </row>
    <row r="6" spans="2:18" ht="15.6" customHeight="1" thickBot="1">
      <c r="B6" s="189" t="s">
        <v>18</v>
      </c>
      <c r="C6" s="3"/>
      <c r="D6" s="3"/>
      <c r="E6" s="237" t="s">
        <v>130</v>
      </c>
      <c r="F6" s="224" t="s">
        <v>2</v>
      </c>
      <c r="G6" s="225" t="s">
        <v>1</v>
      </c>
      <c r="H6" s="224" t="s">
        <v>2</v>
      </c>
      <c r="I6" s="223" t="s">
        <v>1</v>
      </c>
      <c r="J6" s="32"/>
      <c r="K6" s="136" t="s">
        <v>24</v>
      </c>
      <c r="L6" s="134" t="s">
        <v>6</v>
      </c>
      <c r="M6" s="134" t="s">
        <v>6</v>
      </c>
      <c r="N6" s="134" t="s">
        <v>6</v>
      </c>
      <c r="O6" s="136" t="s">
        <v>24</v>
      </c>
      <c r="P6" s="134" t="s">
        <v>6</v>
      </c>
      <c r="Q6" s="134" t="s">
        <v>6</v>
      </c>
      <c r="R6" s="168" t="s">
        <v>6</v>
      </c>
    </row>
    <row r="7" spans="2:18" ht="15.6" customHeight="1" thickBot="1">
      <c r="B7" s="15"/>
      <c r="C7" s="3"/>
      <c r="D7" s="3"/>
      <c r="E7" s="238"/>
      <c r="F7" s="226"/>
      <c r="G7" s="227"/>
      <c r="H7" s="226"/>
      <c r="I7" s="12"/>
      <c r="J7" s="32"/>
      <c r="K7" s="137" t="s">
        <v>35</v>
      </c>
      <c r="L7" s="135" t="s">
        <v>22</v>
      </c>
      <c r="M7" s="135" t="s">
        <v>9</v>
      </c>
      <c r="N7" s="135" t="s">
        <v>7</v>
      </c>
      <c r="O7" s="137" t="s">
        <v>35</v>
      </c>
      <c r="P7" s="135" t="s">
        <v>22</v>
      </c>
      <c r="Q7" s="135" t="s">
        <v>9</v>
      </c>
      <c r="R7" s="135" t="s">
        <v>7</v>
      </c>
    </row>
    <row r="8" spans="2:18" ht="15.6" customHeight="1">
      <c r="B8" s="15"/>
      <c r="C8" s="3"/>
      <c r="D8" s="3"/>
      <c r="E8" s="259">
        <f>F8+H8</f>
        <v>1</v>
      </c>
      <c r="F8" s="228">
        <v>0.68810000000000004</v>
      </c>
      <c r="G8" s="229">
        <f>ROUND($L$29/($L$29+$P$28),4)</f>
        <v>0.67249999999999999</v>
      </c>
      <c r="H8" s="228">
        <v>0.31190000000000001</v>
      </c>
      <c r="I8" s="190">
        <f>1-G8</f>
        <v>0.32750000000000001</v>
      </c>
      <c r="J8" s="260"/>
      <c r="K8" s="15"/>
      <c r="L8" s="167"/>
      <c r="M8" s="167"/>
      <c r="N8" s="168"/>
      <c r="O8" s="138"/>
      <c r="P8" s="139"/>
      <c r="Q8" s="139"/>
      <c r="R8" s="27"/>
    </row>
    <row r="9" spans="2:18" ht="15.6" customHeight="1">
      <c r="B9" s="15"/>
      <c r="C9" s="3"/>
      <c r="D9" s="3"/>
      <c r="E9" s="238"/>
      <c r="F9" s="226"/>
      <c r="G9" s="227"/>
      <c r="H9" s="226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18" ht="15.6" customHeight="1">
      <c r="B10" s="177" t="s">
        <v>155</v>
      </c>
      <c r="C10" s="28">
        <v>804001</v>
      </c>
      <c r="D10" s="28" t="s">
        <v>113</v>
      </c>
      <c r="E10" s="239">
        <v>2150935.69</v>
      </c>
      <c r="F10" s="230"/>
      <c r="G10" s="231"/>
      <c r="H10" s="230"/>
      <c r="I10" s="221"/>
      <c r="J10" s="32"/>
      <c r="K10" s="26" t="s">
        <v>10</v>
      </c>
      <c r="L10" s="201">
        <v>21465565</v>
      </c>
      <c r="M10" s="202">
        <v>9.8220000000000002E-2</v>
      </c>
      <c r="N10" s="172">
        <f t="shared" ref="N10:N16" si="0">L10*M10</f>
        <v>2108347.7943000002</v>
      </c>
      <c r="O10" s="26" t="s">
        <v>10</v>
      </c>
      <c r="P10" s="201">
        <v>10870325</v>
      </c>
      <c r="Q10" s="202">
        <v>8.9520000000000002E-2</v>
      </c>
      <c r="R10" s="172">
        <f t="shared" ref="R10:R11" si="1">P10*Q10</f>
        <v>973111.49400000006</v>
      </c>
    </row>
    <row r="11" spans="2:18" ht="15.6" customHeight="1" thickBot="1">
      <c r="B11" s="177" t="s">
        <v>156</v>
      </c>
      <c r="C11" s="28">
        <v>804002</v>
      </c>
      <c r="D11" s="28" t="s">
        <v>113</v>
      </c>
      <c r="E11" s="239">
        <v>37639.53</v>
      </c>
      <c r="F11" s="230"/>
      <c r="G11" s="231"/>
      <c r="H11" s="230"/>
      <c r="I11" s="221"/>
      <c r="J11" s="32"/>
      <c r="K11" s="26" t="s">
        <v>42</v>
      </c>
      <c r="L11" s="201">
        <v>35195</v>
      </c>
      <c r="M11" s="202">
        <v>9.8220000000000002E-2</v>
      </c>
      <c r="N11" s="172">
        <f t="shared" si="0"/>
        <v>3456.8528999999999</v>
      </c>
      <c r="O11" s="26" t="s">
        <v>11</v>
      </c>
      <c r="P11" s="201">
        <v>3329528</v>
      </c>
      <c r="Q11" s="202">
        <v>8.9520000000000002E-2</v>
      </c>
      <c r="R11" s="172">
        <f t="shared" si="1"/>
        <v>298059.34656000003</v>
      </c>
    </row>
    <row r="12" spans="2:18" ht="15.6" customHeight="1" thickBot="1">
      <c r="B12" s="191" t="s">
        <v>117</v>
      </c>
      <c r="C12" s="7"/>
      <c r="D12" s="7"/>
      <c r="E12" s="240">
        <f>SUM(E10:E11)</f>
        <v>2188575.2199999997</v>
      </c>
      <c r="F12" s="232"/>
      <c r="G12" s="233"/>
      <c r="H12" s="232"/>
      <c r="I12" s="222"/>
      <c r="J12" s="32"/>
      <c r="K12" s="26" t="s">
        <v>11</v>
      </c>
      <c r="L12" s="201">
        <v>7487490</v>
      </c>
      <c r="M12" s="202">
        <v>8.8349999999999998E-2</v>
      </c>
      <c r="N12" s="172">
        <f t="shared" si="0"/>
        <v>661519.7415</v>
      </c>
      <c r="O12" s="26" t="s">
        <v>12</v>
      </c>
      <c r="P12" s="201">
        <v>1188</v>
      </c>
      <c r="Q12" s="202">
        <v>8.9520000000000002E-2</v>
      </c>
      <c r="R12" s="172">
        <f>P12*Q12</f>
        <v>106.34976</v>
      </c>
    </row>
    <row r="13" spans="2:18" ht="15.6" customHeight="1" thickBot="1">
      <c r="B13" s="192" t="s">
        <v>25</v>
      </c>
      <c r="C13" s="1"/>
      <c r="D13" s="1"/>
      <c r="E13" s="241">
        <f>-E11</f>
        <v>-37639.53</v>
      </c>
      <c r="F13" s="230"/>
      <c r="G13" s="231"/>
      <c r="H13" s="230"/>
      <c r="I13" s="221"/>
      <c r="J13" s="32"/>
      <c r="K13" s="26" t="s">
        <v>12</v>
      </c>
      <c r="L13" s="201">
        <v>111067</v>
      </c>
      <c r="M13" s="202">
        <v>8.8349999999999998E-2</v>
      </c>
      <c r="N13" s="172">
        <f t="shared" si="0"/>
        <v>9812.7694499999998</v>
      </c>
      <c r="O13" s="26" t="s">
        <v>13</v>
      </c>
      <c r="P13" s="201">
        <v>0</v>
      </c>
      <c r="Q13" s="202">
        <v>8.9520000000000002E-2</v>
      </c>
      <c r="R13" s="172">
        <f t="shared" ref="R13:R14" si="2">P13*Q13</f>
        <v>0</v>
      </c>
    </row>
    <row r="14" spans="2:18" ht="15.6" customHeight="1" thickBot="1">
      <c r="B14" s="191" t="s">
        <v>133</v>
      </c>
      <c r="C14" s="193"/>
      <c r="D14" s="193"/>
      <c r="E14" s="240">
        <f>SUM(E12:E13)</f>
        <v>2150935.69</v>
      </c>
      <c r="F14" s="248">
        <f>E14*F8</f>
        <v>1480058.8482890001</v>
      </c>
      <c r="G14" s="249"/>
      <c r="H14" s="248">
        <f>E14*H8</f>
        <v>670876.84171099996</v>
      </c>
      <c r="I14" s="250"/>
      <c r="J14" s="32"/>
      <c r="K14" s="26" t="s">
        <v>13</v>
      </c>
      <c r="L14" s="201">
        <v>0</v>
      </c>
      <c r="M14" s="202">
        <v>5.6399999999999999E-2</v>
      </c>
      <c r="N14" s="172">
        <f t="shared" si="0"/>
        <v>0</v>
      </c>
      <c r="O14" s="26" t="s">
        <v>14</v>
      </c>
      <c r="P14" s="201">
        <v>0</v>
      </c>
      <c r="Q14" s="202">
        <v>8.9520000000000002E-2</v>
      </c>
      <c r="R14" s="172">
        <f t="shared" si="2"/>
        <v>0</v>
      </c>
    </row>
    <row r="15" spans="2:18" ht="15.6" customHeight="1" thickBot="1">
      <c r="B15" s="15"/>
      <c r="C15" s="3"/>
      <c r="D15" s="3"/>
      <c r="E15" s="242"/>
      <c r="F15" s="251"/>
      <c r="G15" s="252"/>
      <c r="H15" s="251"/>
      <c r="I15" s="253"/>
      <c r="J15" s="32"/>
      <c r="K15" s="26" t="s">
        <v>14</v>
      </c>
      <c r="L15" s="201">
        <v>65536</v>
      </c>
      <c r="M15" s="202">
        <v>5.6399999999999999E-2</v>
      </c>
      <c r="N15" s="172">
        <f t="shared" si="0"/>
        <v>3696.2303999999999</v>
      </c>
      <c r="O15" s="25" t="s">
        <v>29</v>
      </c>
      <c r="P15" s="143">
        <f>SUM(P10:P14)</f>
        <v>14201041</v>
      </c>
      <c r="Q15" s="144"/>
      <c r="R15" s="23">
        <f>SUM(R10:R14)</f>
        <v>1271277.1903200001</v>
      </c>
    </row>
    <row r="16" spans="2:18" ht="15.6" customHeight="1" thickTop="1">
      <c r="B16" s="15"/>
      <c r="C16" s="3"/>
      <c r="D16" s="3"/>
      <c r="E16" s="242"/>
      <c r="F16" s="251"/>
      <c r="G16" s="252"/>
      <c r="H16" s="251"/>
      <c r="I16" s="253"/>
      <c r="J16" s="32"/>
      <c r="K16" s="26" t="s">
        <v>20</v>
      </c>
      <c r="L16" s="201">
        <v>3541847</v>
      </c>
      <c r="M16" s="202">
        <v>5.4000000000000001E-4</v>
      </c>
      <c r="N16" s="172">
        <f t="shared" si="0"/>
        <v>1912.5973799999999</v>
      </c>
      <c r="O16" s="26"/>
      <c r="P16" s="203">
        <v>14201041</v>
      </c>
      <c r="Q16" s="17"/>
      <c r="R16" s="145"/>
    </row>
    <row r="17" spans="2:18" ht="15.6" customHeight="1" thickBot="1">
      <c r="B17" s="177" t="s">
        <v>142</v>
      </c>
      <c r="C17" s="28">
        <v>804000</v>
      </c>
      <c r="D17" s="28" t="s">
        <v>113</v>
      </c>
      <c r="E17" s="239">
        <v>14003679.560000001</v>
      </c>
      <c r="F17" s="254" t="s">
        <v>60</v>
      </c>
      <c r="G17" s="252"/>
      <c r="H17" s="251"/>
      <c r="I17" s="253"/>
      <c r="J17" s="32"/>
      <c r="K17" s="25" t="s">
        <v>29</v>
      </c>
      <c r="L17" s="143">
        <f>SUM(L10:L16)</f>
        <v>32706700</v>
      </c>
      <c r="M17" s="4"/>
      <c r="N17" s="23">
        <f>SUM(N10:N16)</f>
        <v>2788745.98593</v>
      </c>
      <c r="O17" s="26"/>
      <c r="P17" s="142">
        <f>P15-P16</f>
        <v>0</v>
      </c>
      <c r="Q17" s="17" t="s">
        <v>23</v>
      </c>
      <c r="R17" s="24"/>
    </row>
    <row r="18" spans="2:18" ht="15.6" customHeight="1" thickTop="1">
      <c r="B18" s="177" t="s">
        <v>143</v>
      </c>
      <c r="C18" s="28">
        <v>804010</v>
      </c>
      <c r="D18" s="28" t="s">
        <v>113</v>
      </c>
      <c r="E18" s="239">
        <v>38370.33</v>
      </c>
      <c r="F18" s="251"/>
      <c r="G18" s="252"/>
      <c r="H18" s="251"/>
      <c r="I18" s="253"/>
      <c r="J18" s="32"/>
      <c r="K18" s="16"/>
      <c r="L18" s="203">
        <v>32706700</v>
      </c>
      <c r="M18" s="17"/>
      <c r="N18" s="145"/>
      <c r="O18" s="15"/>
      <c r="P18" s="3"/>
      <c r="Q18" s="131"/>
      <c r="R18" s="24"/>
    </row>
    <row r="19" spans="2:18" ht="15.6" customHeight="1">
      <c r="B19" s="177" t="s">
        <v>144</v>
      </c>
      <c r="C19" s="28">
        <v>804017</v>
      </c>
      <c r="D19" s="28" t="s">
        <v>113</v>
      </c>
      <c r="E19" s="239">
        <v>33607.06</v>
      </c>
      <c r="F19" s="251"/>
      <c r="G19" s="252"/>
      <c r="H19" s="251"/>
      <c r="I19" s="253"/>
      <c r="J19" s="32"/>
      <c r="K19" s="15"/>
      <c r="L19" s="142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7" t="s">
        <v>145</v>
      </c>
      <c r="C20" s="28">
        <v>804018</v>
      </c>
      <c r="D20" s="28" t="s">
        <v>113</v>
      </c>
      <c r="E20" s="239">
        <v>9360.99</v>
      </c>
      <c r="F20" s="251"/>
      <c r="G20" s="252"/>
      <c r="H20" s="251"/>
      <c r="I20" s="253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7" t="s">
        <v>146</v>
      </c>
      <c r="C21" s="28">
        <v>804600</v>
      </c>
      <c r="D21" s="28" t="s">
        <v>113</v>
      </c>
      <c r="E21" s="239">
        <v>-910355.25</v>
      </c>
      <c r="F21" s="251"/>
      <c r="G21" s="252"/>
      <c r="H21" s="251"/>
      <c r="I21" s="253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7" t="s">
        <v>147</v>
      </c>
      <c r="C22" s="28">
        <v>804730</v>
      </c>
      <c r="D22" s="28" t="s">
        <v>113</v>
      </c>
      <c r="E22" s="239">
        <v>3764952.68</v>
      </c>
      <c r="F22" s="251"/>
      <c r="G22" s="252"/>
      <c r="H22" s="251"/>
      <c r="I22" s="253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7" t="s">
        <v>148</v>
      </c>
      <c r="C23" s="28">
        <v>808100</v>
      </c>
      <c r="D23" s="28" t="s">
        <v>113</v>
      </c>
      <c r="E23" s="239">
        <v>3115249.75</v>
      </c>
      <c r="F23" s="251"/>
      <c r="G23" s="252"/>
      <c r="H23" s="251"/>
      <c r="I23" s="253"/>
      <c r="J23" s="32"/>
      <c r="K23" s="26" t="s">
        <v>10</v>
      </c>
      <c r="L23" s="173">
        <f>+L10</f>
        <v>21465565</v>
      </c>
      <c r="M23" s="202">
        <v>0.16167000000000001</v>
      </c>
      <c r="N23" s="172">
        <f t="shared" ref="N23:N28" si="3">L23*M23</f>
        <v>3470337.8935500002</v>
      </c>
      <c r="O23" s="26" t="s">
        <v>10</v>
      </c>
      <c r="P23" s="173">
        <f>+P10</f>
        <v>10870325</v>
      </c>
      <c r="Q23" s="202">
        <v>0.16148000000000001</v>
      </c>
      <c r="R23" s="172">
        <f t="shared" ref="R23" si="4">P23*Q23</f>
        <v>1755340.0810000002</v>
      </c>
    </row>
    <row r="24" spans="2:18" ht="15.6" customHeight="1">
      <c r="B24" s="177" t="s">
        <v>149</v>
      </c>
      <c r="C24" s="28">
        <v>808200</v>
      </c>
      <c r="D24" s="28" t="s">
        <v>113</v>
      </c>
      <c r="E24" s="239">
        <v>-23387.439999999999</v>
      </c>
      <c r="F24" s="251"/>
      <c r="G24" s="252"/>
      <c r="H24" s="251"/>
      <c r="I24" s="253"/>
      <c r="J24" s="32"/>
      <c r="K24" s="26" t="s">
        <v>42</v>
      </c>
      <c r="L24" s="173">
        <f t="shared" ref="L24:L28" si="5">+L11</f>
        <v>35195</v>
      </c>
      <c r="M24" s="202">
        <v>0.16167000000000001</v>
      </c>
      <c r="N24" s="172">
        <f t="shared" si="3"/>
        <v>5689.9756500000003</v>
      </c>
      <c r="O24" s="26" t="s">
        <v>11</v>
      </c>
      <c r="P24" s="173">
        <f t="shared" ref="P24:P27" si="6">+P11</f>
        <v>3329528</v>
      </c>
      <c r="Q24" s="202">
        <v>0.16148000000000001</v>
      </c>
      <c r="R24" s="172">
        <f>P24*Q24</f>
        <v>537652.18144000007</v>
      </c>
    </row>
    <row r="25" spans="2:18" ht="15.6" customHeight="1">
      <c r="B25" s="177" t="s">
        <v>150</v>
      </c>
      <c r="C25" s="28">
        <v>811000</v>
      </c>
      <c r="D25" s="28" t="s">
        <v>113</v>
      </c>
      <c r="E25" s="239">
        <v>-84540.02</v>
      </c>
      <c r="F25" s="251"/>
      <c r="G25" s="252"/>
      <c r="H25" s="251"/>
      <c r="I25" s="253"/>
      <c r="J25" s="32"/>
      <c r="K25" s="26" t="s">
        <v>11</v>
      </c>
      <c r="L25" s="173">
        <f t="shared" si="5"/>
        <v>7487490</v>
      </c>
      <c r="M25" s="202">
        <v>0.16167000000000001</v>
      </c>
      <c r="N25" s="172">
        <f t="shared" si="3"/>
        <v>1210502.5083000001</v>
      </c>
      <c r="O25" s="26" t="s">
        <v>12</v>
      </c>
      <c r="P25" s="173">
        <f t="shared" si="6"/>
        <v>1188</v>
      </c>
      <c r="Q25" s="202">
        <v>0.16148000000000001</v>
      </c>
      <c r="R25" s="172">
        <f t="shared" ref="R25:R27" si="7">P25*Q25</f>
        <v>191.83824000000001</v>
      </c>
    </row>
    <row r="26" spans="2:18" ht="15.6" customHeight="1">
      <c r="B26" s="177" t="s">
        <v>151</v>
      </c>
      <c r="C26" s="28">
        <v>483000</v>
      </c>
      <c r="D26" s="28" t="s">
        <v>113</v>
      </c>
      <c r="E26" s="239">
        <v>-6069267.5800000001</v>
      </c>
      <c r="F26" s="254" t="s">
        <v>61</v>
      </c>
      <c r="G26" s="252"/>
      <c r="H26" s="251"/>
      <c r="I26" s="253"/>
      <c r="J26" s="32"/>
      <c r="K26" s="26" t="s">
        <v>12</v>
      </c>
      <c r="L26" s="173">
        <f t="shared" si="5"/>
        <v>111067</v>
      </c>
      <c r="M26" s="202">
        <v>0.16167000000000001</v>
      </c>
      <c r="N26" s="172">
        <f t="shared" si="3"/>
        <v>17956.20189</v>
      </c>
      <c r="O26" s="26" t="s">
        <v>13</v>
      </c>
      <c r="P26" s="173">
        <f t="shared" si="6"/>
        <v>0</v>
      </c>
      <c r="Q26" s="202">
        <v>0.16148000000000001</v>
      </c>
      <c r="R26" s="172">
        <f t="shared" si="7"/>
        <v>0</v>
      </c>
    </row>
    <row r="27" spans="2:18" ht="15.6" customHeight="1">
      <c r="B27" s="177" t="s">
        <v>152</v>
      </c>
      <c r="C27" s="28">
        <v>483600</v>
      </c>
      <c r="D27" s="28" t="s">
        <v>113</v>
      </c>
      <c r="E27" s="239">
        <v>2337208.4300000002</v>
      </c>
      <c r="F27" s="251"/>
      <c r="G27" s="252"/>
      <c r="H27" s="251"/>
      <c r="I27" s="253"/>
      <c r="J27" s="32"/>
      <c r="K27" s="26" t="s">
        <v>13</v>
      </c>
      <c r="L27" s="173">
        <f t="shared" si="5"/>
        <v>0</v>
      </c>
      <c r="M27" s="202">
        <v>0.16167000000000001</v>
      </c>
      <c r="N27" s="172">
        <f t="shared" si="3"/>
        <v>0</v>
      </c>
      <c r="O27" s="26" t="s">
        <v>14</v>
      </c>
      <c r="P27" s="173">
        <f t="shared" si="6"/>
        <v>0</v>
      </c>
      <c r="Q27" s="202">
        <v>0.16148000000000001</v>
      </c>
      <c r="R27" s="172">
        <f t="shared" si="7"/>
        <v>0</v>
      </c>
    </row>
    <row r="28" spans="2:18" ht="15.6" customHeight="1" thickBot="1">
      <c r="B28" s="177" t="s">
        <v>153</v>
      </c>
      <c r="C28" s="28">
        <v>483730</v>
      </c>
      <c r="D28" s="28" t="s">
        <v>113</v>
      </c>
      <c r="E28" s="239">
        <v>-3601460.94</v>
      </c>
      <c r="F28" s="251"/>
      <c r="G28" s="252"/>
      <c r="H28" s="251"/>
      <c r="I28" s="253"/>
      <c r="J28" s="32"/>
      <c r="K28" s="26" t="s">
        <v>14</v>
      </c>
      <c r="L28" s="173">
        <f t="shared" si="5"/>
        <v>65536</v>
      </c>
      <c r="M28" s="202">
        <v>0.16167000000000001</v>
      </c>
      <c r="N28" s="172">
        <f t="shared" si="3"/>
        <v>10595.205120000001</v>
      </c>
      <c r="O28" s="25" t="s">
        <v>31</v>
      </c>
      <c r="P28" s="143">
        <f>SUM(P23:P27)</f>
        <v>14201041</v>
      </c>
      <c r="Q28" s="144"/>
      <c r="R28" s="23">
        <f>SUM(R23:R27)</f>
        <v>2293184.1006800001</v>
      </c>
    </row>
    <row r="29" spans="2:18" ht="15.6" customHeight="1" thickTop="1" thickBot="1">
      <c r="B29" s="177" t="s">
        <v>154</v>
      </c>
      <c r="C29" s="28">
        <v>495028</v>
      </c>
      <c r="D29" s="28" t="s">
        <v>113</v>
      </c>
      <c r="E29" s="239">
        <v>-375000</v>
      </c>
      <c r="F29" s="251"/>
      <c r="G29" s="252"/>
      <c r="H29" s="251"/>
      <c r="I29" s="253"/>
      <c r="J29" s="32"/>
      <c r="K29" s="25" t="s">
        <v>31</v>
      </c>
      <c r="L29" s="143">
        <f>SUM(L23:L28)</f>
        <v>29164853</v>
      </c>
      <c r="M29" s="144"/>
      <c r="N29" s="151">
        <f>SUM(N23:N28)</f>
        <v>4715081.7845100006</v>
      </c>
      <c r="O29" s="25"/>
      <c r="P29" s="203">
        <v>14201041</v>
      </c>
      <c r="Q29" s="17"/>
      <c r="R29" s="148"/>
    </row>
    <row r="30" spans="2:18" ht="15.6" customHeight="1" thickTop="1">
      <c r="B30" s="177" t="s">
        <v>112</v>
      </c>
      <c r="C30" s="28">
        <v>495000</v>
      </c>
      <c r="D30" s="28" t="s">
        <v>113</v>
      </c>
      <c r="E30" s="243">
        <v>0</v>
      </c>
      <c r="F30" s="255"/>
      <c r="G30" s="256"/>
      <c r="H30" s="255"/>
      <c r="I30" s="257"/>
      <c r="J30" s="32"/>
      <c r="K30" s="16"/>
      <c r="L30" s="203">
        <v>29164853</v>
      </c>
      <c r="M30" s="17"/>
      <c r="N30" s="152"/>
      <c r="O30" s="25"/>
      <c r="P30" s="142">
        <f>P28-P29</f>
        <v>0</v>
      </c>
      <c r="Q30" s="17" t="s">
        <v>23</v>
      </c>
      <c r="R30" s="24"/>
    </row>
    <row r="31" spans="2:18" ht="15.6" customHeight="1" thickBot="1">
      <c r="B31" s="195" t="s">
        <v>26</v>
      </c>
      <c r="C31" s="28"/>
      <c r="D31" s="28"/>
      <c r="E31" s="241">
        <f>-E13</f>
        <v>37639.53</v>
      </c>
      <c r="F31" s="251"/>
      <c r="G31" s="252"/>
      <c r="H31" s="251"/>
      <c r="I31" s="253"/>
      <c r="J31" s="32"/>
      <c r="K31" s="18"/>
      <c r="L31" s="149">
        <f>L29-L30</f>
        <v>0</v>
      </c>
      <c r="M31" s="19" t="s">
        <v>23</v>
      </c>
      <c r="N31" s="150"/>
      <c r="O31" s="153"/>
      <c r="P31" s="154"/>
      <c r="Q31" s="155"/>
      <c r="R31" s="156"/>
    </row>
    <row r="32" spans="2:18" ht="15.6" customHeight="1" thickBot="1">
      <c r="B32" s="191" t="s">
        <v>27</v>
      </c>
      <c r="C32" s="3"/>
      <c r="D32" s="3"/>
      <c r="E32" s="240">
        <f>SUM(E17:E31)</f>
        <v>12276057.1</v>
      </c>
      <c r="F32" s="258"/>
      <c r="G32" s="231">
        <f>E32*G8</f>
        <v>8255648.3997499999</v>
      </c>
      <c r="H32" s="140"/>
      <c r="I32" s="221">
        <f>E32*I8</f>
        <v>4020408.7002500002</v>
      </c>
      <c r="J32" s="32"/>
    </row>
    <row r="33" spans="1:17" ht="15.6" customHeight="1">
      <c r="B33" s="177" t="s">
        <v>111</v>
      </c>
      <c r="C33" s="28">
        <v>495000</v>
      </c>
      <c r="D33" s="3" t="s">
        <v>118</v>
      </c>
      <c r="E33" s="243">
        <v>0</v>
      </c>
      <c r="F33" s="255"/>
      <c r="G33" s="231">
        <f>E33</f>
        <v>0</v>
      </c>
      <c r="H33" s="140"/>
      <c r="I33" s="221"/>
      <c r="J33" s="32"/>
      <c r="K33" s="20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6"/>
      <c r="Q33" s="1"/>
    </row>
    <row r="34" spans="1:17" ht="15.6" customHeight="1" thickBot="1">
      <c r="B34" s="196" t="s">
        <v>98</v>
      </c>
      <c r="C34" s="28">
        <v>495000</v>
      </c>
      <c r="D34" s="3" t="s">
        <v>119</v>
      </c>
      <c r="E34" s="243">
        <v>0</v>
      </c>
      <c r="F34" s="255"/>
      <c r="G34" s="231"/>
      <c r="H34" s="140"/>
      <c r="I34" s="221">
        <f>E34</f>
        <v>0</v>
      </c>
      <c r="J34" s="32"/>
      <c r="K34" s="189"/>
      <c r="L34" s="13" t="s">
        <v>2</v>
      </c>
      <c r="M34" s="13" t="s">
        <v>1</v>
      </c>
      <c r="N34" s="13" t="s">
        <v>2</v>
      </c>
      <c r="O34" s="13" t="s">
        <v>1</v>
      </c>
      <c r="P34" s="216" t="s">
        <v>126</v>
      </c>
      <c r="Q34" s="1"/>
    </row>
    <row r="35" spans="1:17" ht="15.6" customHeight="1">
      <c r="B35" s="16" t="s">
        <v>120</v>
      </c>
      <c r="C35" s="28">
        <v>804000</v>
      </c>
      <c r="D35" s="3" t="s">
        <v>118</v>
      </c>
      <c r="E35" s="239">
        <v>-290560.8</v>
      </c>
      <c r="F35" s="251"/>
      <c r="G35" s="231">
        <f>E35</f>
        <v>-290560.8</v>
      </c>
      <c r="H35" s="140"/>
      <c r="I35" s="221"/>
      <c r="J35" s="32"/>
      <c r="K35" s="15" t="s">
        <v>128</v>
      </c>
      <c r="L35" s="141">
        <f>$F$39</f>
        <v>1480058.8482890001</v>
      </c>
      <c r="M35" s="141">
        <f>G39</f>
        <v>7965087.5997500001</v>
      </c>
      <c r="N35" s="141">
        <f>$H$39</f>
        <v>670876.84171099996</v>
      </c>
      <c r="O35" s="141">
        <f>I39</f>
        <v>3880177.7802500003</v>
      </c>
      <c r="P35" s="215">
        <f>SUM(L35:O35)-E39</f>
        <v>0</v>
      </c>
      <c r="Q35" s="1"/>
    </row>
    <row r="36" spans="1:17" ht="15.6" customHeight="1" thickBot="1">
      <c r="B36" s="16" t="s">
        <v>121</v>
      </c>
      <c r="C36" s="28">
        <v>804000</v>
      </c>
      <c r="D36" s="3" t="s">
        <v>119</v>
      </c>
      <c r="E36" s="239">
        <v>-140230.92000000001</v>
      </c>
      <c r="F36" s="251"/>
      <c r="G36" s="231"/>
      <c r="H36" s="140"/>
      <c r="I36" s="221">
        <f>E36</f>
        <v>-140230.92000000001</v>
      </c>
      <c r="J36" s="32"/>
      <c r="K36" s="15" t="s">
        <v>131</v>
      </c>
      <c r="L36" s="204">
        <f>-$N$17</f>
        <v>-2788745.98593</v>
      </c>
      <c r="M36" s="204">
        <f>-N29</f>
        <v>-4715081.7845100006</v>
      </c>
      <c r="N36" s="204">
        <f>-$R$15</f>
        <v>-1271277.1903200001</v>
      </c>
      <c r="O36" s="204">
        <f>-R28</f>
        <v>-2293184.1006800001</v>
      </c>
      <c r="P36" s="215">
        <f>SUM(L36:O36)+N17+N29+R15+R28</f>
        <v>0</v>
      </c>
      <c r="Q36" s="1"/>
    </row>
    <row r="37" spans="1:17" ht="15.6" customHeight="1" thickBot="1">
      <c r="B37" s="191" t="s">
        <v>134</v>
      </c>
      <c r="C37" s="28"/>
      <c r="D37" s="3"/>
      <c r="E37" s="240">
        <f>SUM(E32:E36)</f>
        <v>11845265.379999999</v>
      </c>
      <c r="F37" s="232"/>
      <c r="G37" s="234"/>
      <c r="H37" s="232"/>
      <c r="I37" s="194"/>
      <c r="J37" s="32"/>
      <c r="K37" s="191" t="s">
        <v>129</v>
      </c>
      <c r="L37" s="146">
        <f t="shared" ref="L37:O37" si="8">SUM(L35:L36)</f>
        <v>-1308687.1376409999</v>
      </c>
      <c r="M37" s="146">
        <f>SUM(M35:M36)</f>
        <v>3250005.8152399994</v>
      </c>
      <c r="N37" s="146">
        <f t="shared" si="8"/>
        <v>-600400.3486090001</v>
      </c>
      <c r="O37" s="146">
        <f t="shared" si="8"/>
        <v>1586993.6795700002</v>
      </c>
      <c r="P37" s="207"/>
      <c r="Q37" s="1"/>
    </row>
    <row r="38" spans="1:17" ht="15.6" customHeight="1" thickBot="1">
      <c r="B38" s="15"/>
      <c r="C38" s="9"/>
      <c r="D38" s="9"/>
      <c r="E38" s="244"/>
      <c r="F38" s="235"/>
      <c r="G38" s="236"/>
      <c r="H38" s="235"/>
      <c r="I38" s="197"/>
      <c r="J38" s="32"/>
      <c r="K38" s="208"/>
      <c r="L38" s="163"/>
      <c r="M38" s="7"/>
      <c r="N38" s="1"/>
      <c r="O38" s="212"/>
      <c r="P38" s="209"/>
      <c r="Q38" s="1"/>
    </row>
    <row r="39" spans="1:17" ht="15.6" customHeight="1" thickBot="1">
      <c r="B39" s="198" t="s">
        <v>125</v>
      </c>
      <c r="C39" s="199"/>
      <c r="D39" s="199"/>
      <c r="E39" s="240">
        <f>E37+E14</f>
        <v>13996201.069999998</v>
      </c>
      <c r="F39" s="246">
        <f>SUM(F14:F37)</f>
        <v>1480058.8482890001</v>
      </c>
      <c r="G39" s="247">
        <f t="shared" ref="G39:I39" si="9">SUM(G14:G37)</f>
        <v>7965087.5997500001</v>
      </c>
      <c r="H39" s="246">
        <f t="shared" si="9"/>
        <v>670876.84171099996</v>
      </c>
      <c r="I39" s="200">
        <f t="shared" si="9"/>
        <v>3880177.7802500003</v>
      </c>
      <c r="J39" s="32"/>
      <c r="K39" s="210"/>
      <c r="L39" s="213" t="s">
        <v>36</v>
      </c>
      <c r="M39" s="211">
        <f>SUM(L37:M37)</f>
        <v>1941318.6775989996</v>
      </c>
      <c r="N39" s="214" t="s">
        <v>37</v>
      </c>
      <c r="O39" s="211">
        <f>SUM(N37:O37)</f>
        <v>986593.33096100006</v>
      </c>
      <c r="P39" s="30"/>
      <c r="Q39" s="1"/>
    </row>
    <row r="40" spans="1:17" ht="15.6" customHeight="1">
      <c r="B40" s="32"/>
      <c r="C40" s="10"/>
      <c r="D40" s="10"/>
      <c r="E40" s="130"/>
      <c r="F40" s="130"/>
      <c r="G40" s="130"/>
      <c r="H40" s="130"/>
      <c r="I40" s="130"/>
      <c r="J40" s="32"/>
      <c r="M40" s="29"/>
      <c r="Q40" s="1"/>
    </row>
    <row r="41" spans="1:17" ht="15.6" customHeight="1">
      <c r="A41" s="32"/>
      <c r="B41" s="129"/>
      <c r="C41" s="10"/>
      <c r="D41" s="11" t="s">
        <v>84</v>
      </c>
      <c r="E41" s="181">
        <v>13996265.68</v>
      </c>
      <c r="F41" s="130"/>
      <c r="G41" s="130"/>
      <c r="H41" s="130"/>
      <c r="I41" s="130"/>
      <c r="J41" s="32"/>
      <c r="P41" s="2"/>
    </row>
    <row r="42" spans="1:17" ht="15.6" customHeight="1">
      <c r="B42" s="185"/>
      <c r="C42" s="185"/>
      <c r="D42" s="11" t="s">
        <v>34</v>
      </c>
      <c r="E42" s="140">
        <f>ROUND(E39-E41,2)</f>
        <v>-64.61</v>
      </c>
      <c r="F42" s="220"/>
      <c r="G42" s="220"/>
      <c r="H42" s="220"/>
      <c r="I42" s="220"/>
    </row>
    <row r="43" spans="1:17" ht="15.6" customHeight="1">
      <c r="B43" s="185"/>
      <c r="C43" s="185"/>
      <c r="E43" s="160"/>
      <c r="F43" s="220"/>
      <c r="G43" s="220"/>
      <c r="H43" s="220"/>
      <c r="I43" s="220"/>
    </row>
    <row r="44" spans="1:17" ht="15.6" customHeight="1">
      <c r="B44" s="185"/>
      <c r="C44" s="185"/>
      <c r="E44" s="160"/>
      <c r="F44" s="220"/>
      <c r="G44" s="220"/>
      <c r="H44" s="220"/>
      <c r="I44" s="220"/>
    </row>
    <row r="45" spans="1:17" ht="15.6" customHeight="1">
      <c r="B45" s="185"/>
      <c r="C45" s="185"/>
      <c r="E45" s="160"/>
      <c r="F45" s="220"/>
      <c r="G45" s="220"/>
      <c r="H45" s="220"/>
      <c r="I45" s="220"/>
    </row>
    <row r="46" spans="1:17" ht="15.75">
      <c r="A46" s="184" t="s">
        <v>60</v>
      </c>
      <c r="B46" s="186">
        <f>E17</f>
        <v>14003679.560000001</v>
      </c>
      <c r="C46" s="186" t="s">
        <v>122</v>
      </c>
      <c r="E46" s="31"/>
    </row>
    <row r="47" spans="1:17" ht="15.75">
      <c r="A47" s="184"/>
      <c r="B47" s="186">
        <v>14003766.289999999</v>
      </c>
      <c r="C47" s="186" t="s">
        <v>123</v>
      </c>
      <c r="D47" s="132"/>
      <c r="E47" s="32"/>
    </row>
    <row r="48" spans="1:17" ht="15.75">
      <c r="A48" s="184"/>
      <c r="B48" s="262">
        <f>B46-B47</f>
        <v>-86.72999999858439</v>
      </c>
      <c r="C48" s="187" t="s">
        <v>124</v>
      </c>
      <c r="E48" s="31"/>
    </row>
    <row r="49" spans="1:18" ht="15.75">
      <c r="A49" s="184"/>
      <c r="E49" s="31"/>
    </row>
    <row r="50" spans="1:18">
      <c r="B50" s="186"/>
      <c r="C50" s="186"/>
      <c r="E50" s="31"/>
    </row>
    <row r="51" spans="1:18" ht="15.75">
      <c r="A51" s="184" t="s">
        <v>61</v>
      </c>
      <c r="B51" s="186">
        <f>E26</f>
        <v>-6069267.5800000001</v>
      </c>
      <c r="C51" s="186" t="s">
        <v>122</v>
      </c>
      <c r="E51" s="31"/>
    </row>
    <row r="52" spans="1:18">
      <c r="A52" s="185"/>
      <c r="B52" s="186">
        <f>-6069355.17+65.46</f>
        <v>-6069289.71</v>
      </c>
      <c r="C52" s="186" t="s">
        <v>123</v>
      </c>
      <c r="E52" s="31"/>
    </row>
    <row r="53" spans="1:18" ht="15.75">
      <c r="A53" s="185"/>
      <c r="B53" s="262">
        <f>B51-B52</f>
        <v>22.129999999888241</v>
      </c>
      <c r="C53" s="187" t="s">
        <v>124</v>
      </c>
      <c r="E53" s="31"/>
    </row>
    <row r="54" spans="1:18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18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18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18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18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18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18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1:18" s="32" customFormat="1">
      <c r="A64" s="31"/>
      <c r="B64" s="31"/>
      <c r="C64" s="31"/>
      <c r="D64" s="31"/>
      <c r="E64" s="31"/>
      <c r="J64" s="31"/>
      <c r="K64" s="31"/>
      <c r="L64" s="31"/>
      <c r="M64" s="31"/>
      <c r="N64" s="31"/>
      <c r="O64" s="31"/>
      <c r="P64" s="31"/>
      <c r="Q64" s="31"/>
      <c r="R64" s="31"/>
    </row>
    <row r="65" spans="1:18" s="32" customFormat="1">
      <c r="A65" s="31"/>
      <c r="B65" s="31"/>
      <c r="C65" s="31"/>
      <c r="D65" s="31"/>
      <c r="E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s="32" customFormat="1">
      <c r="A66" s="31"/>
      <c r="B66" s="31"/>
      <c r="C66" s="31"/>
      <c r="D66" s="31"/>
      <c r="E66" s="31"/>
      <c r="J66" s="31"/>
      <c r="K66" s="31"/>
      <c r="L66" s="31"/>
      <c r="M66" s="31"/>
      <c r="N66" s="31"/>
      <c r="O66" s="31"/>
      <c r="P66" s="31"/>
      <c r="Q66" s="31"/>
      <c r="R66" s="31"/>
    </row>
    <row r="67" spans="1:18" s="32" customFormat="1">
      <c r="A67" s="31"/>
      <c r="B67" s="31"/>
      <c r="C67" s="31"/>
      <c r="D67" s="31"/>
      <c r="E67" s="31"/>
      <c r="J67" s="31"/>
      <c r="K67" s="31"/>
      <c r="L67" s="31"/>
      <c r="M67" s="31"/>
      <c r="N67" s="31"/>
      <c r="O67" s="31"/>
      <c r="P67" s="31"/>
      <c r="Q67" s="31"/>
      <c r="R67" s="31"/>
    </row>
    <row r="68" spans="1:18" s="32" customFormat="1">
      <c r="A68" s="31"/>
      <c r="B68" s="31"/>
      <c r="C68" s="31"/>
      <c r="D68" s="31"/>
      <c r="E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18" s="32" customFormat="1">
      <c r="A69" s="31"/>
      <c r="B69" s="31"/>
      <c r="C69" s="31"/>
      <c r="D69" s="31"/>
      <c r="E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1:18" s="32" customFormat="1">
      <c r="A70" s="31"/>
      <c r="B70" s="31"/>
      <c r="C70" s="31"/>
      <c r="D70" s="31"/>
      <c r="E70" s="31"/>
      <c r="J70" s="31"/>
      <c r="K70" s="31"/>
      <c r="L70" s="31"/>
      <c r="M70" s="31"/>
      <c r="N70" s="31"/>
      <c r="O70" s="31"/>
      <c r="P70" s="31"/>
      <c r="Q70" s="31"/>
      <c r="R70" s="31"/>
    </row>
    <row r="71" spans="1:18" s="32" customFormat="1">
      <c r="A71" s="31"/>
      <c r="B71" s="31"/>
      <c r="C71" s="31"/>
      <c r="D71" s="31"/>
      <c r="E71" s="31"/>
      <c r="J71" s="31"/>
      <c r="K71" s="31"/>
      <c r="L71" s="31"/>
      <c r="M71" s="31"/>
      <c r="N71" s="31"/>
      <c r="O71" s="31"/>
      <c r="P71" s="31"/>
      <c r="Q71" s="31"/>
      <c r="R71" s="31"/>
    </row>
    <row r="72" spans="1:18" s="32" customFormat="1">
      <c r="A72" s="31"/>
      <c r="B72" s="31"/>
      <c r="C72" s="31"/>
      <c r="D72" s="31"/>
      <c r="E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1:18" s="32" customFormat="1">
      <c r="A73" s="31"/>
      <c r="B73" s="31"/>
      <c r="C73" s="31"/>
      <c r="D73" s="31"/>
      <c r="E73" s="31"/>
      <c r="J73" s="31"/>
      <c r="K73" s="31"/>
      <c r="L73" s="31"/>
      <c r="M73" s="31"/>
      <c r="N73" s="31"/>
      <c r="O73" s="31"/>
      <c r="P73" s="31"/>
      <c r="Q73" s="31"/>
      <c r="R73" s="31"/>
    </row>
    <row r="1398" spans="1:18" s="8" customFormat="1">
      <c r="A1398" s="31"/>
      <c r="B1398" s="31"/>
      <c r="C1398" s="31"/>
      <c r="D1398" s="31">
        <v>-2130</v>
      </c>
      <c r="F1398" s="32"/>
      <c r="G1398" s="32"/>
      <c r="H1398" s="32"/>
      <c r="I1398" s="32"/>
      <c r="J1398" s="31"/>
      <c r="K1398" s="31"/>
      <c r="L1398" s="31"/>
      <c r="M1398" s="31"/>
      <c r="N1398" s="31"/>
      <c r="O1398" s="31"/>
      <c r="P1398" s="31"/>
      <c r="Q1398" s="31"/>
      <c r="R1398" s="31"/>
    </row>
    <row r="1406" spans="1:18" s="8" customFormat="1">
      <c r="A1406" s="31"/>
      <c r="B1406" s="31"/>
      <c r="C1406" s="31"/>
      <c r="D1406" s="31">
        <f>7004298-2130</f>
        <v>7002168</v>
      </c>
      <c r="F1406" s="32"/>
      <c r="G1406" s="32"/>
      <c r="H1406" s="32"/>
      <c r="I1406" s="32"/>
      <c r="J1406" s="31"/>
      <c r="K1406" s="31"/>
      <c r="L1406" s="31"/>
      <c r="M1406" s="31"/>
      <c r="N1406" s="31"/>
      <c r="O1406" s="31"/>
      <c r="P1406" s="31"/>
      <c r="Q1406" s="31"/>
      <c r="R1406" s="31"/>
    </row>
  </sheetData>
  <mergeCells count="5">
    <mergeCell ref="N1:O1"/>
    <mergeCell ref="F5:G5"/>
    <mergeCell ref="H5:I5"/>
    <mergeCell ref="K5:N5"/>
    <mergeCell ref="O5:R5"/>
  </mergeCells>
  <conditionalFormatting sqref="D43:D45">
    <cfRule type="cellIs" dxfId="84" priority="29" operator="equal">
      <formula>"ERROR"</formula>
    </cfRule>
  </conditionalFormatting>
  <conditionalFormatting sqref="D43:D45">
    <cfRule type="cellIs" dxfId="83" priority="28" operator="equal">
      <formula>"ERROR"</formula>
    </cfRule>
  </conditionalFormatting>
  <conditionalFormatting sqref="E47:I47">
    <cfRule type="cellIs" dxfId="82" priority="27" operator="equal">
      <formula>"ERROR"</formula>
    </cfRule>
  </conditionalFormatting>
  <conditionalFormatting sqref="E47:I47">
    <cfRule type="cellIs" dxfId="81" priority="26" operator="equal">
      <formula>"ERROR"</formula>
    </cfRule>
  </conditionalFormatting>
  <conditionalFormatting sqref="P31">
    <cfRule type="cellIs" dxfId="80" priority="25" operator="notEqual">
      <formula>0</formula>
    </cfRule>
  </conditionalFormatting>
  <conditionalFormatting sqref="L19">
    <cfRule type="cellIs" dxfId="79" priority="23" stopIfTrue="1" operator="equal">
      <formula>0</formula>
    </cfRule>
    <cfRule type="cellIs" dxfId="78" priority="24" stopIfTrue="1" operator="notEqual">
      <formula>0</formula>
    </cfRule>
  </conditionalFormatting>
  <conditionalFormatting sqref="L19">
    <cfRule type="cellIs" dxfId="77" priority="21" stopIfTrue="1" operator="equal">
      <formula>0</formula>
    </cfRule>
    <cfRule type="cellIs" dxfId="76" priority="22" stopIfTrue="1" operator="notEqual">
      <formula>0</formula>
    </cfRule>
  </conditionalFormatting>
  <conditionalFormatting sqref="L31">
    <cfRule type="cellIs" dxfId="75" priority="19" stopIfTrue="1" operator="equal">
      <formula>0</formula>
    </cfRule>
    <cfRule type="cellIs" dxfId="74" priority="20" stopIfTrue="1" operator="notEqual">
      <formula>0</formula>
    </cfRule>
  </conditionalFormatting>
  <conditionalFormatting sqref="L31">
    <cfRule type="cellIs" dxfId="73" priority="17" stopIfTrue="1" operator="equal">
      <formula>0</formula>
    </cfRule>
    <cfRule type="cellIs" dxfId="72" priority="18" stopIfTrue="1" operator="notEqual">
      <formula>0</formula>
    </cfRule>
  </conditionalFormatting>
  <conditionalFormatting sqref="P17">
    <cfRule type="cellIs" dxfId="71" priority="15" stopIfTrue="1" operator="equal">
      <formula>0</formula>
    </cfRule>
    <cfRule type="cellIs" dxfId="70" priority="16" stopIfTrue="1" operator="notEqual">
      <formula>0</formula>
    </cfRule>
  </conditionalFormatting>
  <conditionalFormatting sqref="P17">
    <cfRule type="cellIs" dxfId="69" priority="13" stopIfTrue="1" operator="equal">
      <formula>0</formula>
    </cfRule>
    <cfRule type="cellIs" dxfId="68" priority="14" stopIfTrue="1" operator="notEqual">
      <formula>0</formula>
    </cfRule>
  </conditionalFormatting>
  <conditionalFormatting sqref="P30">
    <cfRule type="cellIs" dxfId="67" priority="11" stopIfTrue="1" operator="equal">
      <formula>0</formula>
    </cfRule>
    <cfRule type="cellIs" dxfId="66" priority="12" stopIfTrue="1" operator="notEqual">
      <formula>0</formula>
    </cfRule>
  </conditionalFormatting>
  <conditionalFormatting sqref="P30">
    <cfRule type="cellIs" dxfId="65" priority="9" stopIfTrue="1" operator="equal">
      <formula>0</formula>
    </cfRule>
    <cfRule type="cellIs" dxfId="64" priority="10" stopIfTrue="1" operator="notEqual">
      <formula>0</formula>
    </cfRule>
  </conditionalFormatting>
  <conditionalFormatting sqref="P35:P36">
    <cfRule type="cellIs" dxfId="63" priority="7" stopIfTrue="1" operator="equal">
      <formula>0</formula>
    </cfRule>
    <cfRule type="cellIs" dxfId="62" priority="8" stopIfTrue="1" operator="notEqual">
      <formula>0</formula>
    </cfRule>
  </conditionalFormatting>
  <conditionalFormatting sqref="P35:P36">
    <cfRule type="cellIs" dxfId="61" priority="5" stopIfTrue="1" operator="equal">
      <formula>0</formula>
    </cfRule>
    <cfRule type="cellIs" dxfId="60" priority="6" stopIfTrue="1" operator="notEqual">
      <formula>0</formula>
    </cfRule>
  </conditionalFormatting>
  <conditionalFormatting sqref="E42">
    <cfRule type="cellIs" dxfId="59" priority="3" stopIfTrue="1" operator="equal">
      <formula>0</formula>
    </cfRule>
    <cfRule type="cellIs" dxfId="58" priority="4" stopIfTrue="1" operator="notEqual">
      <formula>0</formula>
    </cfRule>
  </conditionalFormatting>
  <conditionalFormatting sqref="E42">
    <cfRule type="cellIs" dxfId="57" priority="1" stopIfTrue="1" operator="equal">
      <formula>0</formula>
    </cfRule>
    <cfRule type="cellIs" dxfId="56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customProperties>
    <customPr name="xxe4aP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D4786-D2FE-48FC-84EF-BDB2F8E0E88C}">
  <sheetPr>
    <pageSetUpPr fitToPage="1"/>
  </sheetPr>
  <dimension ref="A1:R1409"/>
  <sheetViews>
    <sheetView topLeftCell="A16" zoomScale="60" zoomScaleNormal="60" workbookViewId="0">
      <selection activeCell="P35" sqref="P35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24" style="8" bestFit="1" customWidth="1"/>
    <col min="6" max="6" width="18.7109375" style="32" bestFit="1" customWidth="1"/>
    <col min="7" max="7" width="19.140625" style="32" bestFit="1" customWidth="1"/>
    <col min="8" max="8" width="17.5703125" style="32" customWidth="1"/>
    <col min="9" max="9" width="18.7109375" style="32" bestFit="1" customWidth="1"/>
    <col min="10" max="10" width="4.85546875" style="31" bestFit="1" customWidth="1"/>
    <col min="11" max="11" width="29" style="31" bestFit="1" customWidth="1"/>
    <col min="12" max="12" width="22.28515625" style="31" bestFit="1" customWidth="1"/>
    <col min="13" max="13" width="21.85546875" style="31" bestFit="1" customWidth="1"/>
    <col min="14" max="14" width="23.42578125" style="31" bestFit="1" customWidth="1"/>
    <col min="15" max="15" width="24.140625" style="31" bestFit="1" customWidth="1"/>
    <col min="16" max="16" width="16.28515625" style="31" bestFit="1" customWidth="1"/>
    <col min="17" max="17" width="11.5703125" style="31" bestFit="1" customWidth="1"/>
    <col min="18" max="18" width="22.5703125" style="31" bestFit="1" customWidth="1"/>
    <col min="19" max="16384" width="16" style="31"/>
  </cols>
  <sheetData>
    <row r="1" spans="2:18" ht="15.6" customHeight="1" thickBot="1">
      <c r="B1" s="179" t="s">
        <v>132</v>
      </c>
      <c r="C1" s="180">
        <v>202103</v>
      </c>
      <c r="D1" s="178"/>
      <c r="E1" s="133"/>
      <c r="F1" s="133"/>
      <c r="G1" s="133"/>
      <c r="H1" s="133"/>
      <c r="I1" s="133"/>
      <c r="K1" s="174" t="s">
        <v>114</v>
      </c>
      <c r="L1" s="182" t="s">
        <v>115</v>
      </c>
      <c r="N1" s="274" t="s">
        <v>127</v>
      </c>
      <c r="O1" s="275"/>
    </row>
    <row r="2" spans="2:18" ht="15.6" customHeight="1">
      <c r="D2" s="133"/>
      <c r="E2" s="133"/>
      <c r="F2" s="133"/>
      <c r="G2" s="133"/>
      <c r="H2" s="133"/>
      <c r="I2" s="133"/>
      <c r="K2" s="175"/>
      <c r="L2" s="176" t="s">
        <v>116</v>
      </c>
      <c r="N2" s="177" t="s">
        <v>38</v>
      </c>
      <c r="O2" s="218" t="s">
        <v>39</v>
      </c>
    </row>
    <row r="3" spans="2:18" ht="15.6" customHeight="1" thickBot="1">
      <c r="D3" s="133"/>
      <c r="E3" s="133"/>
      <c r="F3" s="133"/>
      <c r="G3" s="133"/>
      <c r="H3" s="133"/>
      <c r="I3" s="133"/>
      <c r="K3" s="175"/>
      <c r="L3" s="183"/>
      <c r="N3" s="219" t="e">
        <f>SUM('191010 WA DEF'!E36:E45)+SUM('191000 WA Amort'!H36:H45)+SUM(#REF!)+SUM(#REF!)</f>
        <v>#REF!</v>
      </c>
      <c r="O3" s="217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133"/>
      <c r="E4" s="133"/>
      <c r="F4" s="133"/>
      <c r="G4" s="133"/>
      <c r="H4" s="133"/>
      <c r="I4" s="133"/>
      <c r="K4" s="175"/>
      <c r="L4" s="183"/>
    </row>
    <row r="5" spans="2:18" ht="15.6" customHeight="1" thickBot="1">
      <c r="B5" s="188"/>
      <c r="C5" s="14"/>
      <c r="D5" s="14"/>
      <c r="E5" s="245" t="s">
        <v>17</v>
      </c>
      <c r="F5" s="276" t="s">
        <v>32</v>
      </c>
      <c r="G5" s="277"/>
      <c r="H5" s="276" t="s">
        <v>33</v>
      </c>
      <c r="I5" s="278"/>
      <c r="J5" s="32"/>
      <c r="K5" s="271" t="s">
        <v>32</v>
      </c>
      <c r="L5" s="272"/>
      <c r="M5" s="272"/>
      <c r="N5" s="273"/>
      <c r="O5" s="271" t="s">
        <v>33</v>
      </c>
      <c r="P5" s="272"/>
      <c r="Q5" s="272"/>
      <c r="R5" s="273"/>
    </row>
    <row r="6" spans="2:18" ht="15.6" customHeight="1" thickBot="1">
      <c r="B6" s="189" t="s">
        <v>18</v>
      </c>
      <c r="C6" s="3"/>
      <c r="D6" s="3"/>
      <c r="E6" s="237" t="s">
        <v>130</v>
      </c>
      <c r="F6" s="224" t="s">
        <v>2</v>
      </c>
      <c r="G6" s="225" t="s">
        <v>1</v>
      </c>
      <c r="H6" s="224" t="s">
        <v>2</v>
      </c>
      <c r="I6" s="223" t="s">
        <v>1</v>
      </c>
      <c r="J6" s="32"/>
      <c r="K6" s="136" t="s">
        <v>24</v>
      </c>
      <c r="L6" s="134" t="s">
        <v>6</v>
      </c>
      <c r="M6" s="134" t="s">
        <v>6</v>
      </c>
      <c r="N6" s="134" t="s">
        <v>6</v>
      </c>
      <c r="O6" s="136" t="s">
        <v>24</v>
      </c>
      <c r="P6" s="134" t="s">
        <v>6</v>
      </c>
      <c r="Q6" s="134" t="s">
        <v>6</v>
      </c>
      <c r="R6" s="168" t="s">
        <v>6</v>
      </c>
    </row>
    <row r="7" spans="2:18" ht="15.6" customHeight="1" thickBot="1">
      <c r="B7" s="15"/>
      <c r="C7" s="3"/>
      <c r="D7" s="3"/>
      <c r="E7" s="238"/>
      <c r="F7" s="226"/>
      <c r="G7" s="227"/>
      <c r="H7" s="226"/>
      <c r="I7" s="12"/>
      <c r="J7" s="32"/>
      <c r="K7" s="137" t="s">
        <v>35</v>
      </c>
      <c r="L7" s="135" t="s">
        <v>22</v>
      </c>
      <c r="M7" s="135" t="s">
        <v>9</v>
      </c>
      <c r="N7" s="135" t="s">
        <v>7</v>
      </c>
      <c r="O7" s="137" t="s">
        <v>35</v>
      </c>
      <c r="P7" s="135" t="s">
        <v>22</v>
      </c>
      <c r="Q7" s="135" t="s">
        <v>9</v>
      </c>
      <c r="R7" s="135" t="s">
        <v>7</v>
      </c>
    </row>
    <row r="8" spans="2:18" ht="15.6" customHeight="1">
      <c r="B8" s="15"/>
      <c r="C8" s="3"/>
      <c r="D8" s="3"/>
      <c r="E8" s="259">
        <f>F8+H8</f>
        <v>1</v>
      </c>
      <c r="F8" s="228">
        <v>0.68810000000000004</v>
      </c>
      <c r="G8" s="229">
        <f>ROUND($L$29/($L$29+$P$28),4)</f>
        <v>0.68710000000000004</v>
      </c>
      <c r="H8" s="228">
        <v>0.31190000000000001</v>
      </c>
      <c r="I8" s="190">
        <f>1-G8</f>
        <v>0.31289999999999996</v>
      </c>
      <c r="J8" s="260"/>
      <c r="K8" s="15"/>
      <c r="L8" s="167"/>
      <c r="M8" s="167"/>
      <c r="N8" s="168"/>
      <c r="O8" s="138"/>
      <c r="P8" s="139"/>
      <c r="Q8" s="139"/>
      <c r="R8" s="27"/>
    </row>
    <row r="9" spans="2:18" ht="15.6" customHeight="1">
      <c r="B9" s="15"/>
      <c r="C9" s="3"/>
      <c r="D9" s="3"/>
      <c r="E9" s="238"/>
      <c r="F9" s="226"/>
      <c r="G9" s="227"/>
      <c r="H9" s="226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18" ht="15.6" customHeight="1">
      <c r="B10" s="177" t="s">
        <v>155</v>
      </c>
      <c r="C10" s="28">
        <v>804001</v>
      </c>
      <c r="D10" s="28" t="s">
        <v>113</v>
      </c>
      <c r="E10" s="239">
        <v>2255714.94</v>
      </c>
      <c r="F10" s="230"/>
      <c r="G10" s="231"/>
      <c r="H10" s="230"/>
      <c r="I10" s="221"/>
      <c r="J10" s="32"/>
      <c r="K10" s="26" t="s">
        <v>10</v>
      </c>
      <c r="L10" s="201">
        <v>14741098</v>
      </c>
      <c r="M10" s="202">
        <v>9.8220000000000002E-2</v>
      </c>
      <c r="N10" s="172">
        <f t="shared" ref="N10:N16" si="0">L10*M10</f>
        <v>1447870.6455600001</v>
      </c>
      <c r="O10" s="26" t="s">
        <v>10</v>
      </c>
      <c r="P10" s="201">
        <v>7153037</v>
      </c>
      <c r="Q10" s="202">
        <v>8.9520000000000002E-2</v>
      </c>
      <c r="R10" s="172">
        <f t="shared" ref="R10:R11" si="1">P10*Q10</f>
        <v>640339.87224000006</v>
      </c>
    </row>
    <row r="11" spans="2:18" ht="15.6" customHeight="1" thickBot="1">
      <c r="B11" s="177" t="s">
        <v>156</v>
      </c>
      <c r="C11" s="28">
        <v>804002</v>
      </c>
      <c r="D11" s="28" t="s">
        <v>113</v>
      </c>
      <c r="E11" s="239">
        <v>30944.41</v>
      </c>
      <c r="F11" s="230"/>
      <c r="G11" s="231"/>
      <c r="H11" s="230"/>
      <c r="I11" s="221"/>
      <c r="J11" s="32"/>
      <c r="K11" s="26" t="s">
        <v>42</v>
      </c>
      <c r="L11" s="201">
        <v>24419</v>
      </c>
      <c r="M11" s="202">
        <v>9.8220000000000002E-2</v>
      </c>
      <c r="N11" s="172">
        <f t="shared" si="0"/>
        <v>2398.4341800000002</v>
      </c>
      <c r="O11" s="26" t="s">
        <v>11</v>
      </c>
      <c r="P11" s="201">
        <v>2841316</v>
      </c>
      <c r="Q11" s="202">
        <v>8.9520000000000002E-2</v>
      </c>
      <c r="R11" s="172">
        <f t="shared" si="1"/>
        <v>254354.60832</v>
      </c>
    </row>
    <row r="12" spans="2:18" ht="15.6" customHeight="1" thickBot="1">
      <c r="B12" s="191" t="s">
        <v>117</v>
      </c>
      <c r="C12" s="7"/>
      <c r="D12" s="7"/>
      <c r="E12" s="240">
        <f>SUM(E10:E11)</f>
        <v>2286659.35</v>
      </c>
      <c r="F12" s="232"/>
      <c r="G12" s="233"/>
      <c r="H12" s="232"/>
      <c r="I12" s="222"/>
      <c r="J12" s="32"/>
      <c r="K12" s="26" t="s">
        <v>11</v>
      </c>
      <c r="L12" s="201">
        <v>6893495</v>
      </c>
      <c r="M12" s="202">
        <v>8.8349999999999998E-2</v>
      </c>
      <c r="N12" s="172">
        <f t="shared" si="0"/>
        <v>609040.28324999998</v>
      </c>
      <c r="O12" s="26" t="s">
        <v>12</v>
      </c>
      <c r="P12" s="201">
        <v>826</v>
      </c>
      <c r="Q12" s="202">
        <v>8.9520000000000002E-2</v>
      </c>
      <c r="R12" s="172">
        <f>P12*Q12</f>
        <v>73.943520000000007</v>
      </c>
    </row>
    <row r="13" spans="2:18" ht="15.6" customHeight="1" thickBot="1">
      <c r="B13" s="192" t="s">
        <v>25</v>
      </c>
      <c r="C13" s="1"/>
      <c r="D13" s="1"/>
      <c r="E13" s="241">
        <f>-E11</f>
        <v>-30944.41</v>
      </c>
      <c r="F13" s="230"/>
      <c r="G13" s="231"/>
      <c r="H13" s="230"/>
      <c r="I13" s="221"/>
      <c r="J13" s="32"/>
      <c r="K13" s="26" t="s">
        <v>12</v>
      </c>
      <c r="L13" s="201">
        <v>101451</v>
      </c>
      <c r="M13" s="202">
        <v>8.8349999999999998E-2</v>
      </c>
      <c r="N13" s="172">
        <f t="shared" si="0"/>
        <v>8963.1958500000001</v>
      </c>
      <c r="O13" s="26" t="s">
        <v>13</v>
      </c>
      <c r="P13" s="201">
        <v>0</v>
      </c>
      <c r="Q13" s="202">
        <v>8.9520000000000002E-2</v>
      </c>
      <c r="R13" s="172">
        <f t="shared" ref="R13:R14" si="2">P13*Q13</f>
        <v>0</v>
      </c>
    </row>
    <row r="14" spans="2:18" ht="15.6" customHeight="1" thickBot="1">
      <c r="B14" s="191" t="s">
        <v>133</v>
      </c>
      <c r="C14" s="193"/>
      <c r="D14" s="193"/>
      <c r="E14" s="240">
        <f>SUM(E12:E13)</f>
        <v>2255714.94</v>
      </c>
      <c r="F14" s="248">
        <f>E14*F8</f>
        <v>1552157.450214</v>
      </c>
      <c r="G14" s="249"/>
      <c r="H14" s="248">
        <f>E14*H8</f>
        <v>703557.48978599999</v>
      </c>
      <c r="I14" s="250"/>
      <c r="J14" s="32"/>
      <c r="K14" s="26" t="s">
        <v>13</v>
      </c>
      <c r="L14" s="201">
        <v>0</v>
      </c>
      <c r="M14" s="202">
        <v>5.6399999999999999E-2</v>
      </c>
      <c r="N14" s="172">
        <f t="shared" si="0"/>
        <v>0</v>
      </c>
      <c r="O14" s="26" t="s">
        <v>14</v>
      </c>
      <c r="P14" s="201">
        <v>0</v>
      </c>
      <c r="Q14" s="202">
        <v>8.9520000000000002E-2</v>
      </c>
      <c r="R14" s="172">
        <f t="shared" si="2"/>
        <v>0</v>
      </c>
    </row>
    <row r="15" spans="2:18" ht="15.6" customHeight="1" thickBot="1">
      <c r="B15" s="15"/>
      <c r="C15" s="3"/>
      <c r="D15" s="3"/>
      <c r="E15" s="242"/>
      <c r="F15" s="251"/>
      <c r="G15" s="252"/>
      <c r="H15" s="251"/>
      <c r="I15" s="253"/>
      <c r="J15" s="32"/>
      <c r="K15" s="26" t="s">
        <v>14</v>
      </c>
      <c r="L15" s="201">
        <v>183531</v>
      </c>
      <c r="M15" s="202">
        <v>5.6399999999999999E-2</v>
      </c>
      <c r="N15" s="172">
        <f t="shared" si="0"/>
        <v>10351.1484</v>
      </c>
      <c r="O15" s="25" t="s">
        <v>29</v>
      </c>
      <c r="P15" s="143">
        <f>SUM(P10:P14)</f>
        <v>9995179</v>
      </c>
      <c r="Q15" s="144"/>
      <c r="R15" s="23">
        <f>SUM(R10:R14)</f>
        <v>894768.42408000003</v>
      </c>
    </row>
    <row r="16" spans="2:18" ht="15.6" customHeight="1" thickTop="1">
      <c r="B16" s="15"/>
      <c r="C16" s="3"/>
      <c r="D16" s="3"/>
      <c r="E16" s="242"/>
      <c r="F16" s="251"/>
      <c r="G16" s="252"/>
      <c r="H16" s="251"/>
      <c r="I16" s="253"/>
      <c r="J16" s="32"/>
      <c r="K16" s="26" t="s">
        <v>20</v>
      </c>
      <c r="L16" s="201">
        <v>2950398</v>
      </c>
      <c r="M16" s="202">
        <v>5.4000000000000001E-4</v>
      </c>
      <c r="N16" s="172">
        <f t="shared" si="0"/>
        <v>1593.2149200000001</v>
      </c>
      <c r="O16" s="26"/>
      <c r="P16" s="203">
        <v>9995179</v>
      </c>
      <c r="Q16" s="17"/>
      <c r="R16" s="145"/>
    </row>
    <row r="17" spans="2:18" ht="15.6" customHeight="1" thickBot="1">
      <c r="B17" s="177" t="s">
        <v>142</v>
      </c>
      <c r="C17" s="28">
        <v>804000</v>
      </c>
      <c r="D17" s="28" t="s">
        <v>113</v>
      </c>
      <c r="E17" s="239">
        <v>8761189.7200000007</v>
      </c>
      <c r="F17" s="254" t="s">
        <v>60</v>
      </c>
      <c r="G17" s="252"/>
      <c r="H17" s="251"/>
      <c r="I17" s="253"/>
      <c r="J17" s="32"/>
      <c r="K17" s="25" t="s">
        <v>29</v>
      </c>
      <c r="L17" s="143">
        <f>SUM(L10:L16)</f>
        <v>24894392</v>
      </c>
      <c r="M17" s="4"/>
      <c r="N17" s="23">
        <f>SUM(N10:N16)</f>
        <v>2080216.9221600003</v>
      </c>
      <c r="O17" s="26"/>
      <c r="P17" s="142">
        <f>P15-P16</f>
        <v>0</v>
      </c>
      <c r="Q17" s="17" t="s">
        <v>23</v>
      </c>
      <c r="R17" s="24"/>
    </row>
    <row r="18" spans="2:18" ht="15.6" customHeight="1" thickTop="1">
      <c r="B18" s="177" t="s">
        <v>143</v>
      </c>
      <c r="C18" s="28">
        <v>804010</v>
      </c>
      <c r="D18" s="28" t="s">
        <v>113</v>
      </c>
      <c r="E18" s="239">
        <v>-65395.49</v>
      </c>
      <c r="F18" s="251"/>
      <c r="G18" s="252"/>
      <c r="H18" s="251"/>
      <c r="I18" s="253"/>
      <c r="J18" s="32"/>
      <c r="K18" s="16"/>
      <c r="L18" s="203">
        <v>24894392</v>
      </c>
      <c r="M18" s="17"/>
      <c r="N18" s="145"/>
      <c r="O18" s="15"/>
      <c r="P18" s="3"/>
      <c r="Q18" s="131"/>
      <c r="R18" s="24"/>
    </row>
    <row r="19" spans="2:18" ht="15.6" customHeight="1">
      <c r="B19" s="177" t="s">
        <v>144</v>
      </c>
      <c r="C19" s="28">
        <v>804017</v>
      </c>
      <c r="D19" s="28" t="s">
        <v>113</v>
      </c>
      <c r="E19" s="239">
        <v>29394.18</v>
      </c>
      <c r="F19" s="251"/>
      <c r="G19" s="252"/>
      <c r="H19" s="251"/>
      <c r="I19" s="253"/>
      <c r="J19" s="32"/>
      <c r="K19" s="15"/>
      <c r="L19" s="142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7" t="s">
        <v>145</v>
      </c>
      <c r="C20" s="28">
        <v>804018</v>
      </c>
      <c r="D20" s="28" t="s">
        <v>113</v>
      </c>
      <c r="E20" s="239">
        <v>6465.96</v>
      </c>
      <c r="F20" s="251"/>
      <c r="G20" s="252"/>
      <c r="H20" s="251"/>
      <c r="I20" s="253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7" t="s">
        <v>146</v>
      </c>
      <c r="C21" s="28">
        <v>804600</v>
      </c>
      <c r="D21" s="28" t="s">
        <v>113</v>
      </c>
      <c r="E21" s="239">
        <v>-1628312.65</v>
      </c>
      <c r="F21" s="251"/>
      <c r="G21" s="252"/>
      <c r="H21" s="251"/>
      <c r="I21" s="253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7" t="s">
        <v>147</v>
      </c>
      <c r="C22" s="28">
        <v>804730</v>
      </c>
      <c r="D22" s="28" t="s">
        <v>113</v>
      </c>
      <c r="E22" s="239">
        <v>541664.44999999995</v>
      </c>
      <c r="F22" s="251"/>
      <c r="G22" s="252"/>
      <c r="H22" s="251"/>
      <c r="I22" s="253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7" t="s">
        <v>148</v>
      </c>
      <c r="C23" s="28">
        <v>808100</v>
      </c>
      <c r="D23" s="28" t="s">
        <v>113</v>
      </c>
      <c r="E23" s="239">
        <v>2442071.88</v>
      </c>
      <c r="F23" s="251"/>
      <c r="G23" s="252"/>
      <c r="H23" s="251"/>
      <c r="I23" s="253"/>
      <c r="J23" s="32"/>
      <c r="K23" s="26" t="s">
        <v>10</v>
      </c>
      <c r="L23" s="173">
        <f>+L10</f>
        <v>14741098</v>
      </c>
      <c r="M23" s="202">
        <v>0.16167000000000001</v>
      </c>
      <c r="N23" s="172">
        <f t="shared" ref="N23:N28" si="3">L23*M23</f>
        <v>2383193.31366</v>
      </c>
      <c r="O23" s="26" t="s">
        <v>10</v>
      </c>
      <c r="P23" s="173">
        <f>+P10</f>
        <v>7153037</v>
      </c>
      <c r="Q23" s="202">
        <v>0.16148000000000001</v>
      </c>
      <c r="R23" s="172">
        <f t="shared" ref="R23" si="4">P23*Q23</f>
        <v>1155072.4147600001</v>
      </c>
    </row>
    <row r="24" spans="2:18" ht="15.6" customHeight="1">
      <c r="B24" s="177" t="s">
        <v>149</v>
      </c>
      <c r="C24" s="28">
        <v>808200</v>
      </c>
      <c r="D24" s="28" t="s">
        <v>113</v>
      </c>
      <c r="E24" s="239">
        <v>-43528.85</v>
      </c>
      <c r="F24" s="251"/>
      <c r="G24" s="252"/>
      <c r="H24" s="251"/>
      <c r="I24" s="253"/>
      <c r="J24" s="32"/>
      <c r="K24" s="26" t="s">
        <v>42</v>
      </c>
      <c r="L24" s="173">
        <f t="shared" ref="L24:L28" si="5">+L11</f>
        <v>24419</v>
      </c>
      <c r="M24" s="202">
        <v>0.16167000000000001</v>
      </c>
      <c r="N24" s="172">
        <f t="shared" si="3"/>
        <v>3947.8197300000002</v>
      </c>
      <c r="O24" s="26" t="s">
        <v>11</v>
      </c>
      <c r="P24" s="173">
        <f t="shared" ref="P24:P27" si="6">+P11</f>
        <v>2841316</v>
      </c>
      <c r="Q24" s="202">
        <v>0.16148000000000001</v>
      </c>
      <c r="R24" s="172">
        <f>P24*Q24</f>
        <v>458815.70768000005</v>
      </c>
    </row>
    <row r="25" spans="2:18" ht="15.6" customHeight="1">
      <c r="B25" s="177" t="s">
        <v>150</v>
      </c>
      <c r="C25" s="28">
        <v>811000</v>
      </c>
      <c r="D25" s="28" t="s">
        <v>113</v>
      </c>
      <c r="E25" s="239">
        <v>-41461.96</v>
      </c>
      <c r="F25" s="251"/>
      <c r="G25" s="252"/>
      <c r="H25" s="251"/>
      <c r="I25" s="253"/>
      <c r="J25" s="32"/>
      <c r="K25" s="26" t="s">
        <v>11</v>
      </c>
      <c r="L25" s="173">
        <f t="shared" si="5"/>
        <v>6893495</v>
      </c>
      <c r="M25" s="202">
        <v>0.16167000000000001</v>
      </c>
      <c r="N25" s="172">
        <f t="shared" si="3"/>
        <v>1114471.33665</v>
      </c>
      <c r="O25" s="26" t="s">
        <v>12</v>
      </c>
      <c r="P25" s="173">
        <f t="shared" si="6"/>
        <v>826</v>
      </c>
      <c r="Q25" s="202">
        <v>0.16148000000000001</v>
      </c>
      <c r="R25" s="172">
        <f t="shared" ref="R25:R27" si="7">P25*Q25</f>
        <v>133.38248000000002</v>
      </c>
    </row>
    <row r="26" spans="2:18" ht="15.6" customHeight="1">
      <c r="B26" s="177" t="s">
        <v>151</v>
      </c>
      <c r="C26" s="28">
        <v>483000</v>
      </c>
      <c r="D26" s="28" t="s">
        <v>113</v>
      </c>
      <c r="E26" s="239">
        <v>-3591215.15</v>
      </c>
      <c r="F26" s="254" t="s">
        <v>61</v>
      </c>
      <c r="G26" s="252"/>
      <c r="H26" s="251"/>
      <c r="I26" s="253"/>
      <c r="J26" s="32"/>
      <c r="K26" s="26" t="s">
        <v>12</v>
      </c>
      <c r="L26" s="173">
        <f t="shared" si="5"/>
        <v>101451</v>
      </c>
      <c r="M26" s="202">
        <v>0.16167000000000001</v>
      </c>
      <c r="N26" s="172">
        <f t="shared" si="3"/>
        <v>16401.583170000002</v>
      </c>
      <c r="O26" s="26" t="s">
        <v>13</v>
      </c>
      <c r="P26" s="173">
        <f t="shared" si="6"/>
        <v>0</v>
      </c>
      <c r="Q26" s="202">
        <v>0.16148000000000001</v>
      </c>
      <c r="R26" s="172">
        <f t="shared" si="7"/>
        <v>0</v>
      </c>
    </row>
    <row r="27" spans="2:18" ht="15.6" customHeight="1">
      <c r="B27" s="177" t="s">
        <v>152</v>
      </c>
      <c r="C27" s="28">
        <v>483600</v>
      </c>
      <c r="D27" s="28" t="s">
        <v>113</v>
      </c>
      <c r="E27" s="239">
        <v>-166871.25</v>
      </c>
      <c r="F27" s="251"/>
      <c r="G27" s="252"/>
      <c r="H27" s="251"/>
      <c r="I27" s="253"/>
      <c r="J27" s="32"/>
      <c r="K27" s="26" t="s">
        <v>13</v>
      </c>
      <c r="L27" s="173">
        <f t="shared" si="5"/>
        <v>0</v>
      </c>
      <c r="M27" s="202">
        <v>0.16167000000000001</v>
      </c>
      <c r="N27" s="172">
        <f t="shared" si="3"/>
        <v>0</v>
      </c>
      <c r="O27" s="26" t="s">
        <v>14</v>
      </c>
      <c r="P27" s="173">
        <f t="shared" si="6"/>
        <v>0</v>
      </c>
      <c r="Q27" s="202">
        <v>0.16148000000000001</v>
      </c>
      <c r="R27" s="172">
        <f t="shared" si="7"/>
        <v>0</v>
      </c>
    </row>
    <row r="28" spans="2:18" ht="15.6" customHeight="1" thickBot="1">
      <c r="B28" s="177" t="s">
        <v>153</v>
      </c>
      <c r="C28" s="28">
        <v>483730</v>
      </c>
      <c r="D28" s="28" t="s">
        <v>113</v>
      </c>
      <c r="E28" s="239">
        <v>-1877941.99</v>
      </c>
      <c r="F28" s="251"/>
      <c r="G28" s="252"/>
      <c r="H28" s="251"/>
      <c r="I28" s="253"/>
      <c r="J28" s="32"/>
      <c r="K28" s="26" t="s">
        <v>14</v>
      </c>
      <c r="L28" s="173">
        <f t="shared" si="5"/>
        <v>183531</v>
      </c>
      <c r="M28" s="202">
        <v>0.16167000000000001</v>
      </c>
      <c r="N28" s="172">
        <f t="shared" si="3"/>
        <v>29671.456770000001</v>
      </c>
      <c r="O28" s="25" t="s">
        <v>31</v>
      </c>
      <c r="P28" s="143">
        <f>SUM(P23:P27)</f>
        <v>9995179</v>
      </c>
      <c r="Q28" s="144"/>
      <c r="R28" s="23">
        <f>SUM(R23:R27)</f>
        <v>1614021.50492</v>
      </c>
    </row>
    <row r="29" spans="2:18" ht="15.6" customHeight="1" thickTop="1" thickBot="1">
      <c r="B29" s="177" t="s">
        <v>154</v>
      </c>
      <c r="C29" s="28">
        <v>495028</v>
      </c>
      <c r="D29" s="28" t="s">
        <v>113</v>
      </c>
      <c r="E29" s="239">
        <v>-375000</v>
      </c>
      <c r="F29" s="251"/>
      <c r="G29" s="252"/>
      <c r="H29" s="251"/>
      <c r="I29" s="253"/>
      <c r="J29" s="32"/>
      <c r="K29" s="25" t="s">
        <v>31</v>
      </c>
      <c r="L29" s="143">
        <f>SUM(L23:L28)</f>
        <v>21943994</v>
      </c>
      <c r="M29" s="144"/>
      <c r="N29" s="151">
        <f>SUM(N23:N28)</f>
        <v>3547685.5099800001</v>
      </c>
      <c r="O29" s="25"/>
      <c r="P29" s="203">
        <v>9995179</v>
      </c>
      <c r="Q29" s="17"/>
      <c r="R29" s="148"/>
    </row>
    <row r="30" spans="2:18" ht="15.6" customHeight="1" thickTop="1">
      <c r="B30" s="177" t="s">
        <v>112</v>
      </c>
      <c r="C30" s="28">
        <v>495000</v>
      </c>
      <c r="D30" s="28" t="s">
        <v>113</v>
      </c>
      <c r="E30" s="243">
        <v>-2212</v>
      </c>
      <c r="F30" s="255"/>
      <c r="G30" s="256"/>
      <c r="H30" s="255"/>
      <c r="I30" s="257"/>
      <c r="J30" s="32"/>
      <c r="K30" s="16"/>
      <c r="L30" s="203">
        <v>21943994</v>
      </c>
      <c r="M30" s="17"/>
      <c r="N30" s="152"/>
      <c r="O30" s="25"/>
      <c r="P30" s="142">
        <f>P28-P29</f>
        <v>0</v>
      </c>
      <c r="Q30" s="17" t="s">
        <v>23</v>
      </c>
      <c r="R30" s="24"/>
    </row>
    <row r="31" spans="2:18" ht="15.6" customHeight="1" thickBot="1">
      <c r="B31" s="195" t="s">
        <v>26</v>
      </c>
      <c r="C31" s="28"/>
      <c r="D31" s="28"/>
      <c r="E31" s="241">
        <f>-E13</f>
        <v>30944.41</v>
      </c>
      <c r="F31" s="251"/>
      <c r="G31" s="252"/>
      <c r="H31" s="251"/>
      <c r="I31" s="253"/>
      <c r="J31" s="32"/>
      <c r="K31" s="18"/>
      <c r="L31" s="149">
        <f>L29-L30</f>
        <v>0</v>
      </c>
      <c r="M31" s="19" t="s">
        <v>23</v>
      </c>
      <c r="N31" s="150"/>
      <c r="O31" s="153"/>
      <c r="P31" s="154"/>
      <c r="Q31" s="155"/>
      <c r="R31" s="156"/>
    </row>
    <row r="32" spans="2:18" ht="15.6" customHeight="1" thickBot="1">
      <c r="B32" s="191" t="s">
        <v>27</v>
      </c>
      <c r="C32" s="3"/>
      <c r="D32" s="3"/>
      <c r="E32" s="240">
        <f>SUM(E17:E31)</f>
        <v>4019791.26</v>
      </c>
      <c r="F32" s="258"/>
      <c r="G32" s="231">
        <f>E32*G8</f>
        <v>2761998.5747460001</v>
      </c>
      <c r="H32" s="140"/>
      <c r="I32" s="221">
        <f>E32*I8</f>
        <v>1257792.6852539997</v>
      </c>
      <c r="J32" s="32"/>
    </row>
    <row r="33" spans="1:17" ht="15.6" customHeight="1">
      <c r="B33" s="177" t="s">
        <v>111</v>
      </c>
      <c r="C33" s="28">
        <v>495000</v>
      </c>
      <c r="D33" s="3" t="s">
        <v>118</v>
      </c>
      <c r="E33" s="243">
        <v>-28878</v>
      </c>
      <c r="F33" s="255"/>
      <c r="G33" s="231">
        <f>E33</f>
        <v>-28878</v>
      </c>
      <c r="H33" s="140"/>
      <c r="I33" s="221"/>
      <c r="J33" s="32"/>
      <c r="K33" s="20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6"/>
      <c r="Q33" s="1"/>
    </row>
    <row r="34" spans="1:17" ht="15.6" customHeight="1" thickBot="1">
      <c r="B34" s="196" t="s">
        <v>98</v>
      </c>
      <c r="C34" s="28">
        <v>495000</v>
      </c>
      <c r="D34" s="3" t="s">
        <v>119</v>
      </c>
      <c r="E34" s="243">
        <v>0</v>
      </c>
      <c r="F34" s="255"/>
      <c r="G34" s="231"/>
      <c r="H34" s="140"/>
      <c r="I34" s="221">
        <f>E34</f>
        <v>0</v>
      </c>
      <c r="J34" s="32"/>
      <c r="K34" s="189"/>
      <c r="L34" s="13" t="s">
        <v>2</v>
      </c>
      <c r="M34" s="13" t="s">
        <v>1</v>
      </c>
      <c r="N34" s="13" t="s">
        <v>2</v>
      </c>
      <c r="O34" s="13" t="s">
        <v>1</v>
      </c>
      <c r="P34" s="216" t="s">
        <v>126</v>
      </c>
      <c r="Q34" s="1"/>
    </row>
    <row r="35" spans="1:17" ht="15.6" customHeight="1">
      <c r="B35" s="16" t="s">
        <v>120</v>
      </c>
      <c r="C35" s="28">
        <v>804000</v>
      </c>
      <c r="D35" s="3" t="s">
        <v>118</v>
      </c>
      <c r="E35" s="239">
        <v>337415.56</v>
      </c>
      <c r="F35" s="251"/>
      <c r="G35" s="231">
        <f>E35</f>
        <v>337415.56</v>
      </c>
      <c r="H35" s="140"/>
      <c r="I35" s="221"/>
      <c r="J35" s="32"/>
      <c r="K35" s="15" t="s">
        <v>128</v>
      </c>
      <c r="L35" s="141">
        <f>$F$39</f>
        <v>1552157.450214</v>
      </c>
      <c r="M35" s="141">
        <f>G39</f>
        <v>3070536.1347460002</v>
      </c>
      <c r="N35" s="141">
        <f>$H$39</f>
        <v>703557.48978599999</v>
      </c>
      <c r="O35" s="141">
        <f>I39</f>
        <v>1419928.8352539996</v>
      </c>
      <c r="P35" s="215">
        <f>SUM(L35:O35)-E39</f>
        <v>0</v>
      </c>
      <c r="Q35" s="1"/>
    </row>
    <row r="36" spans="1:17" ht="15.6" customHeight="1" thickBot="1">
      <c r="B36" s="16" t="s">
        <v>121</v>
      </c>
      <c r="C36" s="28">
        <v>804000</v>
      </c>
      <c r="D36" s="3" t="s">
        <v>119</v>
      </c>
      <c r="E36" s="239">
        <v>162136.15</v>
      </c>
      <c r="F36" s="251"/>
      <c r="G36" s="231"/>
      <c r="H36" s="140"/>
      <c r="I36" s="221">
        <f>E36</f>
        <v>162136.15</v>
      </c>
      <c r="J36" s="32"/>
      <c r="K36" s="15" t="s">
        <v>131</v>
      </c>
      <c r="L36" s="204">
        <f>-$N$17</f>
        <v>-2080216.9221600003</v>
      </c>
      <c r="M36" s="204">
        <f>-N29</f>
        <v>-3547685.5099800001</v>
      </c>
      <c r="N36" s="204">
        <f>-$R$15</f>
        <v>-894768.42408000003</v>
      </c>
      <c r="O36" s="204">
        <f>-R28</f>
        <v>-1614021.50492</v>
      </c>
      <c r="P36" s="215">
        <f>SUM(L36:O36)+N17+N29+R15+R28</f>
        <v>0</v>
      </c>
      <c r="Q36" s="1"/>
    </row>
    <row r="37" spans="1:17" ht="15.6" customHeight="1" thickBot="1">
      <c r="B37" s="191" t="s">
        <v>134</v>
      </c>
      <c r="C37" s="28"/>
      <c r="D37" s="3"/>
      <c r="E37" s="240">
        <f>SUM(E32:E36)</f>
        <v>4490464.97</v>
      </c>
      <c r="F37" s="232"/>
      <c r="G37" s="234"/>
      <c r="H37" s="232"/>
      <c r="I37" s="194"/>
      <c r="J37" s="32"/>
      <c r="K37" s="191" t="s">
        <v>129</v>
      </c>
      <c r="L37" s="146">
        <f t="shared" ref="L37:O37" si="8">SUM(L35:L36)</f>
        <v>-528059.47194600035</v>
      </c>
      <c r="M37" s="146">
        <f>SUM(M35:M36)</f>
        <v>-477149.37523399992</v>
      </c>
      <c r="N37" s="146">
        <f t="shared" si="8"/>
        <v>-191210.93429400004</v>
      </c>
      <c r="O37" s="146">
        <f t="shared" si="8"/>
        <v>-194092.66966600041</v>
      </c>
      <c r="P37" s="207"/>
      <c r="Q37" s="1"/>
    </row>
    <row r="38" spans="1:17" ht="15.6" customHeight="1" thickBot="1">
      <c r="B38" s="15"/>
      <c r="C38" s="9"/>
      <c r="D38" s="9"/>
      <c r="E38" s="244"/>
      <c r="F38" s="235"/>
      <c r="G38" s="236"/>
      <c r="H38" s="235"/>
      <c r="I38" s="197"/>
      <c r="J38" s="32"/>
      <c r="K38" s="208"/>
      <c r="L38" s="163"/>
      <c r="M38" s="7"/>
      <c r="N38" s="1"/>
      <c r="O38" s="212"/>
      <c r="P38" s="209"/>
      <c r="Q38" s="1"/>
    </row>
    <row r="39" spans="1:17" ht="15.6" customHeight="1" thickBot="1">
      <c r="B39" s="198" t="s">
        <v>125</v>
      </c>
      <c r="C39" s="199"/>
      <c r="D39" s="199"/>
      <c r="E39" s="240">
        <f>E37+E14</f>
        <v>6746179.9100000001</v>
      </c>
      <c r="F39" s="246">
        <f>SUM(F14:F37)</f>
        <v>1552157.450214</v>
      </c>
      <c r="G39" s="247">
        <f t="shared" ref="G39:I39" si="9">SUM(G14:G37)</f>
        <v>3070536.1347460002</v>
      </c>
      <c r="H39" s="246">
        <f t="shared" si="9"/>
        <v>703557.48978599999</v>
      </c>
      <c r="I39" s="200">
        <f t="shared" si="9"/>
        <v>1419928.8352539996</v>
      </c>
      <c r="J39" s="32"/>
      <c r="K39" s="210"/>
      <c r="L39" s="213" t="s">
        <v>36</v>
      </c>
      <c r="M39" s="211">
        <f>SUM(L37:M37)</f>
        <v>-1005208.8471800003</v>
      </c>
      <c r="N39" s="214" t="s">
        <v>37</v>
      </c>
      <c r="O39" s="211">
        <f>SUM(N37:O37)</f>
        <v>-385303.60396000044</v>
      </c>
      <c r="P39" s="30"/>
      <c r="Q39" s="1"/>
    </row>
    <row r="40" spans="1:17" ht="15.6" customHeight="1">
      <c r="B40" s="32"/>
      <c r="C40" s="10"/>
      <c r="D40" s="10"/>
      <c r="E40" s="130"/>
      <c r="F40" s="130"/>
      <c r="G40" s="130"/>
      <c r="H40" s="130"/>
      <c r="I40" s="130"/>
      <c r="J40" s="32"/>
      <c r="M40" s="29"/>
      <c r="Q40" s="1"/>
    </row>
    <row r="41" spans="1:17" ht="15.6" customHeight="1">
      <c r="A41" s="32"/>
      <c r="B41" s="129"/>
      <c r="C41" s="10"/>
      <c r="D41" s="11" t="s">
        <v>84</v>
      </c>
      <c r="E41" s="181">
        <v>6746465.0800000001</v>
      </c>
      <c r="F41" s="130"/>
      <c r="G41" s="130"/>
      <c r="H41" s="130"/>
      <c r="I41" s="130"/>
      <c r="J41" s="32"/>
      <c r="P41" s="2"/>
    </row>
    <row r="42" spans="1:17" ht="15.6" customHeight="1">
      <c r="B42" s="185"/>
      <c r="C42" s="185"/>
      <c r="D42" s="11" t="s">
        <v>34</v>
      </c>
      <c r="E42" s="140">
        <f>ROUND(E39-E41,2)</f>
        <v>-285.17</v>
      </c>
      <c r="F42" s="220"/>
      <c r="G42" s="220"/>
      <c r="H42" s="220"/>
      <c r="I42" s="220"/>
    </row>
    <row r="43" spans="1:17" ht="15.6" customHeight="1">
      <c r="B43" s="185"/>
      <c r="C43" s="185"/>
      <c r="E43" s="160"/>
      <c r="F43" s="220"/>
      <c r="G43" s="220"/>
      <c r="H43" s="220"/>
      <c r="I43" s="220"/>
    </row>
    <row r="44" spans="1:17" ht="15.6" customHeight="1">
      <c r="B44" s="185"/>
      <c r="C44" s="185"/>
      <c r="E44" s="160"/>
      <c r="F44" s="220"/>
      <c r="G44" s="220"/>
      <c r="H44" s="220"/>
      <c r="I44" s="220"/>
    </row>
    <row r="45" spans="1:17" ht="15.6" customHeight="1">
      <c r="B45" s="185"/>
      <c r="C45" s="185"/>
      <c r="E45" s="160"/>
      <c r="F45" s="220"/>
      <c r="G45" s="220"/>
      <c r="H45" s="220"/>
      <c r="I45" s="220"/>
    </row>
    <row r="46" spans="1:17" ht="15.75">
      <c r="A46" s="184" t="s">
        <v>60</v>
      </c>
      <c r="B46" s="186">
        <f>E17</f>
        <v>8761189.7200000007</v>
      </c>
      <c r="C46" s="186" t="s">
        <v>122</v>
      </c>
      <c r="E46" s="31"/>
    </row>
    <row r="47" spans="1:17" ht="15.75">
      <c r="A47" s="184"/>
      <c r="B47" s="186">
        <v>8761181.9499999993</v>
      </c>
      <c r="C47" s="186" t="s">
        <v>123</v>
      </c>
      <c r="D47" s="132"/>
      <c r="E47" s="32"/>
    </row>
    <row r="48" spans="1:17" ht="15.75">
      <c r="A48" s="184"/>
      <c r="B48" s="262">
        <f>B46-B47</f>
        <v>7.7700000014156103</v>
      </c>
      <c r="C48" s="187" t="s">
        <v>124</v>
      </c>
      <c r="E48" s="31"/>
    </row>
    <row r="49" spans="1:5" ht="15.75">
      <c r="A49" s="184"/>
      <c r="E49" s="31"/>
    </row>
    <row r="50" spans="1:5">
      <c r="B50" s="186"/>
      <c r="C50" s="186"/>
      <c r="E50" s="31"/>
    </row>
    <row r="51" spans="1:5" ht="15.75">
      <c r="A51" s="184" t="s">
        <v>61</v>
      </c>
      <c r="B51" s="186">
        <f>E26</f>
        <v>-3591215.15</v>
      </c>
      <c r="C51" s="186" t="s">
        <v>122</v>
      </c>
      <c r="E51" s="31"/>
    </row>
    <row r="52" spans="1:5">
      <c r="A52" s="185"/>
      <c r="B52" s="186">
        <f>-3599910.23+8988.03</f>
        <v>-3590922.2</v>
      </c>
      <c r="C52" s="186" t="s">
        <v>123</v>
      </c>
      <c r="E52" s="31"/>
    </row>
    <row r="53" spans="1:5" ht="15.75">
      <c r="A53" s="185"/>
      <c r="B53" s="262">
        <f>B51-B52</f>
        <v>-292.9499999997206</v>
      </c>
      <c r="C53" s="187"/>
      <c r="E53" s="31"/>
    </row>
    <row r="54" spans="1:5" ht="15.75">
      <c r="A54" s="185"/>
      <c r="B54" s="261">
        <v>-2.36</v>
      </c>
      <c r="C54" s="187" t="s">
        <v>124</v>
      </c>
      <c r="E54" s="31"/>
    </row>
    <row r="55" spans="1:5" ht="15.75">
      <c r="B55" s="186">
        <v>295.31</v>
      </c>
      <c r="C55" s="187" t="s">
        <v>135</v>
      </c>
      <c r="E55" s="31"/>
    </row>
    <row r="56" spans="1:5">
      <c r="B56" s="261">
        <f>SUM(B53:B55)</f>
        <v>2.7938540370087139E-10</v>
      </c>
      <c r="C56" s="186"/>
      <c r="E56" s="31"/>
    </row>
    <row r="57" spans="1:5">
      <c r="E57" s="31"/>
    </row>
    <row r="58" spans="1:5">
      <c r="E58" s="31"/>
    </row>
    <row r="59" spans="1:5">
      <c r="E59" s="31"/>
    </row>
    <row r="60" spans="1:5">
      <c r="E60" s="31"/>
    </row>
    <row r="61" spans="1:5">
      <c r="E61" s="31"/>
    </row>
    <row r="62" spans="1:5">
      <c r="E62" s="31"/>
    </row>
    <row r="63" spans="1:5">
      <c r="E63" s="31"/>
    </row>
    <row r="64" spans="1:5">
      <c r="E64" s="31"/>
    </row>
    <row r="65" spans="5:5">
      <c r="E65" s="31"/>
    </row>
    <row r="66" spans="5:5">
      <c r="E66" s="31"/>
    </row>
    <row r="67" spans="5:5">
      <c r="E67" s="31"/>
    </row>
    <row r="68" spans="5:5">
      <c r="E68" s="31"/>
    </row>
    <row r="69" spans="5:5">
      <c r="E69" s="31"/>
    </row>
    <row r="70" spans="5:5">
      <c r="E70" s="31"/>
    </row>
    <row r="71" spans="5:5">
      <c r="E71" s="31"/>
    </row>
    <row r="72" spans="5:5">
      <c r="E72" s="31"/>
    </row>
    <row r="73" spans="5:5">
      <c r="E73" s="31"/>
    </row>
    <row r="74" spans="5:5">
      <c r="E74" s="31"/>
    </row>
    <row r="75" spans="5:5">
      <c r="E75" s="31"/>
    </row>
    <row r="76" spans="5:5">
      <c r="E76" s="31"/>
    </row>
    <row r="1401" spans="4:4">
      <c r="D1401" s="31">
        <v>-2130</v>
      </c>
    </row>
    <row r="1409" spans="4:4">
      <c r="D1409" s="31">
        <f>7004298-2130</f>
        <v>7002168</v>
      </c>
    </row>
  </sheetData>
  <sortState xmlns:xlrd2="http://schemas.microsoft.com/office/spreadsheetml/2017/richdata2" ref="D12:D26">
    <sortCondition ref="D12:D26"/>
  </sortState>
  <mergeCells count="5">
    <mergeCell ref="K5:N5"/>
    <mergeCell ref="O5:R5"/>
    <mergeCell ref="N1:O1"/>
    <mergeCell ref="F5:G5"/>
    <mergeCell ref="H5:I5"/>
  </mergeCells>
  <conditionalFormatting sqref="D43:D45">
    <cfRule type="cellIs" dxfId="55" priority="33" operator="equal">
      <formula>"ERROR"</formula>
    </cfRule>
  </conditionalFormatting>
  <conditionalFormatting sqref="D43:D45">
    <cfRule type="cellIs" dxfId="54" priority="32" operator="equal">
      <formula>"ERROR"</formula>
    </cfRule>
  </conditionalFormatting>
  <conditionalFormatting sqref="E47:I47">
    <cfRule type="cellIs" dxfId="53" priority="31" operator="equal">
      <formula>"ERROR"</formula>
    </cfRule>
  </conditionalFormatting>
  <conditionalFormatting sqref="E47:I47">
    <cfRule type="cellIs" dxfId="52" priority="30" operator="equal">
      <formula>"ERROR"</formula>
    </cfRule>
  </conditionalFormatting>
  <conditionalFormatting sqref="P31">
    <cfRule type="cellIs" dxfId="51" priority="29" operator="notEqual">
      <formula>0</formula>
    </cfRule>
  </conditionalFormatting>
  <conditionalFormatting sqref="L19">
    <cfRule type="cellIs" dxfId="50" priority="27" stopIfTrue="1" operator="equal">
      <formula>0</formula>
    </cfRule>
    <cfRule type="cellIs" dxfId="49" priority="28" stopIfTrue="1" operator="notEqual">
      <formula>0</formula>
    </cfRule>
  </conditionalFormatting>
  <conditionalFormatting sqref="L19">
    <cfRule type="cellIs" dxfId="48" priority="25" stopIfTrue="1" operator="equal">
      <formula>0</formula>
    </cfRule>
    <cfRule type="cellIs" dxfId="47" priority="26" stopIfTrue="1" operator="notEqual">
      <formula>0</formula>
    </cfRule>
  </conditionalFormatting>
  <conditionalFormatting sqref="L31">
    <cfRule type="cellIs" dxfId="46" priority="23" stopIfTrue="1" operator="equal">
      <formula>0</formula>
    </cfRule>
    <cfRule type="cellIs" dxfId="45" priority="24" stopIfTrue="1" operator="notEqual">
      <formula>0</formula>
    </cfRule>
  </conditionalFormatting>
  <conditionalFormatting sqref="L31">
    <cfRule type="cellIs" dxfId="44" priority="21" stopIfTrue="1" operator="equal">
      <formula>0</formula>
    </cfRule>
    <cfRule type="cellIs" dxfId="43" priority="22" stopIfTrue="1" operator="notEqual">
      <formula>0</formula>
    </cfRule>
  </conditionalFormatting>
  <conditionalFormatting sqref="P17">
    <cfRule type="cellIs" dxfId="42" priority="19" stopIfTrue="1" operator="equal">
      <formula>0</formula>
    </cfRule>
    <cfRule type="cellIs" dxfId="41" priority="20" stopIfTrue="1" operator="notEqual">
      <formula>0</formula>
    </cfRule>
  </conditionalFormatting>
  <conditionalFormatting sqref="P17">
    <cfRule type="cellIs" dxfId="40" priority="17" stopIfTrue="1" operator="equal">
      <formula>0</formula>
    </cfRule>
    <cfRule type="cellIs" dxfId="39" priority="18" stopIfTrue="1" operator="notEqual">
      <formula>0</formula>
    </cfRule>
  </conditionalFormatting>
  <conditionalFormatting sqref="P30">
    <cfRule type="cellIs" dxfId="38" priority="15" stopIfTrue="1" operator="equal">
      <formula>0</formula>
    </cfRule>
    <cfRule type="cellIs" dxfId="37" priority="16" stopIfTrue="1" operator="notEqual">
      <formula>0</formula>
    </cfRule>
  </conditionalFormatting>
  <conditionalFormatting sqref="P30">
    <cfRule type="cellIs" dxfId="36" priority="13" stopIfTrue="1" operator="equal">
      <formula>0</formula>
    </cfRule>
    <cfRule type="cellIs" dxfId="35" priority="14" stopIfTrue="1" operator="notEqual">
      <formula>0</formula>
    </cfRule>
  </conditionalFormatting>
  <conditionalFormatting sqref="P35:P36">
    <cfRule type="cellIs" dxfId="34" priority="11" stopIfTrue="1" operator="equal">
      <formula>0</formula>
    </cfRule>
    <cfRule type="cellIs" dxfId="33" priority="12" stopIfTrue="1" operator="notEqual">
      <formula>0</formula>
    </cfRule>
  </conditionalFormatting>
  <conditionalFormatting sqref="P35:P36">
    <cfRule type="cellIs" dxfId="32" priority="9" stopIfTrue="1" operator="equal">
      <formula>0</formula>
    </cfRule>
    <cfRule type="cellIs" dxfId="31" priority="10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customProperties>
    <customPr name="xxe4aP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491DC-509A-4A1E-BEAB-C8D0EE721186}">
  <sheetPr>
    <pageSetUpPr fitToPage="1"/>
  </sheetPr>
  <dimension ref="A1:R1398"/>
  <sheetViews>
    <sheetView tabSelected="1" zoomScale="60" zoomScaleNormal="60" workbookViewId="0">
      <selection activeCell="I49" sqref="I49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24" style="8" bestFit="1" customWidth="1"/>
    <col min="6" max="6" width="19.140625" style="32" bestFit="1" customWidth="1"/>
    <col min="7" max="7" width="19.7109375" style="32" bestFit="1" customWidth="1"/>
    <col min="8" max="8" width="17" style="32" bestFit="1" customWidth="1"/>
    <col min="9" max="9" width="17.5703125" style="32" customWidth="1"/>
    <col min="10" max="10" width="4.85546875" style="31" bestFit="1" customWidth="1"/>
    <col min="11" max="11" width="29" style="31" bestFit="1" customWidth="1"/>
    <col min="12" max="12" width="21.28515625" style="31" bestFit="1" customWidth="1"/>
    <col min="13" max="13" width="20.140625" style="31" bestFit="1" customWidth="1"/>
    <col min="14" max="14" width="23.42578125" style="31" bestFit="1" customWidth="1"/>
    <col min="15" max="15" width="24.140625" style="31" bestFit="1" customWidth="1"/>
    <col min="16" max="16" width="16.85546875" style="31" bestFit="1" customWidth="1"/>
    <col min="17" max="17" width="11.5703125" style="31" bestFit="1" customWidth="1"/>
    <col min="18" max="18" width="23" style="31" bestFit="1" customWidth="1"/>
    <col min="19" max="16384" width="16" style="31"/>
  </cols>
  <sheetData>
    <row r="1" spans="2:18" ht="15.6" customHeight="1">
      <c r="B1" s="179" t="s">
        <v>132</v>
      </c>
      <c r="C1" s="180">
        <v>202104</v>
      </c>
      <c r="D1" s="178"/>
      <c r="E1" s="133"/>
      <c r="F1" s="133"/>
      <c r="G1" s="133"/>
      <c r="H1" s="133"/>
      <c r="I1" s="133"/>
      <c r="K1" s="174" t="s">
        <v>114</v>
      </c>
      <c r="L1" s="182" t="s">
        <v>115</v>
      </c>
      <c r="N1" s="279"/>
      <c r="O1" s="279"/>
    </row>
    <row r="2" spans="2:18" ht="15.6" customHeight="1">
      <c r="D2" s="133"/>
      <c r="E2" s="133"/>
      <c r="F2" s="133"/>
      <c r="G2" s="133"/>
      <c r="H2" s="133"/>
      <c r="I2" s="133"/>
      <c r="K2" s="175"/>
      <c r="L2" s="176" t="s">
        <v>116</v>
      </c>
      <c r="N2" s="268"/>
      <c r="O2" s="268"/>
    </row>
    <row r="3" spans="2:18" ht="15.6" customHeight="1">
      <c r="D3" s="133"/>
      <c r="E3" s="133"/>
      <c r="F3" s="133"/>
      <c r="G3" s="133"/>
      <c r="H3" s="133"/>
      <c r="I3" s="133"/>
      <c r="K3" s="175"/>
      <c r="L3" s="183"/>
      <c r="N3" s="269"/>
      <c r="O3" s="269"/>
    </row>
    <row r="4" spans="2:18" ht="15.6" customHeight="1" thickBot="1">
      <c r="D4" s="133"/>
      <c r="E4" s="133"/>
      <c r="F4" s="133"/>
      <c r="G4" s="133"/>
      <c r="H4" s="133"/>
      <c r="I4" s="133"/>
      <c r="K4" s="175"/>
      <c r="L4" s="183"/>
    </row>
    <row r="5" spans="2:18" ht="15.6" customHeight="1" thickBot="1">
      <c r="B5" s="188"/>
      <c r="C5" s="14"/>
      <c r="D5" s="14"/>
      <c r="E5" s="245" t="s">
        <v>17</v>
      </c>
      <c r="F5" s="276" t="s">
        <v>32</v>
      </c>
      <c r="G5" s="277"/>
      <c r="H5" s="276" t="s">
        <v>33</v>
      </c>
      <c r="I5" s="278"/>
      <c r="J5" s="32"/>
      <c r="K5" s="271" t="s">
        <v>32</v>
      </c>
      <c r="L5" s="272"/>
      <c r="M5" s="272"/>
      <c r="N5" s="273"/>
      <c r="O5" s="271" t="s">
        <v>33</v>
      </c>
      <c r="P5" s="272"/>
      <c r="Q5" s="272"/>
      <c r="R5" s="273"/>
    </row>
    <row r="6" spans="2:18" ht="15.6" customHeight="1" thickBot="1">
      <c r="B6" s="189" t="s">
        <v>18</v>
      </c>
      <c r="C6" s="3"/>
      <c r="D6" s="3"/>
      <c r="E6" s="237" t="s">
        <v>130</v>
      </c>
      <c r="F6" s="224" t="s">
        <v>2</v>
      </c>
      <c r="G6" s="225" t="s">
        <v>1</v>
      </c>
      <c r="H6" s="224" t="s">
        <v>2</v>
      </c>
      <c r="I6" s="223" t="s">
        <v>1</v>
      </c>
      <c r="J6" s="32"/>
      <c r="K6" s="136" t="s">
        <v>24</v>
      </c>
      <c r="L6" s="134" t="s">
        <v>6</v>
      </c>
      <c r="M6" s="134" t="s">
        <v>6</v>
      </c>
      <c r="N6" s="134" t="s">
        <v>6</v>
      </c>
      <c r="O6" s="136" t="s">
        <v>24</v>
      </c>
      <c r="P6" s="134" t="s">
        <v>6</v>
      </c>
      <c r="Q6" s="134" t="s">
        <v>6</v>
      </c>
      <c r="R6" s="168" t="s">
        <v>6</v>
      </c>
    </row>
    <row r="7" spans="2:18" ht="15.6" customHeight="1" thickBot="1">
      <c r="B7" s="15"/>
      <c r="C7" s="3"/>
      <c r="D7" s="3"/>
      <c r="E7" s="238"/>
      <c r="F7" s="226"/>
      <c r="G7" s="227"/>
      <c r="H7" s="226"/>
      <c r="I7" s="12"/>
      <c r="J7" s="32"/>
      <c r="K7" s="137" t="s">
        <v>35</v>
      </c>
      <c r="L7" s="135" t="s">
        <v>22</v>
      </c>
      <c r="M7" s="135" t="s">
        <v>9</v>
      </c>
      <c r="N7" s="135" t="s">
        <v>7</v>
      </c>
      <c r="O7" s="137" t="s">
        <v>35</v>
      </c>
      <c r="P7" s="135" t="s">
        <v>22</v>
      </c>
      <c r="Q7" s="135" t="s">
        <v>9</v>
      </c>
      <c r="R7" s="135" t="s">
        <v>7</v>
      </c>
    </row>
    <row r="8" spans="2:18" ht="15.6" customHeight="1">
      <c r="B8" s="15"/>
      <c r="C8" s="3"/>
      <c r="D8" s="3"/>
      <c r="E8" s="259">
        <f>F8+H8</f>
        <v>1</v>
      </c>
      <c r="F8" s="228">
        <v>0.68810000000000004</v>
      </c>
      <c r="G8" s="229">
        <f>ROUND($L$29/($L$29+$P$28),4)</f>
        <v>0.66559999999999997</v>
      </c>
      <c r="H8" s="228">
        <v>0.31190000000000001</v>
      </c>
      <c r="I8" s="190">
        <f>1-G8</f>
        <v>0.33440000000000003</v>
      </c>
      <c r="J8" s="260"/>
      <c r="K8" s="15"/>
      <c r="L8" s="167"/>
      <c r="M8" s="167"/>
      <c r="N8" s="168"/>
      <c r="O8" s="138"/>
      <c r="P8" s="139"/>
      <c r="Q8" s="139"/>
      <c r="R8" s="27"/>
    </row>
    <row r="9" spans="2:18" ht="15.6" customHeight="1">
      <c r="B9" s="15"/>
      <c r="C9" s="3"/>
      <c r="D9" s="3"/>
      <c r="E9" s="238"/>
      <c r="F9" s="226"/>
      <c r="G9" s="227"/>
      <c r="H9" s="226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18" ht="15.6" customHeight="1">
      <c r="B10" s="177" t="s">
        <v>155</v>
      </c>
      <c r="C10" s="28">
        <v>804001</v>
      </c>
      <c r="D10" s="28" t="s">
        <v>113</v>
      </c>
      <c r="E10" s="239">
        <v>2217053.54</v>
      </c>
      <c r="F10" s="230"/>
      <c r="G10" s="231"/>
      <c r="H10" s="230"/>
      <c r="I10" s="221"/>
      <c r="J10" s="32"/>
      <c r="K10" s="26" t="s">
        <v>10</v>
      </c>
      <c r="L10" s="201">
        <v>8945038</v>
      </c>
      <c r="M10" s="202">
        <v>9.8220000000000002E-2</v>
      </c>
      <c r="N10" s="172">
        <f t="shared" ref="N10:N16" si="0">L10*M10</f>
        <v>878581.63236000005</v>
      </c>
      <c r="O10" s="26" t="s">
        <v>10</v>
      </c>
      <c r="P10" s="201">
        <v>4746418</v>
      </c>
      <c r="Q10" s="202">
        <v>8.9520000000000002E-2</v>
      </c>
      <c r="R10" s="172">
        <f t="shared" ref="R10:R11" si="1">P10*Q10</f>
        <v>424899.33935999998</v>
      </c>
    </row>
    <row r="11" spans="2:18" ht="15.6" customHeight="1" thickBot="1">
      <c r="B11" s="177" t="s">
        <v>156</v>
      </c>
      <c r="C11" s="28">
        <v>804002</v>
      </c>
      <c r="D11" s="28" t="s">
        <v>113</v>
      </c>
      <c r="E11" s="239">
        <v>22092.66</v>
      </c>
      <c r="F11" s="230"/>
      <c r="G11" s="231"/>
      <c r="H11" s="230"/>
      <c r="I11" s="221"/>
      <c r="J11" s="32"/>
      <c r="K11" s="26" t="s">
        <v>42</v>
      </c>
      <c r="L11" s="201">
        <v>17127</v>
      </c>
      <c r="M11" s="202">
        <v>9.8220000000000002E-2</v>
      </c>
      <c r="N11" s="172">
        <f t="shared" si="0"/>
        <v>1682.2139400000001</v>
      </c>
      <c r="O11" s="26" t="s">
        <v>11</v>
      </c>
      <c r="P11" s="201">
        <v>1826242</v>
      </c>
      <c r="Q11" s="202">
        <v>8.9520000000000002E-2</v>
      </c>
      <c r="R11" s="172">
        <f t="shared" si="1"/>
        <v>163485.18384000001</v>
      </c>
    </row>
    <row r="12" spans="2:18" ht="15.6" customHeight="1" thickBot="1">
      <c r="B12" s="191" t="s">
        <v>117</v>
      </c>
      <c r="C12" s="7"/>
      <c r="D12" s="7"/>
      <c r="E12" s="240">
        <f>SUM(E10:E11)</f>
        <v>2239146.2000000002</v>
      </c>
      <c r="F12" s="232"/>
      <c r="G12" s="233"/>
      <c r="H12" s="232"/>
      <c r="I12" s="222"/>
      <c r="J12" s="32"/>
      <c r="K12" s="26" t="s">
        <v>11</v>
      </c>
      <c r="L12" s="201">
        <v>3971924</v>
      </c>
      <c r="M12" s="202">
        <v>8.8349999999999998E-2</v>
      </c>
      <c r="N12" s="172">
        <f t="shared" si="0"/>
        <v>350919.48540000001</v>
      </c>
      <c r="O12" s="26" t="s">
        <v>12</v>
      </c>
      <c r="P12" s="201">
        <v>9636</v>
      </c>
      <c r="Q12" s="202">
        <v>8.9520000000000002E-2</v>
      </c>
      <c r="R12" s="172">
        <f>P12*Q12</f>
        <v>862.61472000000003</v>
      </c>
    </row>
    <row r="13" spans="2:18" ht="15.6" customHeight="1" thickBot="1">
      <c r="B13" s="192" t="s">
        <v>25</v>
      </c>
      <c r="C13" s="1"/>
      <c r="D13" s="1"/>
      <c r="E13" s="241">
        <f>-E11</f>
        <v>-22092.66</v>
      </c>
      <c r="F13" s="230"/>
      <c r="G13" s="231"/>
      <c r="H13" s="230"/>
      <c r="I13" s="221"/>
      <c r="J13" s="32"/>
      <c r="K13" s="26" t="s">
        <v>12</v>
      </c>
      <c r="L13" s="201">
        <v>81963</v>
      </c>
      <c r="M13" s="202">
        <v>8.8349999999999998E-2</v>
      </c>
      <c r="N13" s="172">
        <f t="shared" si="0"/>
        <v>7241.4310500000001</v>
      </c>
      <c r="O13" s="26" t="s">
        <v>13</v>
      </c>
      <c r="P13" s="201">
        <v>0</v>
      </c>
      <c r="Q13" s="202">
        <v>8.9520000000000002E-2</v>
      </c>
      <c r="R13" s="172">
        <f t="shared" ref="R13:R14" si="2">P13*Q13</f>
        <v>0</v>
      </c>
    </row>
    <row r="14" spans="2:18" ht="15.6" customHeight="1" thickBot="1">
      <c r="B14" s="191" t="s">
        <v>133</v>
      </c>
      <c r="C14" s="193"/>
      <c r="D14" s="193"/>
      <c r="E14" s="240">
        <f>SUM(E12:E13)</f>
        <v>2217053.54</v>
      </c>
      <c r="F14" s="248">
        <f>E14*F8</f>
        <v>1525554.5408740002</v>
      </c>
      <c r="G14" s="249"/>
      <c r="H14" s="248">
        <f>E14*H8</f>
        <v>691498.99912599998</v>
      </c>
      <c r="I14" s="250"/>
      <c r="J14" s="32"/>
      <c r="K14" s="26" t="s">
        <v>13</v>
      </c>
      <c r="L14" s="201">
        <v>0</v>
      </c>
      <c r="M14" s="202">
        <v>5.6399999999999999E-2</v>
      </c>
      <c r="N14" s="172">
        <f t="shared" si="0"/>
        <v>0</v>
      </c>
      <c r="O14" s="26" t="s">
        <v>14</v>
      </c>
      <c r="P14" s="201">
        <v>0</v>
      </c>
      <c r="Q14" s="202">
        <v>8.9520000000000002E-2</v>
      </c>
      <c r="R14" s="172">
        <f t="shared" si="2"/>
        <v>0</v>
      </c>
    </row>
    <row r="15" spans="2:18" ht="15.6" customHeight="1" thickBot="1">
      <c r="B15" s="15"/>
      <c r="C15" s="3"/>
      <c r="D15" s="3"/>
      <c r="E15" s="242"/>
      <c r="F15" s="251"/>
      <c r="G15" s="252"/>
      <c r="H15" s="251"/>
      <c r="I15" s="253"/>
      <c r="J15" s="32"/>
      <c r="K15" s="26" t="s">
        <v>14</v>
      </c>
      <c r="L15" s="201">
        <v>86985</v>
      </c>
      <c r="M15" s="202">
        <v>5.6399999999999999E-2</v>
      </c>
      <c r="N15" s="172">
        <f t="shared" si="0"/>
        <v>4905.9539999999997</v>
      </c>
      <c r="O15" s="25" t="s">
        <v>29</v>
      </c>
      <c r="P15" s="143">
        <f>SUM(P10:P14)</f>
        <v>6582296</v>
      </c>
      <c r="Q15" s="144"/>
      <c r="R15" s="23">
        <f>SUM(R10:R14)</f>
        <v>589247.13791999989</v>
      </c>
    </row>
    <row r="16" spans="2:18" ht="15.6" customHeight="1" thickTop="1">
      <c r="B16" s="15"/>
      <c r="C16" s="3"/>
      <c r="D16" s="3"/>
      <c r="E16" s="242"/>
      <c r="F16" s="251"/>
      <c r="G16" s="252"/>
      <c r="H16" s="251"/>
      <c r="I16" s="253"/>
      <c r="J16" s="32"/>
      <c r="K16" s="26" t="s">
        <v>20</v>
      </c>
      <c r="L16" s="201">
        <v>2574153</v>
      </c>
      <c r="M16" s="202">
        <v>5.4000000000000001E-4</v>
      </c>
      <c r="N16" s="172">
        <f t="shared" si="0"/>
        <v>1390.0426199999999</v>
      </c>
      <c r="O16" s="26"/>
      <c r="P16" s="203">
        <v>6582296</v>
      </c>
      <c r="Q16" s="17"/>
      <c r="R16" s="145"/>
    </row>
    <row r="17" spans="2:18" ht="15.6" customHeight="1" thickBot="1">
      <c r="B17" s="177" t="s">
        <v>142</v>
      </c>
      <c r="C17" s="28">
        <v>804000</v>
      </c>
      <c r="D17" s="28" t="s">
        <v>113</v>
      </c>
      <c r="E17" s="239">
        <v>9452203.8800000008</v>
      </c>
      <c r="F17" s="254"/>
      <c r="G17" s="252"/>
      <c r="H17" s="251"/>
      <c r="I17" s="253"/>
      <c r="J17" s="32"/>
      <c r="K17" s="25" t="s">
        <v>29</v>
      </c>
      <c r="L17" s="143">
        <f>SUM(L10:L16)</f>
        <v>15677190</v>
      </c>
      <c r="M17" s="4"/>
      <c r="N17" s="23">
        <f>SUM(N10:N16)</f>
        <v>1244720.7593699999</v>
      </c>
      <c r="O17" s="26"/>
      <c r="P17" s="142">
        <f>P15-P16</f>
        <v>0</v>
      </c>
      <c r="Q17" s="17" t="s">
        <v>23</v>
      </c>
      <c r="R17" s="24"/>
    </row>
    <row r="18" spans="2:18" ht="15.6" customHeight="1" thickTop="1">
      <c r="B18" s="177" t="s">
        <v>143</v>
      </c>
      <c r="C18" s="28">
        <v>804010</v>
      </c>
      <c r="D18" s="28" t="s">
        <v>113</v>
      </c>
      <c r="E18" s="239">
        <v>-112158.98</v>
      </c>
      <c r="F18" s="251"/>
      <c r="G18" s="252"/>
      <c r="H18" s="251"/>
      <c r="I18" s="253"/>
      <c r="J18" s="32"/>
      <c r="K18" s="16"/>
      <c r="L18" s="203">
        <v>15677190</v>
      </c>
      <c r="M18" s="17"/>
      <c r="N18" s="145"/>
      <c r="O18" s="15"/>
      <c r="P18" s="3"/>
      <c r="Q18" s="131"/>
      <c r="R18" s="24"/>
    </row>
    <row r="19" spans="2:18" ht="15.6" customHeight="1">
      <c r="B19" s="177" t="s">
        <v>144</v>
      </c>
      <c r="C19" s="28">
        <v>804017</v>
      </c>
      <c r="D19" s="28" t="s">
        <v>113</v>
      </c>
      <c r="E19" s="239">
        <v>28423.55</v>
      </c>
      <c r="F19" s="251"/>
      <c r="G19" s="252"/>
      <c r="H19" s="251"/>
      <c r="I19" s="253"/>
      <c r="J19" s="32"/>
      <c r="K19" s="15"/>
      <c r="L19" s="142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7" t="s">
        <v>145</v>
      </c>
      <c r="C20" s="28">
        <v>804018</v>
      </c>
      <c r="D20" s="28" t="s">
        <v>113</v>
      </c>
      <c r="E20" s="239">
        <v>5291.37</v>
      </c>
      <c r="F20" s="251"/>
      <c r="G20" s="252"/>
      <c r="H20" s="251"/>
      <c r="I20" s="253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7" t="s">
        <v>146</v>
      </c>
      <c r="C21" s="28">
        <v>804600</v>
      </c>
      <c r="D21" s="28" t="s">
        <v>113</v>
      </c>
      <c r="E21" s="239">
        <v>-450045.06</v>
      </c>
      <c r="F21" s="251"/>
      <c r="G21" s="252"/>
      <c r="H21" s="251"/>
      <c r="I21" s="253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7" t="s">
        <v>147</v>
      </c>
      <c r="C22" s="28">
        <v>804730</v>
      </c>
      <c r="D22" s="28" t="s">
        <v>113</v>
      </c>
      <c r="E22" s="239">
        <v>1192250.82</v>
      </c>
      <c r="F22" s="251"/>
      <c r="G22" s="252"/>
      <c r="H22" s="251"/>
      <c r="I22" s="253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7" t="s">
        <v>148</v>
      </c>
      <c r="C23" s="28">
        <v>808100</v>
      </c>
      <c r="D23" s="28" t="s">
        <v>113</v>
      </c>
      <c r="E23" s="239">
        <v>303352.07</v>
      </c>
      <c r="F23" s="251"/>
      <c r="G23" s="252"/>
      <c r="H23" s="251"/>
      <c r="I23" s="253"/>
      <c r="J23" s="32"/>
      <c r="K23" s="26" t="s">
        <v>10</v>
      </c>
      <c r="L23" s="173">
        <f>+L10</f>
        <v>8945038</v>
      </c>
      <c r="M23" s="202">
        <v>0.16167000000000001</v>
      </c>
      <c r="N23" s="172">
        <f t="shared" ref="N23:N28" si="3">L23*M23</f>
        <v>1446144.2934600001</v>
      </c>
      <c r="O23" s="26" t="s">
        <v>10</v>
      </c>
      <c r="P23" s="173">
        <f>+P10</f>
        <v>4746418</v>
      </c>
      <c r="Q23" s="202">
        <v>0.16148000000000001</v>
      </c>
      <c r="R23" s="172">
        <f t="shared" ref="R23" si="4">P23*Q23</f>
        <v>766451.57864000008</v>
      </c>
    </row>
    <row r="24" spans="2:18" ht="15.6" customHeight="1">
      <c r="B24" s="177" t="s">
        <v>149</v>
      </c>
      <c r="C24" s="28">
        <v>808200</v>
      </c>
      <c r="D24" s="28" t="s">
        <v>113</v>
      </c>
      <c r="E24" s="239">
        <v>-2205088.98</v>
      </c>
      <c r="F24" s="251"/>
      <c r="G24" s="252"/>
      <c r="H24" s="251"/>
      <c r="I24" s="253"/>
      <c r="J24" s="32"/>
      <c r="K24" s="26" t="s">
        <v>42</v>
      </c>
      <c r="L24" s="173">
        <f t="shared" ref="L24:L28" si="5">+L11</f>
        <v>17127</v>
      </c>
      <c r="M24" s="202">
        <v>0.16167000000000001</v>
      </c>
      <c r="N24" s="172">
        <f t="shared" si="3"/>
        <v>2768.92209</v>
      </c>
      <c r="O24" s="26" t="s">
        <v>11</v>
      </c>
      <c r="P24" s="173">
        <f t="shared" ref="P24:P27" si="6">+P11</f>
        <v>1826242</v>
      </c>
      <c r="Q24" s="202">
        <v>0.16148000000000001</v>
      </c>
      <c r="R24" s="172">
        <f>P24*Q24</f>
        <v>294901.55816000002</v>
      </c>
    </row>
    <row r="25" spans="2:18" ht="15.6" customHeight="1">
      <c r="B25" s="177" t="s">
        <v>150</v>
      </c>
      <c r="C25" s="28">
        <v>811000</v>
      </c>
      <c r="D25" s="28" t="s">
        <v>113</v>
      </c>
      <c r="E25" s="239">
        <v>-64920.04</v>
      </c>
      <c r="F25" s="251"/>
      <c r="G25" s="252"/>
      <c r="H25" s="251"/>
      <c r="I25" s="253"/>
      <c r="J25" s="32"/>
      <c r="K25" s="26" t="s">
        <v>11</v>
      </c>
      <c r="L25" s="173">
        <f t="shared" si="5"/>
        <v>3971924</v>
      </c>
      <c r="M25" s="202">
        <v>0.16167000000000001</v>
      </c>
      <c r="N25" s="172">
        <f t="shared" si="3"/>
        <v>642140.95308000001</v>
      </c>
      <c r="O25" s="26" t="s">
        <v>12</v>
      </c>
      <c r="P25" s="173">
        <f t="shared" si="6"/>
        <v>9636</v>
      </c>
      <c r="Q25" s="202">
        <v>0.16148000000000001</v>
      </c>
      <c r="R25" s="172">
        <f t="shared" ref="R25:R27" si="7">P25*Q25</f>
        <v>1556.0212800000002</v>
      </c>
    </row>
    <row r="26" spans="2:18" ht="15.6" customHeight="1">
      <c r="B26" s="177" t="s">
        <v>151</v>
      </c>
      <c r="C26" s="28">
        <v>483000</v>
      </c>
      <c r="D26" s="28" t="s">
        <v>113</v>
      </c>
      <c r="E26" s="239">
        <v>-1751023.06</v>
      </c>
      <c r="F26" s="254"/>
      <c r="G26" s="252"/>
      <c r="H26" s="251"/>
      <c r="I26" s="253"/>
      <c r="J26" s="32"/>
      <c r="K26" s="26" t="s">
        <v>12</v>
      </c>
      <c r="L26" s="173">
        <f t="shared" si="5"/>
        <v>81963</v>
      </c>
      <c r="M26" s="202">
        <v>0.16167000000000001</v>
      </c>
      <c r="N26" s="172">
        <f t="shared" si="3"/>
        <v>13250.958210000001</v>
      </c>
      <c r="O26" s="26" t="s">
        <v>13</v>
      </c>
      <c r="P26" s="173">
        <f t="shared" si="6"/>
        <v>0</v>
      </c>
      <c r="Q26" s="202">
        <v>0.16148000000000001</v>
      </c>
      <c r="R26" s="172">
        <f t="shared" si="7"/>
        <v>0</v>
      </c>
    </row>
    <row r="27" spans="2:18" ht="15.6" customHeight="1">
      <c r="B27" s="177" t="s">
        <v>152</v>
      </c>
      <c r="C27" s="28">
        <v>483600</v>
      </c>
      <c r="D27" s="28" t="s">
        <v>113</v>
      </c>
      <c r="E27" s="239">
        <v>182925</v>
      </c>
      <c r="F27" s="251"/>
      <c r="G27" s="252"/>
      <c r="H27" s="251"/>
      <c r="I27" s="253"/>
      <c r="J27" s="32"/>
      <c r="K27" s="26" t="s">
        <v>13</v>
      </c>
      <c r="L27" s="173">
        <f t="shared" si="5"/>
        <v>0</v>
      </c>
      <c r="M27" s="202">
        <v>0.16167000000000001</v>
      </c>
      <c r="N27" s="172">
        <f t="shared" si="3"/>
        <v>0</v>
      </c>
      <c r="O27" s="26" t="s">
        <v>14</v>
      </c>
      <c r="P27" s="173">
        <f t="shared" si="6"/>
        <v>0</v>
      </c>
      <c r="Q27" s="202">
        <v>0.16148000000000001</v>
      </c>
      <c r="R27" s="172">
        <f t="shared" si="7"/>
        <v>0</v>
      </c>
    </row>
    <row r="28" spans="2:18" ht="15.6" customHeight="1" thickBot="1">
      <c r="B28" s="177" t="s">
        <v>153</v>
      </c>
      <c r="C28" s="28">
        <v>483730</v>
      </c>
      <c r="D28" s="28" t="s">
        <v>113</v>
      </c>
      <c r="E28" s="239">
        <v>-2549327.2799999998</v>
      </c>
      <c r="F28" s="251"/>
      <c r="G28" s="252"/>
      <c r="H28" s="251"/>
      <c r="I28" s="253"/>
      <c r="J28" s="32"/>
      <c r="K28" s="26" t="s">
        <v>14</v>
      </c>
      <c r="L28" s="173">
        <f t="shared" si="5"/>
        <v>86985</v>
      </c>
      <c r="M28" s="202">
        <v>0.16167000000000001</v>
      </c>
      <c r="N28" s="172">
        <f t="shared" si="3"/>
        <v>14062.864950000001</v>
      </c>
      <c r="O28" s="25" t="s">
        <v>31</v>
      </c>
      <c r="P28" s="143">
        <f>SUM(P23:P27)</f>
        <v>6582296</v>
      </c>
      <c r="Q28" s="144"/>
      <c r="R28" s="23">
        <f>SUM(R23:R27)</f>
        <v>1062909.15808</v>
      </c>
    </row>
    <row r="29" spans="2:18" ht="15.6" customHeight="1" thickTop="1" thickBot="1">
      <c r="B29" s="177" t="s">
        <v>154</v>
      </c>
      <c r="C29" s="28">
        <v>495028</v>
      </c>
      <c r="D29" s="28" t="s">
        <v>113</v>
      </c>
      <c r="E29" s="239">
        <v>-468750</v>
      </c>
      <c r="F29" s="251"/>
      <c r="G29" s="252"/>
      <c r="H29" s="251"/>
      <c r="I29" s="253"/>
      <c r="J29" s="32"/>
      <c r="K29" s="25" t="s">
        <v>31</v>
      </c>
      <c r="L29" s="143">
        <f>SUM(L23:L28)</f>
        <v>13103037</v>
      </c>
      <c r="M29" s="144"/>
      <c r="N29" s="151">
        <f>SUM(N23:N28)</f>
        <v>2118367.9917899999</v>
      </c>
      <c r="O29" s="25"/>
      <c r="P29" s="203">
        <v>6582296</v>
      </c>
      <c r="Q29" s="17"/>
      <c r="R29" s="148"/>
    </row>
    <row r="30" spans="2:18" ht="15.6" customHeight="1" thickTop="1">
      <c r="B30" s="177" t="s">
        <v>112</v>
      </c>
      <c r="C30" s="28">
        <v>495100</v>
      </c>
      <c r="D30" s="28" t="s">
        <v>113</v>
      </c>
      <c r="E30" s="239">
        <v>0</v>
      </c>
      <c r="F30" s="255"/>
      <c r="G30" s="256"/>
      <c r="H30" s="255"/>
      <c r="I30" s="257"/>
      <c r="J30" s="32"/>
      <c r="K30" s="16"/>
      <c r="L30" s="203">
        <v>13103037</v>
      </c>
      <c r="M30" s="17"/>
      <c r="N30" s="152"/>
      <c r="O30" s="25"/>
      <c r="P30" s="142">
        <f>P28-P29</f>
        <v>0</v>
      </c>
      <c r="Q30" s="17" t="s">
        <v>23</v>
      </c>
      <c r="R30" s="24"/>
    </row>
    <row r="31" spans="2:18" ht="15.6" customHeight="1" thickBot="1">
      <c r="B31" s="195" t="s">
        <v>26</v>
      </c>
      <c r="C31" s="28"/>
      <c r="D31" s="28"/>
      <c r="E31" s="241">
        <f>-E13</f>
        <v>22092.66</v>
      </c>
      <c r="F31" s="251"/>
      <c r="G31" s="252"/>
      <c r="H31" s="251"/>
      <c r="I31" s="253"/>
      <c r="J31" s="32"/>
      <c r="K31" s="18"/>
      <c r="L31" s="149">
        <f>L29-L30</f>
        <v>0</v>
      </c>
      <c r="M31" s="19" t="s">
        <v>23</v>
      </c>
      <c r="N31" s="150"/>
      <c r="O31" s="153"/>
      <c r="P31" s="154"/>
      <c r="Q31" s="155"/>
      <c r="R31" s="156"/>
    </row>
    <row r="32" spans="2:18" ht="15.6" customHeight="1" thickBot="1">
      <c r="B32" s="191" t="s">
        <v>27</v>
      </c>
      <c r="C32" s="3"/>
      <c r="D32" s="3"/>
      <c r="E32" s="240">
        <f>SUM(E17:E31)</f>
        <v>3585225.9500000007</v>
      </c>
      <c r="F32" s="258"/>
      <c r="G32" s="231">
        <f>E32*G8</f>
        <v>2386326.3923200001</v>
      </c>
      <c r="H32" s="140"/>
      <c r="I32" s="221">
        <f>E32*I8</f>
        <v>1198899.5576800003</v>
      </c>
      <c r="J32" s="32"/>
    </row>
    <row r="33" spans="1:17" ht="15.6" customHeight="1">
      <c r="B33" s="177" t="s">
        <v>111</v>
      </c>
      <c r="C33" s="28">
        <v>495100</v>
      </c>
      <c r="D33" s="3" t="s">
        <v>118</v>
      </c>
      <c r="E33" s="239">
        <v>0</v>
      </c>
      <c r="F33" s="255"/>
      <c r="G33" s="231">
        <f>E33</f>
        <v>0</v>
      </c>
      <c r="H33" s="140"/>
      <c r="I33" s="221"/>
      <c r="J33" s="32"/>
      <c r="K33" s="20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6"/>
      <c r="Q33" s="1"/>
    </row>
    <row r="34" spans="1:17" ht="15.6" customHeight="1" thickBot="1">
      <c r="B34" s="196" t="s">
        <v>98</v>
      </c>
      <c r="C34" s="28">
        <v>495100</v>
      </c>
      <c r="D34" s="3" t="s">
        <v>119</v>
      </c>
      <c r="E34" s="239">
        <v>0</v>
      </c>
      <c r="F34" s="255"/>
      <c r="G34" s="231"/>
      <c r="H34" s="140"/>
      <c r="I34" s="221">
        <f>E34</f>
        <v>0</v>
      </c>
      <c r="J34" s="32"/>
      <c r="K34" s="189"/>
      <c r="L34" s="13" t="s">
        <v>2</v>
      </c>
      <c r="M34" s="13" t="s">
        <v>1</v>
      </c>
      <c r="N34" s="13" t="s">
        <v>2</v>
      </c>
      <c r="O34" s="13" t="s">
        <v>1</v>
      </c>
      <c r="P34" s="216" t="s">
        <v>126</v>
      </c>
      <c r="Q34" s="1"/>
    </row>
    <row r="35" spans="1:17" ht="15.6" customHeight="1">
      <c r="B35" s="16" t="s">
        <v>120</v>
      </c>
      <c r="C35" s="28">
        <v>804000</v>
      </c>
      <c r="D35" s="3" t="s">
        <v>118</v>
      </c>
      <c r="E35" s="239">
        <v>-99041.94</v>
      </c>
      <c r="F35" s="251"/>
      <c r="G35" s="231">
        <f>E35</f>
        <v>-99041.94</v>
      </c>
      <c r="H35" s="140"/>
      <c r="I35" s="221"/>
      <c r="J35" s="32"/>
      <c r="K35" s="15" t="s">
        <v>128</v>
      </c>
      <c r="L35" s="141">
        <f>$F$39</f>
        <v>1525554.5408740002</v>
      </c>
      <c r="M35" s="141">
        <f>G39</f>
        <v>2287284.4523200002</v>
      </c>
      <c r="N35" s="141">
        <f>$H$39</f>
        <v>691498.99912599998</v>
      </c>
      <c r="O35" s="141">
        <f>I39</f>
        <v>1151511.6776800004</v>
      </c>
      <c r="P35" s="215">
        <f>SUM(L35:O35)-E39</f>
        <v>0</v>
      </c>
      <c r="Q35" s="1"/>
    </row>
    <row r="36" spans="1:17" ht="15.6" customHeight="1" thickBot="1">
      <c r="B36" s="16" t="s">
        <v>121</v>
      </c>
      <c r="C36" s="28">
        <v>804000</v>
      </c>
      <c r="D36" s="3" t="s">
        <v>119</v>
      </c>
      <c r="E36" s="239">
        <v>-47387.88</v>
      </c>
      <c r="F36" s="251"/>
      <c r="G36" s="231"/>
      <c r="H36" s="140"/>
      <c r="I36" s="221">
        <f>E36</f>
        <v>-47387.88</v>
      </c>
      <c r="J36" s="32"/>
      <c r="K36" s="15" t="s">
        <v>131</v>
      </c>
      <c r="L36" s="204">
        <f>-$N$17</f>
        <v>-1244720.7593699999</v>
      </c>
      <c r="M36" s="204">
        <f>-N29</f>
        <v>-2118367.9917899999</v>
      </c>
      <c r="N36" s="204">
        <f>-$R$15</f>
        <v>-589247.13791999989</v>
      </c>
      <c r="O36" s="204">
        <f>-R28</f>
        <v>-1062909.15808</v>
      </c>
      <c r="P36" s="215">
        <f>SUM(L36:O36)+N17+N29+R15+R28</f>
        <v>0</v>
      </c>
      <c r="Q36" s="1"/>
    </row>
    <row r="37" spans="1:17" ht="15.6" customHeight="1" thickBot="1">
      <c r="B37" s="191" t="s">
        <v>134</v>
      </c>
      <c r="C37" s="28"/>
      <c r="D37" s="3"/>
      <c r="E37" s="240">
        <f>SUM(E32:E36)</f>
        <v>3438796.1300000008</v>
      </c>
      <c r="F37" s="232"/>
      <c r="G37" s="234"/>
      <c r="H37" s="232"/>
      <c r="I37" s="194"/>
      <c r="J37" s="32"/>
      <c r="K37" s="191" t="s">
        <v>129</v>
      </c>
      <c r="L37" s="146">
        <f t="shared" ref="L37:O37" si="8">SUM(L35:L36)</f>
        <v>280833.7815040003</v>
      </c>
      <c r="M37" s="146">
        <f>SUM(M35:M36)</f>
        <v>168916.46053000027</v>
      </c>
      <c r="N37" s="146">
        <f t="shared" si="8"/>
        <v>102251.86120600009</v>
      </c>
      <c r="O37" s="146">
        <f t="shared" si="8"/>
        <v>88602.519600000465</v>
      </c>
      <c r="P37" s="207"/>
      <c r="Q37" s="1"/>
    </row>
    <row r="38" spans="1:17" ht="15.6" customHeight="1" thickBot="1">
      <c r="B38" s="15"/>
      <c r="C38" s="9"/>
      <c r="D38" s="9"/>
      <c r="E38" s="244"/>
      <c r="F38" s="235"/>
      <c r="G38" s="236"/>
      <c r="H38" s="235"/>
      <c r="I38" s="197"/>
      <c r="J38" s="32"/>
      <c r="K38" s="208"/>
      <c r="L38" s="163"/>
      <c r="M38" s="7"/>
      <c r="N38" s="1"/>
      <c r="O38" s="212"/>
      <c r="P38" s="209"/>
      <c r="Q38" s="1"/>
    </row>
    <row r="39" spans="1:17" ht="15.6" customHeight="1" thickBot="1">
      <c r="B39" s="198" t="s">
        <v>125</v>
      </c>
      <c r="C39" s="199"/>
      <c r="D39" s="199"/>
      <c r="E39" s="240">
        <f>E37+E14</f>
        <v>5655849.6700000009</v>
      </c>
      <c r="F39" s="246">
        <f>SUM(F14:F37)</f>
        <v>1525554.5408740002</v>
      </c>
      <c r="G39" s="247">
        <f t="shared" ref="G39:I39" si="9">SUM(G14:G37)</f>
        <v>2287284.4523200002</v>
      </c>
      <c r="H39" s="246">
        <f t="shared" si="9"/>
        <v>691498.99912599998</v>
      </c>
      <c r="I39" s="200">
        <f t="shared" si="9"/>
        <v>1151511.6776800004</v>
      </c>
      <c r="J39" s="32"/>
      <c r="K39" s="210"/>
      <c r="L39" s="213" t="s">
        <v>36</v>
      </c>
      <c r="M39" s="211">
        <f>SUM(L37:M37)</f>
        <v>449750.24203400058</v>
      </c>
      <c r="N39" s="214" t="s">
        <v>37</v>
      </c>
      <c r="O39" s="211">
        <f>SUM(N37:O37)</f>
        <v>190854.38080600055</v>
      </c>
      <c r="P39" s="30"/>
      <c r="Q39" s="1"/>
    </row>
    <row r="40" spans="1:17" ht="15.6" customHeight="1">
      <c r="B40" s="32"/>
      <c r="C40" s="10"/>
      <c r="D40" s="10"/>
      <c r="E40" s="130"/>
      <c r="F40" s="130"/>
      <c r="G40" s="130"/>
      <c r="H40" s="130"/>
      <c r="I40" s="130"/>
      <c r="J40" s="32"/>
      <c r="M40" s="29"/>
      <c r="Q40" s="1"/>
    </row>
    <row r="41" spans="1:17" ht="15.6" customHeight="1">
      <c r="A41" s="32"/>
      <c r="B41" s="264" t="s">
        <v>137</v>
      </c>
      <c r="C41" s="263"/>
      <c r="D41" s="11" t="s">
        <v>136</v>
      </c>
      <c r="E41" s="181">
        <v>5655849.6699999999</v>
      </c>
      <c r="F41" s="130"/>
      <c r="G41" s="130"/>
      <c r="H41" s="130"/>
      <c r="I41" s="130"/>
      <c r="J41" s="32"/>
      <c r="P41" s="2"/>
    </row>
    <row r="42" spans="1:17" ht="15.6" customHeight="1">
      <c r="B42" s="185"/>
      <c r="C42" s="185"/>
      <c r="D42" s="11" t="s">
        <v>34</v>
      </c>
      <c r="E42" s="140">
        <f>ROUND(E39-E41,2)</f>
        <v>0</v>
      </c>
      <c r="F42" s="220"/>
      <c r="G42" s="220"/>
      <c r="H42" s="220"/>
      <c r="I42" s="220"/>
    </row>
    <row r="43" spans="1:17" ht="15.6" customHeight="1">
      <c r="B43" s="185"/>
      <c r="C43" s="185"/>
      <c r="E43" s="160"/>
      <c r="F43" s="220"/>
      <c r="G43" s="220"/>
      <c r="H43" s="220"/>
      <c r="I43" s="220"/>
    </row>
    <row r="44" spans="1:17" ht="15.6" customHeight="1" thickBot="1">
      <c r="B44" s="185"/>
      <c r="C44" s="185"/>
      <c r="E44" s="160"/>
      <c r="F44" s="220"/>
      <c r="G44" s="220"/>
      <c r="H44" s="220"/>
      <c r="I44" s="220"/>
    </row>
    <row r="45" spans="1:17" ht="15.6" customHeight="1" thickBot="1">
      <c r="B45" s="185"/>
      <c r="C45" s="185"/>
      <c r="E45" s="274" t="s">
        <v>127</v>
      </c>
      <c r="F45" s="275"/>
      <c r="G45" s="220"/>
      <c r="H45" s="220"/>
      <c r="I45" s="220"/>
    </row>
    <row r="46" spans="1:17" ht="15.6" customHeight="1">
      <c r="B46" s="185"/>
      <c r="C46" s="185"/>
      <c r="E46" s="177" t="s">
        <v>38</v>
      </c>
      <c r="F46" s="218" t="s">
        <v>39</v>
      </c>
      <c r="G46" s="220"/>
      <c r="H46" s="220"/>
      <c r="I46" s="220"/>
    </row>
    <row r="47" spans="1:17" ht="15.75" thickBot="1">
      <c r="E47" s="219" t="e">
        <f>SUM('191010 WA DEF'!E36:E45)+SUM('191000 WA Amort'!H36:H45)+SUM(#REF!)+SUM(#REF!)</f>
        <v>#REF!</v>
      </c>
      <c r="F47" s="217" t="e">
        <f>-E47</f>
        <v>#REF!</v>
      </c>
    </row>
    <row r="48" spans="1:17">
      <c r="E48" s="269"/>
      <c r="F48" s="269"/>
    </row>
    <row r="49" spans="4:5">
      <c r="D49" s="6" t="s">
        <v>140</v>
      </c>
      <c r="E49" s="31">
        <f>0.38+0.06+239.39+0.07+110.39</f>
        <v>350.28999999999996</v>
      </c>
    </row>
    <row r="50" spans="4:5">
      <c r="D50" s="6" t="s">
        <v>141</v>
      </c>
      <c r="E50" s="270" t="e">
        <f>E47+E49-0.01</f>
        <v>#REF!</v>
      </c>
    </row>
    <row r="51" spans="4:5">
      <c r="E51" s="31"/>
    </row>
    <row r="52" spans="4:5">
      <c r="E52" s="31"/>
    </row>
    <row r="53" spans="4:5">
      <c r="E53" s="31"/>
    </row>
    <row r="54" spans="4:5">
      <c r="E54" s="31"/>
    </row>
    <row r="55" spans="4:5">
      <c r="E55" s="31"/>
    </row>
    <row r="56" spans="4:5">
      <c r="E56" s="31"/>
    </row>
    <row r="57" spans="4:5">
      <c r="E57" s="31"/>
    </row>
    <row r="58" spans="4:5">
      <c r="E58" s="31"/>
    </row>
    <row r="59" spans="4:5">
      <c r="E59" s="31"/>
    </row>
    <row r="60" spans="4:5">
      <c r="E60" s="31"/>
    </row>
    <row r="61" spans="4:5">
      <c r="E61" s="31"/>
    </row>
    <row r="62" spans="4:5">
      <c r="E62" s="31"/>
    </row>
    <row r="63" spans="4:5">
      <c r="E63" s="31"/>
    </row>
    <row r="64" spans="4:5">
      <c r="E64" s="31"/>
    </row>
    <row r="65" spans="5:5">
      <c r="E65" s="31"/>
    </row>
    <row r="1390" spans="4:4">
      <c r="D1390" s="31">
        <v>-2130</v>
      </c>
    </row>
    <row r="1398" spans="4:4">
      <c r="D1398" s="31">
        <f>7004298-2130</f>
        <v>7002168</v>
      </c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9" operator="equal">
      <formula>"ERROR"</formula>
    </cfRule>
  </conditionalFormatting>
  <conditionalFormatting sqref="D43:D46">
    <cfRule type="cellIs" dxfId="25" priority="28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customProperties>
    <customPr name="xxe4aP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45"/>
  <sheetViews>
    <sheetView zoomScale="90" zoomScaleNormal="90" workbookViewId="0">
      <pane ySplit="6" topLeftCell="A16" activePane="bottomLeft" state="frozen"/>
      <selection activeCell="P37" sqref="P37"/>
      <selection pane="bottomLeft" activeCell="N39" sqref="N39"/>
    </sheetView>
  </sheetViews>
  <sheetFormatPr defaultColWidth="8.85546875" defaultRowHeight="15"/>
  <cols>
    <col min="1" max="1" width="9.140625" style="33" customWidth="1"/>
    <col min="2" max="2" width="8.85546875" style="33"/>
    <col min="3" max="3" width="1.7109375" style="34" customWidth="1"/>
    <col min="4" max="4" width="13.7109375" style="33" customWidth="1"/>
    <col min="5" max="6" width="14.28515625" style="33" customWidth="1"/>
    <col min="7" max="7" width="14.7109375" style="33" bestFit="1" customWidth="1"/>
    <col min="8" max="8" width="12.140625" style="33" customWidth="1"/>
    <col min="9" max="9" width="15.28515625" style="33" bestFit="1" customWidth="1"/>
    <col min="10" max="10" width="1.7109375" style="34" customWidth="1"/>
    <col min="11" max="11" width="14.28515625" style="33" bestFit="1" customWidth="1"/>
    <col min="12" max="12" width="13.85546875" style="33" bestFit="1" customWidth="1"/>
    <col min="13" max="13" width="6.140625" style="75" customWidth="1"/>
    <col min="14" max="14" width="12.42578125" style="33" bestFit="1" customWidth="1"/>
    <col min="15" max="16" width="8.85546875" style="33"/>
    <col min="17" max="17" width="12.7109375" style="33" customWidth="1"/>
    <col min="18" max="19" width="13.140625" style="33" bestFit="1" customWidth="1"/>
    <col min="20" max="16384" width="8.85546875" style="33"/>
  </cols>
  <sheetData>
    <row r="1" spans="1:13" s="37" customFormat="1" ht="15.75">
      <c r="A1" s="35" t="s">
        <v>4</v>
      </c>
      <c r="B1" s="36"/>
      <c r="C1" s="36"/>
      <c r="D1" s="36"/>
      <c r="E1" s="36"/>
      <c r="F1" s="36"/>
      <c r="G1" s="36"/>
    </row>
    <row r="2" spans="1:13" s="37" customFormat="1" ht="15.75">
      <c r="A2" s="35" t="s">
        <v>0</v>
      </c>
      <c r="B2" s="36"/>
      <c r="C2" s="36"/>
      <c r="D2" s="36"/>
      <c r="E2" s="36"/>
      <c r="F2" s="36"/>
      <c r="G2" s="36"/>
    </row>
    <row r="3" spans="1:13" s="37" customFormat="1" ht="15.75">
      <c r="A3" s="35" t="s">
        <v>80</v>
      </c>
      <c r="B3" s="36"/>
      <c r="C3" s="36"/>
      <c r="D3" s="36"/>
      <c r="E3" s="36"/>
      <c r="F3" s="36"/>
      <c r="G3" s="36"/>
    </row>
    <row r="4" spans="1:13" s="37" customFormat="1" ht="15.75">
      <c r="A4" s="35" t="s">
        <v>81</v>
      </c>
      <c r="B4" s="36"/>
      <c r="C4" s="36"/>
      <c r="D4" s="36"/>
      <c r="E4" s="36"/>
      <c r="F4" s="36"/>
      <c r="G4" s="36"/>
    </row>
    <row r="5" spans="1:13" s="40" customFormat="1" ht="18.75">
      <c r="A5" s="38"/>
      <c r="B5" s="39"/>
      <c r="C5" s="39"/>
      <c r="D5" s="39"/>
      <c r="E5" s="39"/>
      <c r="F5" s="39"/>
      <c r="G5" s="39"/>
    </row>
    <row r="6" spans="1:13" s="41" customFormat="1" ht="56.45" customHeight="1">
      <c r="A6" s="42" t="s">
        <v>43</v>
      </c>
      <c r="B6" s="43" t="s">
        <v>41</v>
      </c>
      <c r="C6" s="44"/>
      <c r="D6" s="43" t="s">
        <v>47</v>
      </c>
      <c r="E6" s="43" t="s">
        <v>40</v>
      </c>
      <c r="F6" s="43" t="s">
        <v>1</v>
      </c>
      <c r="G6" s="43" t="s">
        <v>2</v>
      </c>
      <c r="H6" s="43" t="s">
        <v>3</v>
      </c>
      <c r="I6" s="43" t="s">
        <v>15</v>
      </c>
      <c r="J6" s="44"/>
      <c r="K6" s="45" t="s">
        <v>44</v>
      </c>
      <c r="L6" s="45" t="s">
        <v>45</v>
      </c>
      <c r="M6" s="44"/>
    </row>
    <row r="7" spans="1:13" s="41" customFormat="1" ht="15.75">
      <c r="A7" s="80">
        <v>202001</v>
      </c>
      <c r="B7" s="81">
        <v>4.9599999999999998E-2</v>
      </c>
      <c r="C7" s="58"/>
      <c r="D7" s="82">
        <v>0</v>
      </c>
      <c r="E7" s="83">
        <v>-805474.47813399998</v>
      </c>
      <c r="F7" s="82">
        <v>465507.08934299834</v>
      </c>
      <c r="G7" s="82">
        <v>-1019075.8062920009</v>
      </c>
      <c r="H7" s="158">
        <f t="shared" ref="H7:H18" si="0">ROUND(((E7)*(B7/12))+((SUM(F7:G7)/2)*(B7/12)),2)</f>
        <v>-4473.34</v>
      </c>
      <c r="I7" s="83">
        <f>SUM(E7:H7)</f>
        <v>-1363516.5350830026</v>
      </c>
      <c r="J7" s="60"/>
      <c r="K7" s="84">
        <v>-1363516.54</v>
      </c>
      <c r="L7" s="85">
        <f t="shared" ref="L7:L12" si="1">K7-I7</f>
        <v>-4.9169973935931921E-3</v>
      </c>
      <c r="M7" s="74"/>
    </row>
    <row r="8" spans="1:13" s="41" customFormat="1" ht="15.75">
      <c r="A8" s="76">
        <f>A7+1</f>
        <v>202002</v>
      </c>
      <c r="B8" s="81">
        <v>4.9599999999999998E-2</v>
      </c>
      <c r="C8" s="58"/>
      <c r="D8" s="62">
        <v>0</v>
      </c>
      <c r="E8" s="83">
        <f>I7+D8</f>
        <v>-1363516.5350830026</v>
      </c>
      <c r="F8" s="82">
        <v>357241.75332700042</v>
      </c>
      <c r="G8" s="157">
        <v>-930160.93573400006</v>
      </c>
      <c r="H8" s="59">
        <f t="shared" si="0"/>
        <v>-6819.9</v>
      </c>
      <c r="I8" s="104">
        <f t="shared" ref="I8:I12" si="2">SUM(E8:H8)</f>
        <v>-1943255.6174900022</v>
      </c>
      <c r="J8" s="60"/>
      <c r="K8" s="84">
        <v>-1943255.62</v>
      </c>
      <c r="L8" s="85">
        <f t="shared" si="1"/>
        <v>-2.5099979247897863E-3</v>
      </c>
      <c r="M8" s="74"/>
    </row>
    <row r="9" spans="1:13" s="41" customFormat="1" ht="15.75">
      <c r="A9" s="76">
        <f t="shared" ref="A9:A18" si="3">A8+1</f>
        <v>202003</v>
      </c>
      <c r="B9" s="81">
        <v>4.9599999999999998E-2</v>
      </c>
      <c r="C9" s="58"/>
      <c r="D9" s="62">
        <v>0</v>
      </c>
      <c r="E9" s="83">
        <f>I8+D9</f>
        <v>-1943255.6174900022</v>
      </c>
      <c r="F9" s="82">
        <v>-16044.36190700205</v>
      </c>
      <c r="G9" s="157">
        <v>-702834.43791600014</v>
      </c>
      <c r="H9" s="59">
        <f>ROUND(((E9)*(B9/12))+((SUM(F9:G9)/2)*(B9/12)),2)</f>
        <v>-9517.81</v>
      </c>
      <c r="I9" s="104">
        <f t="shared" si="2"/>
        <v>-2671652.2273130044</v>
      </c>
      <c r="J9" s="60"/>
      <c r="K9" s="84">
        <v>-2671652.23</v>
      </c>
      <c r="L9" s="85">
        <f t="shared" si="1"/>
        <v>-2.6869955472648144E-3</v>
      </c>
      <c r="M9" s="74"/>
    </row>
    <row r="10" spans="1:13" s="41" customFormat="1" ht="15.75">
      <c r="A10" s="76">
        <f t="shared" si="3"/>
        <v>202004</v>
      </c>
      <c r="B10" s="81">
        <v>4.7500000000000001E-2</v>
      </c>
      <c r="C10" s="58"/>
      <c r="D10" s="62">
        <v>0</v>
      </c>
      <c r="E10" s="83">
        <f t="shared" ref="E10:E18" si="4">I9+D10</f>
        <v>-2671652.2273130044</v>
      </c>
      <c r="F10" s="82">
        <v>-286572.46695799823</v>
      </c>
      <c r="G10" s="157">
        <v>354965.17556600017</v>
      </c>
      <c r="H10" s="59">
        <f t="shared" si="0"/>
        <v>-10439.93</v>
      </c>
      <c r="I10" s="104">
        <f t="shared" si="2"/>
        <v>-2613699.4487050031</v>
      </c>
      <c r="J10" s="60"/>
      <c r="K10" s="84">
        <v>-2613699.4500000002</v>
      </c>
      <c r="L10" s="85">
        <f t="shared" si="1"/>
        <v>-1.2949970550835133E-3</v>
      </c>
      <c r="M10" s="74"/>
    </row>
    <row r="11" spans="1:13" s="41" customFormat="1" ht="15.75">
      <c r="A11" s="76">
        <f t="shared" si="3"/>
        <v>202005</v>
      </c>
      <c r="B11" s="81">
        <v>4.7500000000000001E-2</v>
      </c>
      <c r="C11" s="58"/>
      <c r="D11" s="62">
        <v>0</v>
      </c>
      <c r="E11" s="83">
        <f t="shared" si="4"/>
        <v>-2613699.4487050031</v>
      </c>
      <c r="F11" s="82">
        <v>-349533.46451799979</v>
      </c>
      <c r="G11" s="157">
        <v>790807.96102399973</v>
      </c>
      <c r="H11" s="59">
        <f t="shared" si="0"/>
        <v>-9472.5400000000009</v>
      </c>
      <c r="I11" s="104">
        <f t="shared" si="2"/>
        <v>-2181897.4921990032</v>
      </c>
      <c r="J11" s="60"/>
      <c r="K11" s="84">
        <v>-2181897.4900000002</v>
      </c>
      <c r="L11" s="85">
        <f t="shared" si="1"/>
        <v>2.1990030072629452E-3</v>
      </c>
      <c r="M11" s="74"/>
    </row>
    <row r="12" spans="1:13" s="41" customFormat="1" ht="15.75">
      <c r="A12" s="76">
        <f t="shared" si="3"/>
        <v>202006</v>
      </c>
      <c r="B12" s="81">
        <v>4.7500000000000001E-2</v>
      </c>
      <c r="C12" s="58"/>
      <c r="D12" s="62">
        <v>0</v>
      </c>
      <c r="E12" s="83">
        <f t="shared" si="4"/>
        <v>-2181897.4921990032</v>
      </c>
      <c r="F12" s="82">
        <v>-221914.22001199971</v>
      </c>
      <c r="G12" s="157">
        <v>995442.01104200003</v>
      </c>
      <c r="H12" s="59">
        <f t="shared" si="0"/>
        <v>-7105.74</v>
      </c>
      <c r="I12" s="104">
        <f t="shared" si="2"/>
        <v>-1415475.441169003</v>
      </c>
      <c r="J12" s="60"/>
      <c r="K12" s="84">
        <v>-1415475.44</v>
      </c>
      <c r="L12" s="85">
        <f t="shared" si="1"/>
        <v>1.1690030805766582E-3</v>
      </c>
      <c r="M12" s="74"/>
    </row>
    <row r="13" spans="1:13" s="41" customFormat="1" ht="15.75">
      <c r="A13" s="76">
        <f t="shared" si="3"/>
        <v>202007</v>
      </c>
      <c r="B13" s="61">
        <v>3.4299999999999997E-2</v>
      </c>
      <c r="C13" s="58"/>
      <c r="D13" s="62">
        <v>0</v>
      </c>
      <c r="E13" s="83">
        <f t="shared" si="4"/>
        <v>-1415475.441169003</v>
      </c>
      <c r="F13" s="82">
        <v>-286329.88624400063</v>
      </c>
      <c r="G13" s="157">
        <v>1119731.3959779998</v>
      </c>
      <c r="H13" s="59">
        <f t="shared" si="0"/>
        <v>-2854.83</v>
      </c>
      <c r="I13" s="104">
        <f>SUM(E13:H13)</f>
        <v>-584928.76143500383</v>
      </c>
      <c r="J13" s="60"/>
      <c r="K13" s="84">
        <v>-584928.76</v>
      </c>
      <c r="L13" s="85">
        <f t="shared" ref="L13" si="5">K13-I13</f>
        <v>1.4350038254633546E-3</v>
      </c>
      <c r="M13" s="74"/>
    </row>
    <row r="14" spans="1:13" s="41" customFormat="1" ht="15.75">
      <c r="A14" s="76">
        <f t="shared" si="3"/>
        <v>202008</v>
      </c>
      <c r="B14" s="61">
        <v>3.4299999999999997E-2</v>
      </c>
      <c r="C14" s="58"/>
      <c r="D14" s="62">
        <v>0</v>
      </c>
      <c r="E14" s="83">
        <f t="shared" si="4"/>
        <v>-584928.76143500383</v>
      </c>
      <c r="F14" s="82">
        <v>-475108.5041119997</v>
      </c>
      <c r="G14" s="157">
        <v>1175024.5782880005</v>
      </c>
      <c r="H14" s="59">
        <f t="shared" si="0"/>
        <v>-671.62</v>
      </c>
      <c r="I14" s="104">
        <f>SUM(E14:H14)</f>
        <v>114315.69274099695</v>
      </c>
      <c r="J14" s="60"/>
      <c r="K14" s="84">
        <v>114315.69</v>
      </c>
      <c r="L14" s="85">
        <f t="shared" ref="L14" si="6">K14-I14</f>
        <v>-2.7409969479776919E-3</v>
      </c>
      <c r="M14" s="74"/>
    </row>
    <row r="15" spans="1:13" s="41" customFormat="1" ht="15.75">
      <c r="A15" s="76">
        <f t="shared" si="3"/>
        <v>202009</v>
      </c>
      <c r="B15" s="61">
        <v>3.4299999999999997E-2</v>
      </c>
      <c r="C15" s="58"/>
      <c r="D15" s="62">
        <v>0</v>
      </c>
      <c r="E15" s="83">
        <f t="shared" si="4"/>
        <v>114315.69274099695</v>
      </c>
      <c r="F15" s="82">
        <v>-412609.49763799895</v>
      </c>
      <c r="G15" s="157">
        <v>1016420.835708</v>
      </c>
      <c r="H15" s="59">
        <f t="shared" si="0"/>
        <v>1189.7</v>
      </c>
      <c r="I15" s="104">
        <f t="shared" ref="I15:I16" si="7">SUM(E15:H15)</f>
        <v>719316.73081099801</v>
      </c>
      <c r="J15" s="60"/>
      <c r="K15" s="84">
        <v>719316.73</v>
      </c>
      <c r="L15" s="85">
        <f t="shared" ref="L15" si="8">K15-I15</f>
        <v>-8.1099802628159523E-4</v>
      </c>
      <c r="M15" s="74"/>
    </row>
    <row r="16" spans="1:13" s="41" customFormat="1" ht="15.75">
      <c r="A16" s="76">
        <f t="shared" si="3"/>
        <v>202010</v>
      </c>
      <c r="B16" s="61">
        <v>3.2500000000000001E-2</v>
      </c>
      <c r="C16" s="58"/>
      <c r="D16" s="62">
        <v>0</v>
      </c>
      <c r="E16" s="83">
        <f t="shared" si="4"/>
        <v>719316.73081099801</v>
      </c>
      <c r="F16" s="82">
        <v>-164901.39884799952</v>
      </c>
      <c r="G16" s="157">
        <v>260754.5799239995</v>
      </c>
      <c r="H16" s="59">
        <f t="shared" si="0"/>
        <v>2077.9499999999998</v>
      </c>
      <c r="I16" s="104">
        <f t="shared" si="7"/>
        <v>817247.86188699794</v>
      </c>
      <c r="J16" s="60"/>
      <c r="K16" s="84">
        <v>817247.86</v>
      </c>
      <c r="L16" s="85">
        <f t="shared" ref="L16" si="9">K16-I16</f>
        <v>-1.8869979539886117E-3</v>
      </c>
      <c r="M16" s="74"/>
    </row>
    <row r="17" spans="1:23" s="41" customFormat="1" ht="15.75">
      <c r="A17" s="76">
        <f t="shared" si="3"/>
        <v>202011</v>
      </c>
      <c r="B17" s="61">
        <v>3.2500000000000001E-2</v>
      </c>
      <c r="C17" s="58"/>
      <c r="D17" s="62">
        <f>-I16</f>
        <v>-817247.86188699794</v>
      </c>
      <c r="E17" s="83">
        <f t="shared" si="4"/>
        <v>0</v>
      </c>
      <c r="F17" s="82">
        <v>274531.20816099923</v>
      </c>
      <c r="G17" s="157">
        <v>-636016.65180400014</v>
      </c>
      <c r="H17" s="59">
        <f t="shared" si="0"/>
        <v>-489.51</v>
      </c>
      <c r="I17" s="104">
        <f>SUM(E17:H17)</f>
        <v>-361974.95364300092</v>
      </c>
      <c r="J17" s="60"/>
      <c r="K17" s="84">
        <v>-361974.95</v>
      </c>
      <c r="L17" s="85">
        <f t="shared" ref="L17" si="10">K17-I17</f>
        <v>3.643000905867666E-3</v>
      </c>
      <c r="M17" s="47"/>
    </row>
    <row r="18" spans="1:23" s="41" customFormat="1" ht="16.5" thickBot="1">
      <c r="A18" s="77">
        <f t="shared" si="3"/>
        <v>202012</v>
      </c>
      <c r="B18" s="63">
        <v>3.2500000000000001E-2</v>
      </c>
      <c r="C18" s="78"/>
      <c r="D18" s="64">
        <v>0</v>
      </c>
      <c r="E18" s="65">
        <f t="shared" si="4"/>
        <v>-361974.95364300092</v>
      </c>
      <c r="F18" s="64">
        <v>986052.61182399932</v>
      </c>
      <c r="G18" s="64">
        <v>-1221931.857657</v>
      </c>
      <c r="H18" s="65">
        <f t="shared" si="0"/>
        <v>-1299.77</v>
      </c>
      <c r="I18" s="117">
        <f t="shared" ref="I18" si="11">SUM(E18:H18)</f>
        <v>-599153.96947600157</v>
      </c>
      <c r="J18" s="79"/>
      <c r="K18" s="66">
        <v>-599153.97</v>
      </c>
      <c r="L18" s="67">
        <f t="shared" ref="L18:L19" si="12">K18-I18</f>
        <v>-5.2399840205907822E-4</v>
      </c>
      <c r="M18" s="74"/>
    </row>
    <row r="19" spans="1:23" s="41" customFormat="1" ht="15.75">
      <c r="A19" s="80">
        <v>202101</v>
      </c>
      <c r="B19" s="81">
        <v>3.2500000000000001E-2</v>
      </c>
      <c r="C19" s="58"/>
      <c r="D19" s="82">
        <v>0</v>
      </c>
      <c r="E19" s="83">
        <f>I18+D19</f>
        <v>-599153.96947600157</v>
      </c>
      <c r="F19" s="82">
        <f>'Jan NEW FORMAT'!M37</f>
        <v>759776.25110800192</v>
      </c>
      <c r="G19" s="82">
        <f>'Jan NEW FORMAT'!L37</f>
        <v>-1158080.322801</v>
      </c>
      <c r="H19" s="158">
        <f>ROUND(((E19)*(B19/12))+((SUM(F19:G19)/2)*(B19/12)),2)</f>
        <v>-2162.08</v>
      </c>
      <c r="I19" s="83">
        <f>SUM(E19:H19)</f>
        <v>-999620.12116899958</v>
      </c>
      <c r="J19" s="60"/>
      <c r="K19" s="84">
        <v>-999620.12</v>
      </c>
      <c r="L19" s="85">
        <f t="shared" si="12"/>
        <v>1.1689995881170034E-3</v>
      </c>
      <c r="M19" s="74"/>
    </row>
    <row r="20" spans="1:23" s="41" customFormat="1" ht="15.75">
      <c r="A20" s="76">
        <f>A19+1</f>
        <v>202102</v>
      </c>
      <c r="B20" s="81">
        <v>3.2500000000000001E-2</v>
      </c>
      <c r="C20" s="58"/>
      <c r="D20" s="62">
        <v>0</v>
      </c>
      <c r="E20" s="83">
        <f>I19+D20</f>
        <v>-999620.12116899958</v>
      </c>
      <c r="F20" s="82">
        <f>'Feb NEW FORMAT'!M37</f>
        <v>3250005.8152399994</v>
      </c>
      <c r="G20" s="82">
        <f>'Feb NEW FORMAT'!L37</f>
        <v>-1308687.1376409999</v>
      </c>
      <c r="H20" s="59">
        <f t="shared" ref="H20" si="13">ROUND(((E20)*(B20/12))+((SUM(F20:G20)/2)*(B20/12)),2)</f>
        <v>-78.44</v>
      </c>
      <c r="I20" s="104">
        <f t="shared" ref="I20:I24" si="14">SUM(E20:H20)</f>
        <v>941620.11643000017</v>
      </c>
      <c r="J20" s="60"/>
      <c r="K20" s="84">
        <v>941663.63</v>
      </c>
      <c r="L20" s="85">
        <f t="shared" ref="L20" si="15">K20-I20</f>
        <v>43.513569999835454</v>
      </c>
      <c r="M20" s="74"/>
    </row>
    <row r="21" spans="1:23" s="41" customFormat="1" ht="15.75">
      <c r="A21" s="76">
        <f t="shared" ref="A21:A30" si="16">A20+1</f>
        <v>202103</v>
      </c>
      <c r="B21" s="81">
        <v>3.2500000000000001E-2</v>
      </c>
      <c r="C21" s="58"/>
      <c r="D21" s="62">
        <v>0</v>
      </c>
      <c r="E21" s="83">
        <f>I20+D21</f>
        <v>941620.11643000017</v>
      </c>
      <c r="F21" s="82">
        <f>'Mar NEW FORMAT'!M37</f>
        <v>-477149.37523399992</v>
      </c>
      <c r="G21" s="82">
        <f>'Mar NEW FORMAT'!L37</f>
        <v>-528059.47194600035</v>
      </c>
      <c r="H21" s="59">
        <f>ROUND(((E21)*(B21/12))+((SUM(F21:G21)/2)*(B21/12)),2)</f>
        <v>1189</v>
      </c>
      <c r="I21" s="104">
        <f t="shared" si="14"/>
        <v>-62399.730750000104</v>
      </c>
      <c r="J21" s="60"/>
      <c r="K21" s="84">
        <v>-62159.9</v>
      </c>
      <c r="L21" s="85">
        <f t="shared" ref="L21" si="17">K21-I21</f>
        <v>239.83075000010285</v>
      </c>
      <c r="M21" s="74"/>
    </row>
    <row r="22" spans="1:23" s="41" customFormat="1" ht="15.75">
      <c r="A22" s="76">
        <f t="shared" si="16"/>
        <v>202104</v>
      </c>
      <c r="B22" s="81">
        <v>3.2500000000000001E-2</v>
      </c>
      <c r="C22" s="58"/>
      <c r="D22" s="62">
        <v>0</v>
      </c>
      <c r="E22" s="83">
        <f>I21+D22</f>
        <v>-62399.730750000104</v>
      </c>
      <c r="F22" s="82">
        <f>'April NEW FORMAT'!M37</f>
        <v>168916.46053000027</v>
      </c>
      <c r="G22" s="82">
        <f>'April NEW FORMAT'!L37</f>
        <v>280833.7815040003</v>
      </c>
      <c r="H22" s="59">
        <f t="shared" ref="H22:H30" si="18">ROUND(((E22)*(B22/12))+((SUM(F22:G22)/2)*(B22/12)),2)</f>
        <v>440.04</v>
      </c>
      <c r="I22" s="104">
        <f t="shared" si="14"/>
        <v>387790.55128400045</v>
      </c>
      <c r="J22" s="60"/>
      <c r="K22" s="84">
        <v>387790.55</v>
      </c>
      <c r="L22" s="85">
        <f t="shared" ref="L22" si="19">K22-I22</f>
        <v>-1.284000463783741E-3</v>
      </c>
      <c r="M22" s="74"/>
      <c r="N22" s="265">
        <v>450190.28</v>
      </c>
      <c r="O22" s="265" t="s">
        <v>138</v>
      </c>
    </row>
    <row r="23" spans="1:23" s="41" customFormat="1" ht="15.75">
      <c r="A23" s="76">
        <f t="shared" si="16"/>
        <v>202105</v>
      </c>
      <c r="B23" s="81"/>
      <c r="C23" s="58"/>
      <c r="D23" s="62">
        <v>0</v>
      </c>
      <c r="E23" s="83"/>
      <c r="F23" s="82"/>
      <c r="G23" s="157"/>
      <c r="H23" s="59">
        <f t="shared" si="18"/>
        <v>0</v>
      </c>
      <c r="I23" s="104">
        <f t="shared" si="14"/>
        <v>0</v>
      </c>
      <c r="J23" s="60"/>
      <c r="K23" s="84"/>
      <c r="L23" s="85"/>
      <c r="M23" s="74"/>
      <c r="N23" s="265">
        <v>-239.83</v>
      </c>
      <c r="O23" s="265" t="s">
        <v>139</v>
      </c>
    </row>
    <row r="24" spans="1:23" s="41" customFormat="1" ht="15.75">
      <c r="A24" s="76">
        <f t="shared" si="16"/>
        <v>202106</v>
      </c>
      <c r="B24" s="81"/>
      <c r="C24" s="58"/>
      <c r="D24" s="62">
        <v>0</v>
      </c>
      <c r="E24" s="83"/>
      <c r="F24" s="82"/>
      <c r="G24" s="157"/>
      <c r="H24" s="59">
        <f t="shared" si="18"/>
        <v>0</v>
      </c>
      <c r="I24" s="104">
        <f t="shared" si="14"/>
        <v>0</v>
      </c>
      <c r="J24" s="60"/>
      <c r="K24" s="84"/>
      <c r="L24" s="85"/>
      <c r="M24" s="74"/>
      <c r="N24" s="266">
        <f>SUM(N22:N23)</f>
        <v>449950.45</v>
      </c>
      <c r="O24" s="265"/>
    </row>
    <row r="25" spans="1:23" s="41" customFormat="1" ht="15.75">
      <c r="A25" s="76">
        <f t="shared" si="16"/>
        <v>202107</v>
      </c>
      <c r="B25" s="61"/>
      <c r="C25" s="58"/>
      <c r="D25" s="62">
        <v>0</v>
      </c>
      <c r="E25" s="83"/>
      <c r="F25" s="82"/>
      <c r="G25" s="157"/>
      <c r="H25" s="59">
        <f t="shared" si="18"/>
        <v>0</v>
      </c>
      <c r="I25" s="104">
        <f>SUM(E25:H25)</f>
        <v>0</v>
      </c>
      <c r="J25" s="60"/>
      <c r="K25" s="84"/>
      <c r="L25" s="85"/>
      <c r="M25" s="74"/>
      <c r="N25" s="267">
        <f>N24+L22</f>
        <v>449950.44871599955</v>
      </c>
    </row>
    <row r="26" spans="1:23" s="41" customFormat="1" ht="15.75">
      <c r="A26" s="76">
        <f t="shared" si="16"/>
        <v>202108</v>
      </c>
      <c r="B26" s="61"/>
      <c r="C26" s="58"/>
      <c r="D26" s="62">
        <v>0</v>
      </c>
      <c r="E26" s="83"/>
      <c r="F26" s="82"/>
      <c r="G26" s="157"/>
      <c r="H26" s="59">
        <f t="shared" si="18"/>
        <v>0</v>
      </c>
      <c r="I26" s="104">
        <f>SUM(E26:H26)</f>
        <v>0</v>
      </c>
      <c r="J26" s="60"/>
      <c r="K26" s="84"/>
      <c r="L26" s="85"/>
      <c r="M26" s="74"/>
    </row>
    <row r="27" spans="1:23" s="41" customFormat="1" ht="15.75">
      <c r="A27" s="76">
        <f t="shared" si="16"/>
        <v>202109</v>
      </c>
      <c r="B27" s="61"/>
      <c r="C27" s="58"/>
      <c r="D27" s="62">
        <v>0</v>
      </c>
      <c r="E27" s="83"/>
      <c r="F27" s="82"/>
      <c r="G27" s="157"/>
      <c r="H27" s="59">
        <f t="shared" si="18"/>
        <v>0</v>
      </c>
      <c r="I27" s="104">
        <f t="shared" ref="I27:I28" si="20">SUM(E27:H27)</f>
        <v>0</v>
      </c>
      <c r="J27" s="60"/>
      <c r="K27" s="84"/>
      <c r="L27" s="85"/>
      <c r="M27" s="74"/>
    </row>
    <row r="28" spans="1:23" s="41" customFormat="1" ht="15.75">
      <c r="A28" s="76">
        <f t="shared" si="16"/>
        <v>202110</v>
      </c>
      <c r="B28" s="61"/>
      <c r="C28" s="58"/>
      <c r="D28" s="62">
        <v>0</v>
      </c>
      <c r="E28" s="83"/>
      <c r="F28" s="82"/>
      <c r="G28" s="157"/>
      <c r="H28" s="59">
        <f t="shared" si="18"/>
        <v>0</v>
      </c>
      <c r="I28" s="104">
        <f t="shared" si="20"/>
        <v>0</v>
      </c>
      <c r="J28" s="60"/>
      <c r="K28" s="84"/>
      <c r="L28" s="85"/>
      <c r="M28" s="74"/>
    </row>
    <row r="29" spans="1:23" s="41" customFormat="1" ht="15.75">
      <c r="A29" s="76">
        <f t="shared" si="16"/>
        <v>202111</v>
      </c>
      <c r="B29" s="61"/>
      <c r="C29" s="58"/>
      <c r="D29" s="62"/>
      <c r="E29" s="83"/>
      <c r="F29" s="82"/>
      <c r="G29" s="157"/>
      <c r="H29" s="59">
        <f t="shared" si="18"/>
        <v>0</v>
      </c>
      <c r="I29" s="104">
        <f>SUM(E29:H29)</f>
        <v>0</v>
      </c>
      <c r="J29" s="60"/>
      <c r="K29" s="84"/>
      <c r="L29" s="85"/>
      <c r="M29" s="47"/>
    </row>
    <row r="30" spans="1:23" s="41" customFormat="1" ht="16.5" thickBot="1">
      <c r="A30" s="77">
        <f t="shared" si="16"/>
        <v>202112</v>
      </c>
      <c r="B30" s="63"/>
      <c r="C30" s="78"/>
      <c r="D30" s="64">
        <v>0</v>
      </c>
      <c r="E30" s="65"/>
      <c r="F30" s="64"/>
      <c r="G30" s="64"/>
      <c r="H30" s="65">
        <f t="shared" si="18"/>
        <v>0</v>
      </c>
      <c r="I30" s="117">
        <f t="shared" ref="I30" si="21">SUM(E30:H30)</f>
        <v>0</v>
      </c>
      <c r="J30" s="79"/>
      <c r="K30" s="84"/>
      <c r="L30" s="85"/>
      <c r="M30" s="74"/>
    </row>
    <row r="31" spans="1:23" ht="15.75">
      <c r="A31" s="56"/>
      <c r="B31" s="56"/>
      <c r="C31" s="57"/>
      <c r="D31" s="68">
        <f>SUMIF($A$7:$A$30,$D34,D$7:D$30)</f>
        <v>0</v>
      </c>
      <c r="E31" s="56"/>
      <c r="F31" s="68">
        <f>SUMIF($A$7:$A$30,$D34,F$7:F$30)</f>
        <v>168916.46053000027</v>
      </c>
      <c r="G31" s="68">
        <f>SUMIF($A$7:$A$30,$D34,G$7:G$30)</f>
        <v>280833.7815040003</v>
      </c>
      <c r="H31" s="68">
        <f>SUMIF($A$7:$A$30,$D34,H$7:H$30)</f>
        <v>440.04</v>
      </c>
      <c r="I31" s="69" t="s">
        <v>49</v>
      </c>
      <c r="J31" s="57"/>
      <c r="K31" s="56"/>
      <c r="L31" s="56"/>
      <c r="M31" s="73"/>
      <c r="Q31" s="46"/>
      <c r="R31" s="47"/>
      <c r="S31" s="47"/>
      <c r="T31" s="48"/>
      <c r="U31" s="34"/>
      <c r="V31" s="34"/>
      <c r="W31" s="34"/>
    </row>
    <row r="32" spans="1:23" s="122" customFormat="1">
      <c r="A32" s="72"/>
      <c r="B32" s="72"/>
      <c r="C32" s="119"/>
      <c r="D32" s="120" t="s">
        <v>67</v>
      </c>
      <c r="E32" s="72"/>
      <c r="F32" s="120" t="s">
        <v>60</v>
      </c>
      <c r="G32" s="120" t="s">
        <v>61</v>
      </c>
      <c r="H32" s="120" t="s">
        <v>62</v>
      </c>
      <c r="I32" s="72"/>
      <c r="J32" s="119"/>
      <c r="K32" s="72"/>
      <c r="L32" s="72"/>
      <c r="M32" s="121"/>
      <c r="Q32" s="123"/>
      <c r="R32" s="123"/>
      <c r="S32" s="123"/>
      <c r="T32" s="123"/>
      <c r="U32" s="123"/>
      <c r="V32" s="123"/>
      <c r="W32" s="123"/>
    </row>
    <row r="33" spans="1:23">
      <c r="A33" s="56"/>
      <c r="B33" s="56"/>
      <c r="C33" s="57"/>
      <c r="D33" s="56"/>
      <c r="E33" s="56"/>
      <c r="F33" s="56"/>
      <c r="G33" s="56"/>
      <c r="H33" s="56"/>
      <c r="I33" s="56"/>
      <c r="J33" s="57"/>
      <c r="K33" s="56"/>
      <c r="L33" s="56"/>
      <c r="M33" s="73"/>
      <c r="Q33" s="34"/>
      <c r="R33" s="34"/>
      <c r="S33" s="34"/>
      <c r="T33" s="34"/>
      <c r="U33" s="34"/>
      <c r="V33" s="34"/>
      <c r="W33" s="34"/>
    </row>
    <row r="34" spans="1:23">
      <c r="A34" s="56"/>
      <c r="B34" s="56"/>
      <c r="C34" s="57"/>
      <c r="D34" s="49">
        <v>202104</v>
      </c>
      <c r="E34" s="50" t="s">
        <v>50</v>
      </c>
      <c r="F34" s="51"/>
      <c r="G34" s="56"/>
      <c r="H34" s="56"/>
      <c r="I34" s="56"/>
      <c r="J34" s="57"/>
      <c r="K34" s="56"/>
      <c r="L34" s="56"/>
      <c r="M34" s="73"/>
    </row>
    <row r="35" spans="1:23">
      <c r="A35" s="56"/>
      <c r="B35" s="56"/>
      <c r="C35" s="57"/>
      <c r="D35" s="52" t="s">
        <v>51</v>
      </c>
      <c r="E35" s="52" t="s">
        <v>52</v>
      </c>
      <c r="F35" s="52" t="s">
        <v>53</v>
      </c>
      <c r="G35" s="56"/>
      <c r="H35" s="56"/>
      <c r="I35" s="56"/>
      <c r="J35" s="57"/>
      <c r="K35" s="56"/>
      <c r="L35" s="56"/>
      <c r="M35" s="73"/>
    </row>
    <row r="36" spans="1:23">
      <c r="A36" s="56"/>
      <c r="B36" s="56"/>
      <c r="C36" s="70" t="s">
        <v>21</v>
      </c>
      <c r="D36" s="53" t="s">
        <v>54</v>
      </c>
      <c r="E36" s="54"/>
      <c r="F36" s="55">
        <f>IF($H$31&gt;0,ABS($H$31),"")</f>
        <v>440.04</v>
      </c>
      <c r="G36" s="72" t="s">
        <v>62</v>
      </c>
      <c r="H36" s="56"/>
      <c r="I36" s="56"/>
      <c r="J36" s="57"/>
      <c r="K36" s="56"/>
      <c r="L36" s="56"/>
      <c r="M36" s="73"/>
    </row>
    <row r="37" spans="1:23">
      <c r="A37" s="56"/>
      <c r="B37" s="56"/>
      <c r="C37" s="70" t="s">
        <v>58</v>
      </c>
      <c r="D37" s="53" t="s">
        <v>55</v>
      </c>
      <c r="E37" s="55" t="str">
        <f>IF($H$31&lt;0,ABS($H$31),"")</f>
        <v/>
      </c>
      <c r="F37" s="54"/>
      <c r="G37" s="72" t="s">
        <v>62</v>
      </c>
      <c r="H37" s="56"/>
      <c r="I37" s="56"/>
      <c r="J37" s="57"/>
      <c r="K37" s="56"/>
      <c r="L37" s="56"/>
      <c r="M37" s="73"/>
    </row>
    <row r="38" spans="1:23">
      <c r="A38" s="56"/>
      <c r="B38" s="56"/>
      <c r="C38" s="70" t="s">
        <v>83</v>
      </c>
      <c r="D38" s="53" t="s">
        <v>56</v>
      </c>
      <c r="E38" s="55">
        <f>IF($F$31+$G$31+H31&gt;0,ABS($F$31+$G$31+H31),"")</f>
        <v>450190.28203400056</v>
      </c>
      <c r="F38" s="55" t="str">
        <f>IF($F$31+$G$31+H31&lt;0,ABS($F$31+$G$31+H31),"")</f>
        <v/>
      </c>
      <c r="G38" s="72" t="s">
        <v>63</v>
      </c>
      <c r="H38" s="56"/>
      <c r="I38" s="56"/>
      <c r="J38" s="57"/>
      <c r="K38" s="56"/>
      <c r="L38" s="56"/>
      <c r="M38" s="73"/>
    </row>
    <row r="39" spans="1:23">
      <c r="A39" s="56"/>
      <c r="B39" s="56"/>
      <c r="C39" s="70" t="s">
        <v>59</v>
      </c>
      <c r="D39" s="53" t="s">
        <v>57</v>
      </c>
      <c r="E39" s="55" t="str">
        <f>IF($F$31+$G$31&lt;0,ABS($F$31+$G$31),"")</f>
        <v/>
      </c>
      <c r="F39" s="55">
        <f>IF($F$31+$G$31&gt;0,ABS($F$31+$G$31),"")</f>
        <v>449750.24203400058</v>
      </c>
      <c r="G39" s="72" t="s">
        <v>64</v>
      </c>
      <c r="H39" s="56"/>
      <c r="I39" s="56"/>
      <c r="J39" s="57"/>
      <c r="K39" s="56"/>
      <c r="L39" s="56"/>
      <c r="M39" s="73"/>
    </row>
    <row r="40" spans="1:23">
      <c r="A40" s="56"/>
      <c r="B40" s="56"/>
      <c r="C40" s="57"/>
      <c r="D40" s="56"/>
      <c r="E40" s="56"/>
      <c r="F40" s="56"/>
      <c r="G40" s="72"/>
      <c r="H40" s="56"/>
      <c r="I40" s="56"/>
      <c r="J40" s="57"/>
      <c r="K40" s="56"/>
      <c r="L40" s="56"/>
      <c r="M40" s="73"/>
    </row>
    <row r="41" spans="1:23">
      <c r="A41" s="56"/>
      <c r="B41" s="56"/>
      <c r="C41" s="57"/>
      <c r="D41" s="56"/>
      <c r="E41" s="56"/>
      <c r="F41" s="71">
        <f>SUM(E36:E39)-SUM(F36:F39)</f>
        <v>0</v>
      </c>
      <c r="G41" s="72" t="s">
        <v>65</v>
      </c>
      <c r="H41" s="56"/>
      <c r="I41" s="56"/>
      <c r="J41" s="57"/>
      <c r="K41" s="56"/>
      <c r="L41" s="56"/>
      <c r="M41" s="73"/>
    </row>
    <row r="42" spans="1:23">
      <c r="G42" s="122"/>
    </row>
    <row r="43" spans="1:23" ht="15.75">
      <c r="D43" s="52" t="s">
        <v>66</v>
      </c>
      <c r="E43" s="87"/>
      <c r="F43" s="88"/>
      <c r="G43" s="124"/>
    </row>
    <row r="44" spans="1:23">
      <c r="D44" s="53" t="s">
        <v>56</v>
      </c>
      <c r="E44" s="55" t="str">
        <f>IF($D$31&gt;0,ABS($D$31),"")</f>
        <v/>
      </c>
      <c r="F44" s="90"/>
      <c r="G44" s="72" t="s">
        <v>67</v>
      </c>
    </row>
    <row r="45" spans="1:23">
      <c r="D45" s="89" t="s">
        <v>68</v>
      </c>
      <c r="E45" s="90">
        <f>F44</f>
        <v>0</v>
      </c>
      <c r="F45" s="55" t="str">
        <f>E44</f>
        <v/>
      </c>
      <c r="G45" s="91"/>
    </row>
  </sheetData>
  <printOptions horizontalCentered="1"/>
  <pageMargins left="0.25" right="0.25" top="0.5" bottom="0.5" header="0.3" footer="0.3"/>
  <pageSetup scale="74" orientation="landscape" r:id="rId1"/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47"/>
  <sheetViews>
    <sheetView zoomScale="90" zoomScaleNormal="90" workbookViewId="0">
      <pane ySplit="6" topLeftCell="A7" activePane="bottomLeft" state="frozen"/>
      <selection activeCell="F17" sqref="F17"/>
      <selection pane="bottomLeft" activeCell="O20" sqref="O20"/>
    </sheetView>
  </sheetViews>
  <sheetFormatPr defaultColWidth="8.85546875" defaultRowHeight="12.75" outlineLevelCol="1"/>
  <cols>
    <col min="1" max="1" width="9.140625" style="56" customWidth="1"/>
    <col min="2" max="2" width="9" style="56" bestFit="1" customWidth="1"/>
    <col min="3" max="3" width="14.140625" style="56" bestFit="1" customWidth="1"/>
    <col min="4" max="4" width="12.85546875" style="56" bestFit="1" customWidth="1"/>
    <col min="5" max="5" width="14.140625" style="56" bestFit="1" customWidth="1"/>
    <col min="6" max="6" width="14.28515625" style="56" bestFit="1" customWidth="1"/>
    <col min="7" max="7" width="12.42578125" style="56" customWidth="1"/>
    <col min="8" max="8" width="13.140625" style="56" bestFit="1" customWidth="1"/>
    <col min="9" max="9" width="11.5703125" style="56" bestFit="1" customWidth="1"/>
    <col min="10" max="10" width="10.140625" style="56" bestFit="1" customWidth="1"/>
    <col min="11" max="11" width="12.42578125" style="56" bestFit="1" customWidth="1"/>
    <col min="12" max="12" width="11.5703125" style="56" hidden="1" customWidth="1" outlineLevel="1"/>
    <col min="13" max="13" width="11" style="56" hidden="1" customWidth="1" outlineLevel="1"/>
    <col min="14" max="14" width="11.5703125" style="56" hidden="1" customWidth="1" outlineLevel="1"/>
    <col min="15" max="15" width="11.28515625" style="56" bestFit="1" customWidth="1" collapsed="1"/>
    <col min="16" max="16" width="14.140625" style="56" bestFit="1" customWidth="1"/>
    <col min="17" max="17" width="1.7109375" style="112" customWidth="1"/>
    <col min="18" max="18" width="14.140625" style="56" bestFit="1" customWidth="1"/>
    <col min="19" max="19" width="13.28515625" style="57" bestFit="1" customWidth="1"/>
    <col min="20" max="20" width="13.5703125" style="56" customWidth="1"/>
    <col min="21" max="21" width="13.85546875" style="56" bestFit="1" customWidth="1"/>
    <col min="22" max="24" width="8.85546875" style="56"/>
    <col min="25" max="25" width="12.7109375" style="56" customWidth="1"/>
    <col min="26" max="27" width="13.140625" style="56" bestFit="1" customWidth="1"/>
    <col min="28" max="16384" width="8.85546875" style="56"/>
  </cols>
  <sheetData>
    <row r="1" spans="1:21" s="37" customFormat="1" ht="15.75">
      <c r="A1" s="94" t="s">
        <v>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1" s="37" customFormat="1" ht="15.75">
      <c r="A2" s="94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1" s="37" customFormat="1" ht="15.75">
      <c r="A3" s="94" t="s">
        <v>82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21" s="37" customFormat="1" ht="15.75">
      <c r="A4" s="94" t="s">
        <v>46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21" s="40" customFormat="1" ht="13.5" thickBot="1">
      <c r="A5" s="92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21" s="93" customFormat="1" ht="56.45" customHeight="1">
      <c r="A6" s="43" t="s">
        <v>43</v>
      </c>
      <c r="B6" s="43" t="s">
        <v>41</v>
      </c>
      <c r="C6" s="43" t="s">
        <v>69</v>
      </c>
      <c r="D6" s="43" t="s">
        <v>72</v>
      </c>
      <c r="E6" s="107" t="s">
        <v>40</v>
      </c>
      <c r="F6" s="98" t="s">
        <v>77</v>
      </c>
      <c r="G6" s="99" t="s">
        <v>70</v>
      </c>
      <c r="H6" s="100" t="s">
        <v>48</v>
      </c>
      <c r="I6" s="98" t="s">
        <v>78</v>
      </c>
      <c r="J6" s="99" t="s">
        <v>70</v>
      </c>
      <c r="K6" s="100" t="s">
        <v>48</v>
      </c>
      <c r="L6" s="98" t="s">
        <v>79</v>
      </c>
      <c r="M6" s="99" t="s">
        <v>70</v>
      </c>
      <c r="N6" s="100" t="s">
        <v>48</v>
      </c>
      <c r="O6" s="110" t="s">
        <v>3</v>
      </c>
      <c r="P6" s="43" t="s">
        <v>15</v>
      </c>
      <c r="Q6" s="111"/>
      <c r="R6" s="45" t="s">
        <v>44</v>
      </c>
      <c r="S6" s="45" t="s">
        <v>45</v>
      </c>
    </row>
    <row r="7" spans="1:21">
      <c r="A7" s="147" t="s">
        <v>85</v>
      </c>
      <c r="B7" s="95">
        <f>'191010 WA DEF'!B7</f>
        <v>4.9599999999999998E-2</v>
      </c>
      <c r="C7" s="83">
        <v>0</v>
      </c>
      <c r="D7" s="83">
        <v>0</v>
      </c>
      <c r="E7" s="97">
        <v>985404.04219200055</v>
      </c>
      <c r="F7" s="105">
        <f>19882002+20223</f>
        <v>19902225</v>
      </c>
      <c r="G7" s="96">
        <v>-4.0899999999999999E-3</v>
      </c>
      <c r="H7" s="109">
        <f>F7*G7</f>
        <v>-81400.100250000003</v>
      </c>
      <c r="I7" s="106">
        <v>7441465</v>
      </c>
      <c r="J7" s="96">
        <v>-1.035E-2</v>
      </c>
      <c r="K7" s="109">
        <f>I7*J7</f>
        <v>-77019.162750000003</v>
      </c>
      <c r="L7" s="106">
        <v>176036</v>
      </c>
      <c r="M7" s="96">
        <v>-1.035E-2</v>
      </c>
      <c r="N7" s="109">
        <f>L7*M7</f>
        <v>-1821.9726000000001</v>
      </c>
      <c r="O7" s="103">
        <f t="shared" ref="O7:O18" si="0">ROUND(((E7*(B7/12))+(H7+K7+N7)/2*(B7/12)),2)</f>
        <v>3741.84</v>
      </c>
      <c r="P7" s="83">
        <f t="shared" ref="P7:P18" si="1">E7+H7+K7+N7+O7</f>
        <v>828904.6465920005</v>
      </c>
      <c r="Q7" s="47"/>
      <c r="R7" s="84">
        <v>823211.28</v>
      </c>
      <c r="S7" s="85">
        <f t="shared" ref="S7:S9" si="2">R7-P7</f>
        <v>-5693.3665920004714</v>
      </c>
    </row>
    <row r="8" spans="1:21">
      <c r="A8" s="147" t="s">
        <v>86</v>
      </c>
      <c r="B8" s="95">
        <f>'191010 WA DEF'!B8</f>
        <v>4.9599999999999998E-2</v>
      </c>
      <c r="C8" s="59">
        <v>0</v>
      </c>
      <c r="D8" s="59">
        <v>0</v>
      </c>
      <c r="E8" s="108">
        <f t="shared" ref="E8:E18" si="3">P7+C8+D8</f>
        <v>828904.6465920005</v>
      </c>
      <c r="F8" s="105">
        <f>18132989+23546</f>
        <v>18156535</v>
      </c>
      <c r="G8" s="96">
        <v>-4.0899999999999999E-3</v>
      </c>
      <c r="H8" s="109">
        <f t="shared" ref="H8:H16" si="4">F8*G8</f>
        <v>-74260.228149999995</v>
      </c>
      <c r="I8" s="106">
        <v>7239397</v>
      </c>
      <c r="J8" s="96">
        <v>-1.035E-2</v>
      </c>
      <c r="K8" s="109">
        <f t="shared" ref="K8:K16" si="5">I8*J8</f>
        <v>-74927.758950000003</v>
      </c>
      <c r="L8" s="106">
        <v>155563</v>
      </c>
      <c r="M8" s="96">
        <v>-1.035E-2</v>
      </c>
      <c r="N8" s="109">
        <f t="shared" ref="N8:N16" si="6">L8*M8</f>
        <v>-1610.0770499999999</v>
      </c>
      <c r="O8" s="104">
        <f t="shared" si="0"/>
        <v>3114.49</v>
      </c>
      <c r="P8" s="59">
        <f t="shared" si="1"/>
        <v>681221.0724420005</v>
      </c>
      <c r="Q8" s="47"/>
      <c r="R8" s="84">
        <v>675504.18</v>
      </c>
      <c r="S8" s="85">
        <f t="shared" si="2"/>
        <v>-5716.8924420004478</v>
      </c>
    </row>
    <row r="9" spans="1:21">
      <c r="A9" s="147" t="s">
        <v>87</v>
      </c>
      <c r="B9" s="95">
        <f>'191010 WA DEF'!B9</f>
        <v>4.9599999999999998E-2</v>
      </c>
      <c r="C9" s="59">
        <v>0</v>
      </c>
      <c r="D9" s="59">
        <v>0</v>
      </c>
      <c r="E9" s="108">
        <f t="shared" si="3"/>
        <v>681221.0724420005</v>
      </c>
      <c r="F9" s="105">
        <f>16716589+20495</f>
        <v>16737084</v>
      </c>
      <c r="G9" s="96">
        <v>-4.0899999999999999E-3</v>
      </c>
      <c r="H9" s="109">
        <f t="shared" si="4"/>
        <v>-68454.673559999996</v>
      </c>
      <c r="I9" s="106">
        <v>6588074</v>
      </c>
      <c r="J9" s="96">
        <v>-1.035E-2</v>
      </c>
      <c r="K9" s="109">
        <f t="shared" si="5"/>
        <v>-68186.565900000001</v>
      </c>
      <c r="L9" s="106">
        <v>135456</v>
      </c>
      <c r="M9" s="96">
        <v>-1.035E-2</v>
      </c>
      <c r="N9" s="109">
        <f t="shared" si="6"/>
        <v>-1401.9695999999999</v>
      </c>
      <c r="O9" s="104">
        <f t="shared" si="0"/>
        <v>2530.42</v>
      </c>
      <c r="P9" s="59">
        <f t="shared" si="1"/>
        <v>545708.28338200052</v>
      </c>
      <c r="Q9" s="47"/>
      <c r="R9" s="84">
        <v>540247.84</v>
      </c>
      <c r="S9" s="85">
        <f t="shared" si="2"/>
        <v>-5460.4433820005506</v>
      </c>
    </row>
    <row r="10" spans="1:21">
      <c r="A10" s="147" t="s">
        <v>88</v>
      </c>
      <c r="B10" s="95">
        <f>'191010 WA DEF'!B10</f>
        <v>4.7500000000000001E-2</v>
      </c>
      <c r="C10" s="59">
        <v>0</v>
      </c>
      <c r="D10" s="59">
        <v>0</v>
      </c>
      <c r="E10" s="108">
        <f t="shared" si="3"/>
        <v>545708.28338200052</v>
      </c>
      <c r="F10" s="105">
        <f>8669321+11194</f>
        <v>8680515</v>
      </c>
      <c r="G10" s="96">
        <v>-4.0899999999999999E-3</v>
      </c>
      <c r="H10" s="109">
        <f t="shared" si="4"/>
        <v>-35503.306349999999</v>
      </c>
      <c r="I10" s="106">
        <v>3389688</v>
      </c>
      <c r="J10" s="96">
        <v>-1.035E-2</v>
      </c>
      <c r="K10" s="109">
        <f t="shared" si="5"/>
        <v>-35083.270799999998</v>
      </c>
      <c r="L10" s="106">
        <v>-28206</v>
      </c>
      <c r="M10" s="96">
        <v>-1.035E-2</v>
      </c>
      <c r="N10" s="109">
        <f t="shared" si="6"/>
        <v>291.93209999999999</v>
      </c>
      <c r="O10" s="104">
        <f t="shared" si="0"/>
        <v>2020.97</v>
      </c>
      <c r="P10" s="59">
        <f t="shared" si="1"/>
        <v>477434.6083320005</v>
      </c>
      <c r="Q10" s="47"/>
      <c r="R10" s="84">
        <v>471952.55</v>
      </c>
      <c r="S10" s="85">
        <f t="shared" ref="S10" si="7">R10-P10</f>
        <v>-5482.0583320005098</v>
      </c>
    </row>
    <row r="11" spans="1:21">
      <c r="A11" s="147" t="s">
        <v>89</v>
      </c>
      <c r="B11" s="95">
        <f>'191010 WA DEF'!B11</f>
        <v>4.7500000000000001E-2</v>
      </c>
      <c r="C11" s="59">
        <v>0</v>
      </c>
      <c r="D11" s="59">
        <v>0</v>
      </c>
      <c r="E11" s="108">
        <f t="shared" si="3"/>
        <v>477434.6083320005</v>
      </c>
      <c r="F11" s="105">
        <f>5170311+6951</f>
        <v>5177262</v>
      </c>
      <c r="G11" s="96">
        <v>-4.0899999999999999E-3</v>
      </c>
      <c r="H11" s="109">
        <f t="shared" si="4"/>
        <v>-21175.00158</v>
      </c>
      <c r="I11" s="106">
        <v>2662302</v>
      </c>
      <c r="J11" s="96">
        <v>-1.035E-2</v>
      </c>
      <c r="K11" s="109">
        <f t="shared" si="5"/>
        <v>-27554.825700000001</v>
      </c>
      <c r="L11" s="106">
        <v>-100434</v>
      </c>
      <c r="M11" s="96">
        <v>-1.035E-2</v>
      </c>
      <c r="N11" s="109">
        <f t="shared" si="6"/>
        <v>1039.4919</v>
      </c>
      <c r="O11" s="104">
        <f t="shared" si="0"/>
        <v>1795.46</v>
      </c>
      <c r="P11" s="59">
        <f t="shared" si="1"/>
        <v>431539.73295200057</v>
      </c>
      <c r="Q11" s="47"/>
      <c r="R11" s="84">
        <v>426035.97</v>
      </c>
      <c r="S11" s="85">
        <f t="shared" ref="S11" si="8">R11-P11</f>
        <v>-5503.7629520006012</v>
      </c>
    </row>
    <row r="12" spans="1:21">
      <c r="A12" s="147" t="s">
        <v>90</v>
      </c>
      <c r="B12" s="95">
        <f>'191010 WA DEF'!B12</f>
        <v>4.7500000000000001E-2</v>
      </c>
      <c r="C12" s="59">
        <v>0</v>
      </c>
      <c r="D12" s="59">
        <v>0</v>
      </c>
      <c r="E12" s="108">
        <f t="shared" si="3"/>
        <v>431539.73295200057</v>
      </c>
      <c r="F12" s="105">
        <f>3317015+4575</f>
        <v>3321590</v>
      </c>
      <c r="G12" s="96">
        <v>-4.0899999999999999E-3</v>
      </c>
      <c r="H12" s="109">
        <f t="shared" si="4"/>
        <v>-13585.303099999999</v>
      </c>
      <c r="I12" s="106">
        <v>1746909</v>
      </c>
      <c r="J12" s="96">
        <v>-1.035E-2</v>
      </c>
      <c r="K12" s="109">
        <f t="shared" si="5"/>
        <v>-18080.508150000001</v>
      </c>
      <c r="L12" s="106">
        <v>0</v>
      </c>
      <c r="M12" s="96">
        <v>-1.035E-2</v>
      </c>
      <c r="N12" s="109">
        <f t="shared" si="6"/>
        <v>0</v>
      </c>
      <c r="O12" s="104">
        <f>ROUND(((E12*(B12/12))+(H12+K12+N12)/2*(B12/12)),2)</f>
        <v>1645.51</v>
      </c>
      <c r="P12" s="59">
        <f t="shared" si="1"/>
        <v>401519.43170200055</v>
      </c>
      <c r="Q12" s="47"/>
      <c r="R12" s="84">
        <v>395993.88</v>
      </c>
      <c r="S12" s="85">
        <f t="shared" ref="S12" si="9">R12-P12</f>
        <v>-5525.55170200055</v>
      </c>
    </row>
    <row r="13" spans="1:21">
      <c r="A13" s="147" t="s">
        <v>91</v>
      </c>
      <c r="B13" s="95">
        <v>3.4299999999999997E-2</v>
      </c>
      <c r="C13" s="59">
        <v>0</v>
      </c>
      <c r="D13" s="59">
        <v>0</v>
      </c>
      <c r="E13" s="108">
        <f t="shared" si="3"/>
        <v>401519.43170200055</v>
      </c>
      <c r="F13" s="105">
        <f>2630458+2800</f>
        <v>2633258</v>
      </c>
      <c r="G13" s="96">
        <v>-4.0899999999999999E-3</v>
      </c>
      <c r="H13" s="109">
        <f t="shared" si="4"/>
        <v>-10770.02522</v>
      </c>
      <c r="I13" s="106">
        <v>1745062</v>
      </c>
      <c r="J13" s="96">
        <v>-1.035E-2</v>
      </c>
      <c r="K13" s="109">
        <f t="shared" si="5"/>
        <v>-18061.3917</v>
      </c>
      <c r="L13" s="106">
        <v>0</v>
      </c>
      <c r="M13" s="96">
        <v>-1.035E-2</v>
      </c>
      <c r="N13" s="109">
        <f t="shared" si="6"/>
        <v>0</v>
      </c>
      <c r="O13" s="104">
        <f t="shared" si="0"/>
        <v>1106.47</v>
      </c>
      <c r="P13" s="59">
        <f t="shared" si="1"/>
        <v>373794.48478200054</v>
      </c>
      <c r="Q13" s="47"/>
      <c r="R13" s="84">
        <v>368253.14</v>
      </c>
      <c r="S13" s="85">
        <f t="shared" ref="S13" si="10">R13-P13</f>
        <v>-5541.344782000524</v>
      </c>
    </row>
    <row r="14" spans="1:21">
      <c r="A14" s="147" t="s">
        <v>92</v>
      </c>
      <c r="B14" s="95">
        <v>3.4299999999999997E-2</v>
      </c>
      <c r="C14" s="59">
        <v>0</v>
      </c>
      <c r="D14" s="59">
        <v>0</v>
      </c>
      <c r="E14" s="108">
        <f t="shared" si="3"/>
        <v>373794.48478200054</v>
      </c>
      <c r="F14" s="105">
        <f>2236586+2515</f>
        <v>2239101</v>
      </c>
      <c r="G14" s="96">
        <v>-4.0899999999999999E-3</v>
      </c>
      <c r="H14" s="109">
        <f t="shared" si="4"/>
        <v>-9157.9230900000002</v>
      </c>
      <c r="I14" s="106">
        <v>1621230</v>
      </c>
      <c r="J14" s="96">
        <v>-1.035E-2</v>
      </c>
      <c r="K14" s="109">
        <f t="shared" si="5"/>
        <v>-16779.730500000001</v>
      </c>
      <c r="L14" s="106">
        <v>0</v>
      </c>
      <c r="M14" s="96">
        <v>-1.035E-2</v>
      </c>
      <c r="N14" s="109">
        <f t="shared" si="6"/>
        <v>0</v>
      </c>
      <c r="O14" s="104">
        <f t="shared" si="0"/>
        <v>1031.3599999999999</v>
      </c>
      <c r="P14" s="59">
        <f t="shared" si="1"/>
        <v>348888.19119200052</v>
      </c>
      <c r="Q14" s="47"/>
      <c r="R14" s="84">
        <v>343331.01</v>
      </c>
      <c r="S14" s="85">
        <f t="shared" ref="S14" si="11">R14-P14</f>
        <v>-5557.181192000513</v>
      </c>
      <c r="U14" s="161"/>
    </row>
    <row r="15" spans="1:21">
      <c r="A15" s="147" t="s">
        <v>93</v>
      </c>
      <c r="B15" s="95">
        <v>3.4299999999999997E-2</v>
      </c>
      <c r="C15" s="59">
        <v>0</v>
      </c>
      <c r="D15" s="59">
        <v>0</v>
      </c>
      <c r="E15" s="108">
        <f t="shared" si="3"/>
        <v>348888.19119200052</v>
      </c>
      <c r="F15" s="105">
        <f>2843331+3965</f>
        <v>2847296</v>
      </c>
      <c r="G15" s="96">
        <v>-4.0899999999999999E-3</v>
      </c>
      <c r="H15" s="109">
        <f t="shared" si="4"/>
        <v>-11645.440639999999</v>
      </c>
      <c r="I15" s="106">
        <v>2009009</v>
      </c>
      <c r="J15" s="96">
        <v>-1.035E-2</v>
      </c>
      <c r="K15" s="109">
        <f t="shared" si="5"/>
        <v>-20793.243149999998</v>
      </c>
      <c r="L15" s="106">
        <v>0</v>
      </c>
      <c r="M15" s="96">
        <v>-1.035E-2</v>
      </c>
      <c r="N15" s="109">
        <f t="shared" si="6"/>
        <v>0</v>
      </c>
      <c r="O15" s="104">
        <f t="shared" si="0"/>
        <v>950.88</v>
      </c>
      <c r="P15" s="59">
        <f t="shared" si="1"/>
        <v>317400.38740200055</v>
      </c>
      <c r="Q15" s="47"/>
      <c r="R15" s="84">
        <v>317400.40999999997</v>
      </c>
      <c r="S15" s="85">
        <f t="shared" ref="S15" si="12">R15-P15</f>
        <v>2.2597999428398907E-2</v>
      </c>
    </row>
    <row r="16" spans="1:21">
      <c r="A16" s="147" t="s">
        <v>94</v>
      </c>
      <c r="B16" s="95">
        <v>3.2500000000000001E-2</v>
      </c>
      <c r="C16" s="59">
        <v>0</v>
      </c>
      <c r="D16" s="59">
        <v>0</v>
      </c>
      <c r="E16" s="108">
        <f t="shared" si="3"/>
        <v>317400.38740200055</v>
      </c>
      <c r="F16" s="105">
        <f>8963780+13468</f>
        <v>8977248</v>
      </c>
      <c r="G16" s="96">
        <v>-4.0899999999999999E-3</v>
      </c>
      <c r="H16" s="109">
        <f t="shared" si="4"/>
        <v>-36716.944320000002</v>
      </c>
      <c r="I16" s="106">
        <v>4850551</v>
      </c>
      <c r="J16" s="96">
        <v>-1.035E-2</v>
      </c>
      <c r="K16" s="109">
        <f t="shared" si="5"/>
        <v>-50203.202850000001</v>
      </c>
      <c r="L16" s="106">
        <v>0</v>
      </c>
      <c r="M16" s="96">
        <v>-1.035E-2</v>
      </c>
      <c r="N16" s="109">
        <f t="shared" si="6"/>
        <v>0</v>
      </c>
      <c r="O16" s="104">
        <f t="shared" si="0"/>
        <v>741.92</v>
      </c>
      <c r="P16" s="59">
        <f t="shared" si="1"/>
        <v>231222.16023200055</v>
      </c>
      <c r="Q16" s="47"/>
      <c r="R16" s="84">
        <v>231222.18</v>
      </c>
      <c r="S16" s="85">
        <f t="shared" ref="S16" si="13">R16-P16</f>
        <v>1.9767999445321038E-2</v>
      </c>
    </row>
    <row r="17" spans="1:23">
      <c r="A17" s="147" t="s">
        <v>95</v>
      </c>
      <c r="B17" s="95">
        <v>3.2500000000000001E-2</v>
      </c>
      <c r="C17" s="62">
        <f>-'191010 WA DEF'!D17</f>
        <v>817247.86188699794</v>
      </c>
      <c r="D17" s="62">
        <v>104173.57</v>
      </c>
      <c r="E17" s="108">
        <f>P16+C17+D17</f>
        <v>1152643.5921189985</v>
      </c>
      <c r="F17" s="105">
        <f>17131912+25911</f>
        <v>17157823</v>
      </c>
      <c r="G17" s="82" t="s">
        <v>71</v>
      </c>
      <c r="H17" s="101">
        <f>112959+169</f>
        <v>113128</v>
      </c>
      <c r="I17" s="106">
        <v>5799551</v>
      </c>
      <c r="J17" s="82" t="s">
        <v>71</v>
      </c>
      <c r="K17" s="101">
        <v>9063</v>
      </c>
      <c r="L17" s="106">
        <v>0</v>
      </c>
      <c r="M17" s="82" t="s">
        <v>71</v>
      </c>
      <c r="N17" s="101">
        <v>0</v>
      </c>
      <c r="O17" s="104">
        <f t="shared" si="0"/>
        <v>3287.21</v>
      </c>
      <c r="P17" s="59">
        <f>E17+H17+K17+N17+O17+0.02</f>
        <v>1278121.8221189985</v>
      </c>
      <c r="Q17" s="47"/>
      <c r="R17" s="84">
        <v>1278121.82</v>
      </c>
      <c r="S17" s="85">
        <f t="shared" ref="S17" si="14">R17-P17</f>
        <v>-2.1189984399825335E-3</v>
      </c>
    </row>
    <row r="18" spans="1:23" ht="13.5" thickBot="1">
      <c r="A18" s="169" t="s">
        <v>96</v>
      </c>
      <c r="B18" s="113">
        <v>3.2500000000000001E-2</v>
      </c>
      <c r="C18" s="65">
        <v>0</v>
      </c>
      <c r="D18" s="65">
        <v>0</v>
      </c>
      <c r="E18" s="114">
        <f t="shared" si="3"/>
        <v>1278121.8221189985</v>
      </c>
      <c r="F18" s="115">
        <f>21499328+32489</f>
        <v>21531817</v>
      </c>
      <c r="G18" s="86" t="s">
        <v>71</v>
      </c>
      <c r="H18" s="102">
        <f>148673+226</f>
        <v>148899</v>
      </c>
      <c r="I18" s="116">
        <v>7737352</v>
      </c>
      <c r="J18" s="86" t="s">
        <v>71</v>
      </c>
      <c r="K18" s="102">
        <v>-327</v>
      </c>
      <c r="L18" s="116">
        <v>0</v>
      </c>
      <c r="M18" s="86" t="s">
        <v>71</v>
      </c>
      <c r="N18" s="102">
        <v>0</v>
      </c>
      <c r="O18" s="117">
        <f t="shared" si="0"/>
        <v>3662.77</v>
      </c>
      <c r="P18" s="65">
        <f t="shared" si="1"/>
        <v>1430356.5921189985</v>
      </c>
      <c r="Q18" s="118"/>
      <c r="R18" s="170">
        <v>1430356.59</v>
      </c>
      <c r="S18" s="171">
        <f t="shared" ref="S18:S19" si="15">R18-P18</f>
        <v>-2.1189984399825335E-3</v>
      </c>
    </row>
    <row r="19" spans="1:23">
      <c r="A19" s="147" t="s">
        <v>99</v>
      </c>
      <c r="B19" s="95">
        <v>3.2500000000000001E-2</v>
      </c>
      <c r="C19" s="83">
        <v>0</v>
      </c>
      <c r="D19" s="83">
        <v>0</v>
      </c>
      <c r="E19" s="97">
        <f t="shared" ref="E19:E22" si="16">P18+C19+D19</f>
        <v>1430356.5921189985</v>
      </c>
      <c r="F19" s="105">
        <f>20652318+32556</f>
        <v>20684874</v>
      </c>
      <c r="G19" s="96">
        <v>6.9899999999999997E-3</v>
      </c>
      <c r="H19" s="109">
        <f>F19*G19</f>
        <v>144587.26926</v>
      </c>
      <c r="I19" s="106">
        <v>7466798</v>
      </c>
      <c r="J19" s="96">
        <v>1.2999999999999999E-4</v>
      </c>
      <c r="K19" s="109">
        <f>I19*J19</f>
        <v>970.68373999999994</v>
      </c>
      <c r="L19" s="106">
        <v>0</v>
      </c>
      <c r="M19" s="96">
        <v>0</v>
      </c>
      <c r="N19" s="109">
        <f>L19*M19</f>
        <v>0</v>
      </c>
      <c r="O19" s="103">
        <f t="shared" ref="O19:O23" si="17">ROUND(((E19*(B19/12))+(H19+K19+N19)/2*(B19/12)),2)</f>
        <v>4070.99</v>
      </c>
      <c r="P19" s="83">
        <f t="shared" ref="P19:P28" si="18">E19+H19+K19+N19+O19</f>
        <v>1579985.5351189985</v>
      </c>
      <c r="Q19" s="47"/>
      <c r="R19" s="84">
        <v>1579985.53</v>
      </c>
      <c r="S19" s="85">
        <f t="shared" si="15"/>
        <v>-5.1189984660595655E-3</v>
      </c>
    </row>
    <row r="20" spans="1:23">
      <c r="A20" s="147" t="s">
        <v>100</v>
      </c>
      <c r="B20" s="95">
        <v>3.2500000000000001E-2</v>
      </c>
      <c r="C20" s="59">
        <v>0</v>
      </c>
      <c r="D20" s="59">
        <v>0</v>
      </c>
      <c r="E20" s="97">
        <f t="shared" si="16"/>
        <v>1579985.5351189985</v>
      </c>
      <c r="F20" s="105">
        <f>21465565+35195</f>
        <v>21500760</v>
      </c>
      <c r="G20" s="96">
        <v>6.9899999999999997E-3</v>
      </c>
      <c r="H20" s="109">
        <f t="shared" ref="H20:H28" si="19">F20*G20</f>
        <v>150290.3124</v>
      </c>
      <c r="I20" s="106">
        <v>7487490</v>
      </c>
      <c r="J20" s="96">
        <v>1.2999999999999999E-4</v>
      </c>
      <c r="K20" s="109">
        <f t="shared" ref="K20:K28" si="20">I20*J20</f>
        <v>973.37369999999987</v>
      </c>
      <c r="L20" s="106"/>
      <c r="M20" s="96"/>
      <c r="N20" s="109">
        <f t="shared" ref="N20:N28" si="21">L20*M20</f>
        <v>0</v>
      </c>
      <c r="O20" s="104">
        <f t="shared" si="17"/>
        <v>4483.96</v>
      </c>
      <c r="P20" s="59">
        <f t="shared" si="18"/>
        <v>1735733.1812189985</v>
      </c>
      <c r="Q20" s="47"/>
      <c r="R20" s="84">
        <v>1735733.18</v>
      </c>
      <c r="S20" s="85">
        <f t="shared" ref="S20" si="22">R20-P20</f>
        <v>-1.21899857185781E-3</v>
      </c>
    </row>
    <row r="21" spans="1:23">
      <c r="A21" s="147" t="s">
        <v>101</v>
      </c>
      <c r="B21" s="95">
        <v>3.2500000000000001E-2</v>
      </c>
      <c r="C21" s="59">
        <v>0</v>
      </c>
      <c r="D21" s="59">
        <v>0</v>
      </c>
      <c r="E21" s="97">
        <f t="shared" si="16"/>
        <v>1735733.1812189985</v>
      </c>
      <c r="F21" s="105">
        <f>14741098+24419</f>
        <v>14765517</v>
      </c>
      <c r="G21" s="96">
        <v>6.9899999999999997E-3</v>
      </c>
      <c r="H21" s="109">
        <f t="shared" si="19"/>
        <v>103210.96382999999</v>
      </c>
      <c r="I21" s="106">
        <v>6893495</v>
      </c>
      <c r="J21" s="96">
        <v>1.2999999999999999E-4</v>
      </c>
      <c r="K21" s="109">
        <f t="shared" si="20"/>
        <v>896.15434999999991</v>
      </c>
      <c r="L21" s="106"/>
      <c r="M21" s="96"/>
      <c r="N21" s="109">
        <f t="shared" si="21"/>
        <v>0</v>
      </c>
      <c r="O21" s="104">
        <f t="shared" si="17"/>
        <v>4841.92</v>
      </c>
      <c r="P21" s="59">
        <f t="shared" si="18"/>
        <v>1844682.2193989984</v>
      </c>
      <c r="Q21" s="47"/>
      <c r="R21" s="84">
        <v>1844682.22</v>
      </c>
      <c r="S21" s="85">
        <f t="shared" ref="S21" si="23">R21-P21</f>
        <v>6.010015495121479E-4</v>
      </c>
    </row>
    <row r="22" spans="1:23">
      <c r="A22" s="147" t="s">
        <v>102</v>
      </c>
      <c r="B22" s="95">
        <v>3.2500000000000001E-2</v>
      </c>
      <c r="C22" s="59">
        <v>0</v>
      </c>
      <c r="D22" s="59">
        <v>0</v>
      </c>
      <c r="E22" s="97">
        <f t="shared" si="16"/>
        <v>1844682.2193989984</v>
      </c>
      <c r="F22" s="105">
        <f>8945038+17127</f>
        <v>8962165</v>
      </c>
      <c r="G22" s="96">
        <v>6.9899999999999997E-3</v>
      </c>
      <c r="H22" s="109">
        <f t="shared" si="19"/>
        <v>62645.533349999998</v>
      </c>
      <c r="I22" s="106">
        <v>3971924</v>
      </c>
      <c r="J22" s="96">
        <v>1.2999999999999999E-4</v>
      </c>
      <c r="K22" s="109">
        <f t="shared" si="20"/>
        <v>516.35011999999995</v>
      </c>
      <c r="L22" s="106"/>
      <c r="M22" s="96"/>
      <c r="N22" s="109">
        <f t="shared" si="21"/>
        <v>0</v>
      </c>
      <c r="O22" s="104">
        <f t="shared" si="17"/>
        <v>5081.55</v>
      </c>
      <c r="P22" s="59">
        <f t="shared" si="18"/>
        <v>1912925.6528689985</v>
      </c>
      <c r="Q22" s="47"/>
      <c r="R22" s="84">
        <v>1912925.65</v>
      </c>
      <c r="S22" s="85">
        <f t="shared" ref="S22" si="24">R22-P22</f>
        <v>-2.8689985629171133E-3</v>
      </c>
    </row>
    <row r="23" spans="1:23">
      <c r="A23" s="147" t="s">
        <v>103</v>
      </c>
      <c r="B23" s="95"/>
      <c r="C23" s="59">
        <v>0</v>
      </c>
      <c r="D23" s="59">
        <v>0</v>
      </c>
      <c r="E23" s="108"/>
      <c r="F23" s="105"/>
      <c r="G23" s="96"/>
      <c r="H23" s="109">
        <f t="shared" si="19"/>
        <v>0</v>
      </c>
      <c r="I23" s="106"/>
      <c r="J23" s="96"/>
      <c r="K23" s="109">
        <f t="shared" si="20"/>
        <v>0</v>
      </c>
      <c r="L23" s="106"/>
      <c r="M23" s="96"/>
      <c r="N23" s="109">
        <f t="shared" si="21"/>
        <v>0</v>
      </c>
      <c r="O23" s="104">
        <f t="shared" si="17"/>
        <v>0</v>
      </c>
      <c r="P23" s="59">
        <f t="shared" si="18"/>
        <v>0</v>
      </c>
      <c r="Q23" s="47"/>
      <c r="R23" s="84"/>
      <c r="S23" s="85"/>
    </row>
    <row r="24" spans="1:23">
      <c r="A24" s="147" t="s">
        <v>104</v>
      </c>
      <c r="B24" s="95"/>
      <c r="C24" s="59">
        <v>0</v>
      </c>
      <c r="D24" s="59">
        <v>0</v>
      </c>
      <c r="E24" s="108"/>
      <c r="F24" s="105"/>
      <c r="G24" s="96"/>
      <c r="H24" s="109">
        <f t="shared" si="19"/>
        <v>0</v>
      </c>
      <c r="I24" s="106"/>
      <c r="J24" s="96"/>
      <c r="K24" s="109">
        <f t="shared" si="20"/>
        <v>0</v>
      </c>
      <c r="L24" s="106"/>
      <c r="M24" s="96"/>
      <c r="N24" s="109">
        <f t="shared" si="21"/>
        <v>0</v>
      </c>
      <c r="O24" s="104">
        <f>ROUND(((E24*(B24/12))+(H24+K24+N24)/2*(B24/12)),2)</f>
        <v>0</v>
      </c>
      <c r="P24" s="59">
        <f t="shared" si="18"/>
        <v>0</v>
      </c>
      <c r="Q24" s="47"/>
      <c r="R24" s="84"/>
      <c r="S24" s="85"/>
    </row>
    <row r="25" spans="1:23">
      <c r="A25" s="147" t="s">
        <v>105</v>
      </c>
      <c r="B25" s="95"/>
      <c r="C25" s="59">
        <v>0</v>
      </c>
      <c r="D25" s="59">
        <v>0</v>
      </c>
      <c r="E25" s="108"/>
      <c r="F25" s="105"/>
      <c r="G25" s="96"/>
      <c r="H25" s="109">
        <f t="shared" si="19"/>
        <v>0</v>
      </c>
      <c r="I25" s="106"/>
      <c r="J25" s="96"/>
      <c r="K25" s="109">
        <f t="shared" si="20"/>
        <v>0</v>
      </c>
      <c r="L25" s="106"/>
      <c r="M25" s="96"/>
      <c r="N25" s="109">
        <f t="shared" si="21"/>
        <v>0</v>
      </c>
      <c r="O25" s="104">
        <f t="shared" ref="O25:O30" si="25">ROUND(((E25*(B25/12))+(H25+K25+N25)/2*(B25/12)),2)</f>
        <v>0</v>
      </c>
      <c r="P25" s="59">
        <f t="shared" si="18"/>
        <v>0</v>
      </c>
      <c r="Q25" s="47"/>
      <c r="R25" s="84"/>
      <c r="S25" s="85"/>
    </row>
    <row r="26" spans="1:23">
      <c r="A26" s="147" t="s">
        <v>106</v>
      </c>
      <c r="B26" s="95"/>
      <c r="C26" s="59">
        <v>0</v>
      </c>
      <c r="D26" s="59">
        <v>0</v>
      </c>
      <c r="E26" s="108"/>
      <c r="F26" s="105"/>
      <c r="G26" s="96"/>
      <c r="H26" s="109">
        <f t="shared" si="19"/>
        <v>0</v>
      </c>
      <c r="I26" s="106"/>
      <c r="J26" s="96"/>
      <c r="K26" s="109">
        <f t="shared" si="20"/>
        <v>0</v>
      </c>
      <c r="L26" s="106"/>
      <c r="M26" s="96"/>
      <c r="N26" s="109">
        <f t="shared" si="21"/>
        <v>0</v>
      </c>
      <c r="O26" s="104">
        <f t="shared" si="25"/>
        <v>0</v>
      </c>
      <c r="P26" s="59">
        <f t="shared" si="18"/>
        <v>0</v>
      </c>
      <c r="Q26" s="47"/>
      <c r="R26" s="84"/>
      <c r="S26" s="85"/>
      <c r="U26" s="161"/>
    </row>
    <row r="27" spans="1:23">
      <c r="A27" s="147" t="s">
        <v>107</v>
      </c>
      <c r="B27" s="95"/>
      <c r="C27" s="59">
        <v>0</v>
      </c>
      <c r="D27" s="59">
        <v>0</v>
      </c>
      <c r="E27" s="108"/>
      <c r="F27" s="105"/>
      <c r="G27" s="96"/>
      <c r="H27" s="109">
        <f t="shared" si="19"/>
        <v>0</v>
      </c>
      <c r="I27" s="106"/>
      <c r="J27" s="96"/>
      <c r="K27" s="109">
        <f t="shared" si="20"/>
        <v>0</v>
      </c>
      <c r="L27" s="106"/>
      <c r="M27" s="96"/>
      <c r="N27" s="109">
        <f t="shared" si="21"/>
        <v>0</v>
      </c>
      <c r="O27" s="104">
        <f t="shared" si="25"/>
        <v>0</v>
      </c>
      <c r="P27" s="59">
        <f t="shared" si="18"/>
        <v>0</v>
      </c>
      <c r="Q27" s="47"/>
      <c r="R27" s="84"/>
      <c r="S27" s="85"/>
    </row>
    <row r="28" spans="1:23">
      <c r="A28" s="147" t="s">
        <v>108</v>
      </c>
      <c r="B28" s="95"/>
      <c r="C28" s="59">
        <v>0</v>
      </c>
      <c r="D28" s="59">
        <v>0</v>
      </c>
      <c r="E28" s="108"/>
      <c r="F28" s="105"/>
      <c r="G28" s="96"/>
      <c r="H28" s="109">
        <f t="shared" si="19"/>
        <v>0</v>
      </c>
      <c r="I28" s="106"/>
      <c r="J28" s="96"/>
      <c r="K28" s="109">
        <f t="shared" si="20"/>
        <v>0</v>
      </c>
      <c r="L28" s="106"/>
      <c r="M28" s="96"/>
      <c r="N28" s="109">
        <f t="shared" si="21"/>
        <v>0</v>
      </c>
      <c r="O28" s="104">
        <f t="shared" si="25"/>
        <v>0</v>
      </c>
      <c r="P28" s="59">
        <f t="shared" si="18"/>
        <v>0</v>
      </c>
      <c r="Q28" s="47"/>
      <c r="R28" s="84"/>
      <c r="S28" s="85"/>
    </row>
    <row r="29" spans="1:23">
      <c r="A29" s="147" t="s">
        <v>109</v>
      </c>
      <c r="B29" s="95"/>
      <c r="C29" s="62"/>
      <c r="D29" s="62"/>
      <c r="E29" s="108"/>
      <c r="F29" s="105"/>
      <c r="G29" s="82" t="s">
        <v>71</v>
      </c>
      <c r="H29" s="101"/>
      <c r="I29" s="106"/>
      <c r="J29" s="82" t="s">
        <v>71</v>
      </c>
      <c r="K29" s="101"/>
      <c r="L29" s="106"/>
      <c r="M29" s="82" t="s">
        <v>71</v>
      </c>
      <c r="N29" s="101">
        <v>0</v>
      </c>
      <c r="O29" s="104">
        <f t="shared" si="25"/>
        <v>0</v>
      </c>
      <c r="P29" s="59">
        <f>E29+H29+K29+N29+O29</f>
        <v>0</v>
      </c>
      <c r="Q29" s="47"/>
      <c r="R29" s="84"/>
      <c r="S29" s="85"/>
    </row>
    <row r="30" spans="1:23">
      <c r="A30" s="147" t="s">
        <v>110</v>
      </c>
      <c r="B30" s="95"/>
      <c r="C30" s="59">
        <v>0</v>
      </c>
      <c r="D30" s="59">
        <v>0</v>
      </c>
      <c r="E30" s="108"/>
      <c r="F30" s="105"/>
      <c r="G30" s="82" t="s">
        <v>71</v>
      </c>
      <c r="H30" s="101"/>
      <c r="I30" s="106"/>
      <c r="J30" s="82" t="s">
        <v>71</v>
      </c>
      <c r="K30" s="101"/>
      <c r="L30" s="106"/>
      <c r="M30" s="82" t="s">
        <v>71</v>
      </c>
      <c r="N30" s="101">
        <v>0</v>
      </c>
      <c r="O30" s="104">
        <f t="shared" si="25"/>
        <v>0</v>
      </c>
      <c r="P30" s="59">
        <f t="shared" ref="P30" si="26">E30+H30+K30+N30+O30</f>
        <v>0</v>
      </c>
      <c r="Q30" s="47"/>
      <c r="R30" s="84"/>
      <c r="S30" s="85"/>
    </row>
    <row r="31" spans="1:23" s="122" customFormat="1" ht="15.75">
      <c r="A31" s="72"/>
      <c r="B31" s="72"/>
      <c r="C31" s="119"/>
      <c r="D31" s="68">
        <f>SUMIF($A$7:$A$30,$G34,D$7:D$30)</f>
        <v>0</v>
      </c>
      <c r="E31" s="68"/>
      <c r="F31" s="68"/>
      <c r="G31" s="68"/>
      <c r="H31" s="68">
        <f>SUMIF($A$7:$A$30,$G34,H$7:H$30)</f>
        <v>62645.533349999998</v>
      </c>
      <c r="I31" s="69"/>
      <c r="J31" s="119"/>
      <c r="K31" s="68">
        <f>SUMIF($A$7:$A$30,$G34,K$7:K$30)</f>
        <v>516.35011999999995</v>
      </c>
      <c r="L31" s="72"/>
      <c r="M31" s="121"/>
      <c r="N31" s="68">
        <f>SUMIF($A$7:$A$30,$G34,N$7:N$30)</f>
        <v>0</v>
      </c>
      <c r="O31" s="68">
        <f>SUMIF($A$7:$A$30,$G34,O$7:O$30)</f>
        <v>5081.55</v>
      </c>
      <c r="P31" s="69" t="s">
        <v>49</v>
      </c>
      <c r="Q31" s="125"/>
      <c r="R31" s="126"/>
      <c r="S31" s="126"/>
      <c r="T31" s="127"/>
      <c r="U31" s="123"/>
      <c r="V31" s="123"/>
      <c r="W31" s="123"/>
    </row>
    <row r="32" spans="1:23" s="122" customFormat="1" ht="15">
      <c r="A32" s="72"/>
      <c r="B32" s="72"/>
      <c r="C32" s="119"/>
      <c r="D32" s="120" t="s">
        <v>62</v>
      </c>
      <c r="E32" s="120"/>
      <c r="F32" s="120"/>
      <c r="G32" s="120"/>
      <c r="H32" s="120" t="s">
        <v>60</v>
      </c>
      <c r="I32" s="72"/>
      <c r="J32" s="119"/>
      <c r="K32" s="120" t="s">
        <v>60</v>
      </c>
      <c r="L32" s="120"/>
      <c r="M32" s="128"/>
      <c r="N32" s="120" t="s">
        <v>60</v>
      </c>
      <c r="O32" s="120" t="s">
        <v>61</v>
      </c>
      <c r="Q32" s="123"/>
      <c r="R32" s="123"/>
      <c r="S32" s="123"/>
      <c r="T32" s="123"/>
      <c r="U32" s="123"/>
      <c r="V32" s="123"/>
      <c r="W32" s="123"/>
    </row>
    <row r="33" spans="4:26" s="33" customFormat="1" ht="15">
      <c r="D33" s="56"/>
      <c r="E33" s="56"/>
      <c r="F33" s="57"/>
      <c r="G33" s="56"/>
      <c r="H33" s="56"/>
      <c r="I33" s="56"/>
      <c r="J33" s="56"/>
      <c r="K33" s="56"/>
      <c r="L33" s="56"/>
      <c r="M33" s="57"/>
      <c r="N33" s="56"/>
      <c r="O33" s="56"/>
      <c r="P33" s="73"/>
      <c r="T33" s="34"/>
      <c r="U33" s="34"/>
      <c r="V33" s="34"/>
      <c r="W33" s="34"/>
      <c r="X33" s="34"/>
      <c r="Y33" s="34"/>
      <c r="Z33" s="34"/>
    </row>
    <row r="34" spans="4:26" s="33" customFormat="1" ht="15">
      <c r="D34" s="56"/>
      <c r="E34" s="56"/>
      <c r="F34" s="57"/>
      <c r="G34" s="49">
        <v>202104</v>
      </c>
      <c r="H34" s="50" t="s">
        <v>50</v>
      </c>
      <c r="I34" s="51"/>
      <c r="J34" s="56"/>
      <c r="K34" s="56"/>
      <c r="L34" s="56"/>
      <c r="M34" s="57"/>
      <c r="N34" s="56"/>
      <c r="O34" s="56"/>
      <c r="P34" s="73"/>
    </row>
    <row r="35" spans="4:26" s="33" customFormat="1" ht="15">
      <c r="D35" s="56"/>
      <c r="E35" s="56"/>
      <c r="F35" s="57"/>
      <c r="G35" s="52" t="s">
        <v>51</v>
      </c>
      <c r="H35" s="52" t="s">
        <v>52</v>
      </c>
      <c r="I35" s="52" t="s">
        <v>53</v>
      </c>
      <c r="J35" s="56"/>
      <c r="K35" s="56"/>
      <c r="L35" s="56"/>
      <c r="M35" s="57"/>
      <c r="N35" s="56"/>
      <c r="O35" s="56"/>
      <c r="P35" s="73"/>
    </row>
    <row r="36" spans="4:26" s="33" customFormat="1" ht="15">
      <c r="D36" s="56"/>
      <c r="E36" s="56"/>
      <c r="F36" s="70" t="s">
        <v>21</v>
      </c>
      <c r="G36" s="53" t="s">
        <v>54</v>
      </c>
      <c r="H36" s="54"/>
      <c r="I36" s="55">
        <f>IF($O$31&gt;0,ABS($O$31),"")</f>
        <v>5081.55</v>
      </c>
      <c r="J36" s="72" t="s">
        <v>61</v>
      </c>
      <c r="K36" s="56"/>
      <c r="L36" s="56"/>
      <c r="M36" s="159"/>
      <c r="N36" s="47"/>
      <c r="O36" s="56"/>
      <c r="P36" s="73"/>
    </row>
    <row r="37" spans="4:26" s="33" customFormat="1" ht="15">
      <c r="D37" s="56"/>
      <c r="E37" s="56"/>
      <c r="F37" s="70" t="s">
        <v>58</v>
      </c>
      <c r="G37" s="53" t="s">
        <v>55</v>
      </c>
      <c r="H37" s="55" t="str">
        <f>IF($O$31&lt;0,ABS($O$31),"")</f>
        <v/>
      </c>
      <c r="I37" s="54"/>
      <c r="J37" s="72" t="s">
        <v>97</v>
      </c>
      <c r="K37" s="56"/>
      <c r="L37" s="164"/>
      <c r="M37" s="162"/>
      <c r="N37" s="165"/>
      <c r="O37" s="56"/>
      <c r="P37" s="73"/>
    </row>
    <row r="38" spans="4:26" s="33" customFormat="1" ht="15">
      <c r="D38" s="56"/>
      <c r="E38" s="56"/>
      <c r="F38" s="70" t="s">
        <v>5</v>
      </c>
      <c r="G38" s="53" t="s">
        <v>68</v>
      </c>
      <c r="H38" s="55">
        <f>IF(H31+$K$31+$N$31+O31&gt;0,ABS(H31+$K$31+$N$31+O31),"")</f>
        <v>68243.433470000004</v>
      </c>
      <c r="I38" s="55" t="str">
        <f>IF(H31+$K$31+$N$31+O31&lt;0,ABS(H31+$K$31+$N$31+O31),"")</f>
        <v/>
      </c>
      <c r="J38" s="72" t="s">
        <v>75</v>
      </c>
      <c r="K38" s="56"/>
      <c r="L38" s="166"/>
      <c r="M38" s="162"/>
      <c r="N38" s="165"/>
      <c r="O38" s="56"/>
      <c r="P38" s="73"/>
    </row>
    <row r="39" spans="4:26" s="33" customFormat="1" ht="15">
      <c r="D39" s="56"/>
      <c r="E39" s="56"/>
      <c r="F39" s="70" t="s">
        <v>76</v>
      </c>
      <c r="G39" s="53" t="s">
        <v>73</v>
      </c>
      <c r="H39" s="55" t="str">
        <f>IF(H31+$K$31+$N$31&lt;0,ABS(H31+$K$31+$N$31),"")</f>
        <v/>
      </c>
      <c r="I39" s="55">
        <f>IF(H31+$K$31+$N$31&gt;0,ABS(H31+$K$31+$N$31),"")</f>
        <v>63161.883470000001</v>
      </c>
      <c r="J39" s="72" t="s">
        <v>60</v>
      </c>
      <c r="K39" s="56"/>
      <c r="L39" s="166"/>
      <c r="M39" s="162"/>
      <c r="N39" s="165"/>
      <c r="O39" s="56"/>
      <c r="P39" s="73"/>
    </row>
    <row r="40" spans="4:26" s="33" customFormat="1" ht="15">
      <c r="D40" s="56"/>
      <c r="E40" s="56"/>
      <c r="F40" s="57"/>
      <c r="G40" s="56"/>
      <c r="H40" s="56"/>
      <c r="I40" s="56"/>
      <c r="J40" s="72"/>
      <c r="K40" s="56"/>
      <c r="L40" s="166"/>
      <c r="M40" s="162"/>
      <c r="N40" s="164"/>
      <c r="O40" s="56"/>
      <c r="P40" s="73"/>
    </row>
    <row r="41" spans="4:26" s="33" customFormat="1" ht="15">
      <c r="D41" s="56"/>
      <c r="E41" s="56"/>
      <c r="F41" s="57"/>
      <c r="G41" s="56"/>
      <c r="H41" s="56"/>
      <c r="I41" s="71">
        <f>SUM(H36:H39)-SUM(I36:I39)</f>
        <v>0</v>
      </c>
      <c r="J41" s="72" t="s">
        <v>65</v>
      </c>
      <c r="K41" s="56"/>
      <c r="L41" s="56"/>
      <c r="M41" s="57"/>
      <c r="N41" s="56"/>
      <c r="O41" s="56"/>
      <c r="P41" s="73"/>
    </row>
    <row r="42" spans="4:26" s="33" customFormat="1" ht="15">
      <c r="F42" s="34"/>
      <c r="J42" s="122"/>
      <c r="M42" s="34"/>
      <c r="P42" s="75"/>
    </row>
    <row r="43" spans="4:26" s="33" customFormat="1" ht="15.75">
      <c r="F43" s="34"/>
      <c r="G43" s="52" t="s">
        <v>74</v>
      </c>
      <c r="H43" s="87"/>
      <c r="I43" s="88"/>
      <c r="J43" s="124"/>
      <c r="M43" s="34"/>
      <c r="P43" s="75"/>
    </row>
    <row r="44" spans="4:26" s="33" customFormat="1" ht="15">
      <c r="F44" s="34"/>
      <c r="G44" s="89" t="s">
        <v>68</v>
      </c>
      <c r="H44" s="55" t="str">
        <f>IF($D$31&gt;0,ABS($D$31),"")</f>
        <v/>
      </c>
      <c r="I44" s="90"/>
      <c r="J44" s="72" t="s">
        <v>62</v>
      </c>
      <c r="M44" s="34"/>
      <c r="P44" s="75"/>
    </row>
    <row r="45" spans="4:26" s="33" customFormat="1" ht="15">
      <c r="F45" s="34"/>
      <c r="G45" s="89" t="s">
        <v>73</v>
      </c>
      <c r="H45" s="90"/>
      <c r="I45" s="55" t="str">
        <f>H44</f>
        <v/>
      </c>
      <c r="J45" s="91"/>
      <c r="M45" s="34"/>
      <c r="P45" s="75"/>
    </row>
    <row r="46" spans="4:26">
      <c r="Q46" s="56"/>
      <c r="S46" s="112"/>
      <c r="U46" s="57"/>
    </row>
    <row r="47" spans="4:26">
      <c r="P47" s="112"/>
      <c r="Q47" s="56"/>
      <c r="R47" s="57"/>
      <c r="S47" s="56"/>
    </row>
  </sheetData>
  <printOptions horizontalCentered="1"/>
  <pageMargins left="0.2" right="0.2" top="0.75" bottom="0.75" header="0.3" footer="0.3"/>
  <pageSetup scale="72" orientation="landscape" cellComments="asDisplayed" r:id="rId1"/>
  <customProperties>
    <customPr name="xxe4aP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+CMCtii8CCwLoAh4AAERjb20uZXhjZWw0YXBwcy53YW5kLm9yYWNsZS5n
bHdhbmQuY2FsY3VsYXRpb25zLmdldGJhbGFuY2UuR2V0QmFsYW5jZQIBAC5bMjAy
MSBXQS1JRCBEZWZlcnJhbCAgQW1vcnQueGxzeF0xOTEwMTAgV0EgREVGAgIAATAC
AwAGMjAxODAyAgQAA1lURAIFAANVU0QCBgAFVG90YWwCBwABQQIIAAACCQADMDAx
AgoABjE5MTAxMAILAAJHRAIMAAJXQQINAAJETAIIAggCCAIIAggCCAIIAggCCAII
AggCCAIIAggCCAIIAggCBwIDAg5zcgIPABRqYXZhLm1hdGguQmlnRGVjaW1hbFTH
FVf5gShPAwACSQIQAAVzY2FsZUwCEQAGaW50VmFsdAAWTGphdmEvbWF0aC9CaWdJ
bnRlZ2VyO3hyAhIAEGphdmEubGFuZy5OdW1iZXKGrJUdC5TgiwIAAHhwAAAAAnNyAhMAFGphdmEubWF0aC5CaWdJbnRlZ2VyjPyfH6k7+x0DAAZJAhQACGJpdENvdW50SQIVAAliaXRMZW5ndGhJAhYAE2ZpcnN0Tm9uemVyb0J5dGVOdW1JAhcADGxvd2VzdFNldEJpdEkCGAAGc2lnbnVtWwIZAAltYWduaXR1ZGV0AAJbQnhxAH4AAv///////////////v////7/////dXICGgACW0Ks8xf4BghU4AIAAHhwAAAABE8qcfl4eHdNAh4AAgECAgIbAAYyMDIxMDMCBAIFAgYCBwIIAgkCCgILAgwCDQIIAggCCAIIAggCCAIIAggCCAIIAggCCAIIAggCCAIIAggCBwIDAhxzcQB+AAAAAAACc3EAfgAE///////////////+/////v////91cQB+AAcAAAADXtk2eHh3TQIeAAIBAgICHQAGMjAxODA3AgQCBQIGAgcCCAIJAgoCCwIMAg0CCAIIAggCCAIIAggCCAIIAggCCAIIAggCCAIIAggCCAIIAgcCAwIec3EAfgAAAAAAAnNxAH4ABP///////////////v////7/////dXEAfgAHAAAABGPPmgl4eHdNAh4AAgECAgIfAAYyMDIwMDYCBAIFAgYCBwIIAgkCCgILAgwCDQIIAggCCAIIAggCCAIIAggCCAIIAggCCAIIAggCCAIIAggCBwIDAiBzcQB+AAAAAAACc3EAfgAE///////////////+/////v////91cQB+AAcAAAAECG/YGHh4d00CHgACAQICAiEABjIwMjAwMgIEAgUCBgIHAggCCQIKAgsCDAINAggCCAIIAggCCAIIAggCCAIIAggCCAIIAggCCAIIAggCCAIHAgMCInNxAH4AAAAAAAJzcQB+AAT///////////////7////+/////3VxAH4ABwAAAAQLlSw6eHh3TQIeAAIBAgICIwAGMjAxOTA4AgQCBQIGAgcCCAIJAgoCCwIMAg0CCAIIAggCCAIIAggCCAIIAggCCAIIAggCCAIIAggCCAIIAgcCAwIkc3EAfgAAAAAAAnNxAH4ABP///////////////v////4AAAABdXEAfgAHAAAABAszMCZ4eHdNAh4AAgECAgIlAAYyMDE5MDQCBAIFAgYCBwIIAgkCCgILAgwCDQIIAggCCAIIAggCCAIIAggCCAIIAggCCAIIAggCCAIIAggCBwIDAiZzcQB+AAAAAAACc3EAfgAE///////////////+/////gAAAAF1cQB+AAcAAAAEGz3nDHh4d00CHgACAQICAicABjIwMTkwMgIEAgUCBgIHAggCCQIKAgsCDAINAggCCAIIAggCCAIIAggCCAIIAggCCAIIAggCCAIIAggCCAIHAgMCKHNxAH4AAAAAAAJzcQB+AAT///////////////7////+/////3VxAH4ABwAAAAQsmXmTeHh3TQIeAAIBAgICKQAGMjAxODAzAgQCBQIGAgcCCAIJAgoCCwIMAg0CCAIIAggCCAIIAggCCAIIAggCCAIIAggCCAIIAggCCAIIAgcCAwIqc3EAfgAAAAAAAnNxAH4ABP///////////////v////7/////dXEAfgAHAAAABFJ+oxp4eHdNAh4AAgECAgIrAAYyMDE4MDYCBAIFAgYCBwIIAgkCCgILAgwCDQIIAggCCAIIAggCCAIIAggCCAIIAggCCAIIAggCCAIIAggCBwIDAixzcQB+AAAAAAACc3EAfgAE///////////////+/////v////91cQB+AAcAAAAEXRoD03h4d00CHgACAQICAi0ABjIwMTkxMAIEAgUCBgIHAggCCQIKAgsCDAINAggCCAIIAggCCAIIAggCCAIIAggCCAIIAggCCAIIAggCCAIHAgMCLnNxAH4AAAAAAAJzcQB+AAT///////////////7////+/////3VxAH4ABwAAAAQNE8p7eHh3TQIeAAIBAgICLwAGMjAyMTA0AgQCBQIGAgcCCAIJAgoCCwIMAg0CCAIIAggCCAIIAggCCAIIAggCCAIIAggCCAIIAggCCAIIAgcCAwIwc3EAfgAAAAAAAnNxAH4ABP///////////////v////4AAAABdXEAfgAHAAAABAJPuK94eHdNAh4AAgECAgIxAAYyMDIwMDcCBAIFAgYCBwIIAgkCCgILAgwCDQIIAggCCAIIAggCCAIIAggCCAIIAggCCAIIAggCCAIIAggCBwIDAjJzcQB+AAAAAAACc3EAfgAE///////////////+/////v////91cQB+AAcAAAAEA3yHzHh4d00CHgACAQICAjMABjIwMjAwMwIEAgUCBgIHAggCCQIKAgsCDAINAggCCAIIAggCCAIIAggCCAIIAggCCAIIAggCCAIIAggCCAIHAgMCNHNxAH4AAAAAAAJzcQB+AAT///////////////7////+/////3VxAH4ABwAAAAQP7J4neHh3TQIeAAIBAgICNQAGMjAyMDEwAgQCBQIGAgcCCAIJAgoCCwIMAg0CCAIIAggCCAIIAggCCAIIAggCCAIIAggCCAIIAggCCAIIAgcCAwI2c3EAfgAAAAAAAnNxAH4ABP///////////////v////4AAAABdXEAfgAHAAAABATfBXJ4eHdNAh4AAgECAgI3AAYyMDE5MDMCBAIFAgYCBwIIAgkCCgILAgwCDQIIAggCCAIIAggCCAIIAggCCAIIAggCCAIIAggCCAIIAggCBwIDAjhzcQB+AAAAAAACc3EAfgAE///////////////+/////gAAAAF1cQB+AAcAAAAEGhOVhXh4d00CHgACAQICAjkABjIwMTkwNwIEAgUCBgIHAggCCQIKAgsCDAINAggCCAIIAggCCAIIAggCCAIIAggCCAIIAggCCAIIAggCCAIHAgMCOnNxAH4AAAAAAAJzcQB+AAT///////////////7////+AAAAAXVxAH4ABwAAAAQRD/RweHh3TQIeAAIBAgICOwAGMjAxODA5AgQCBQIGAgcCCAIJAgoCCwIMAg0CCAIIAggCCAIIAggCCAIIAggCCAIIAggCCAIIAggCCAIIAgcCAwI8c3EAfgAAAAAAAnNxAH4ABP///////////////v////7/////dXEAfgAHAAAABHHRmJR4eHdNAh4AAgECAgI9AAYyMDE4MDQCBAIFAgYCBwIIAgkCCgILAgwCDQIIAggCCAIIAggCCAIIAggCCAIIAggCCAIIAggCCAIIAggCBwIDAj5zcQB+AAAAAAACc3EAfgAE///////////////+/////v////91cQB+AAcAAAAEWqnIX3h4d00CHgACAQICAj8ABjIwMTgxMQIEAgUCBgIHAggCCQIKAgsCDAINAggCCAIIAggCCAIIAggCCAIIAggCCAIIAggCCAIIAggCCAIHAgMCQHNxAH4AAAAAAAJzcQB+AAT///////////////7////+/////3VxAH4ABwAAAARDWKiDeHh3TQIeAAIBAgICQQAGMjAyMDExAgQCBQIGAgcCCAIJAgoCCwIMAg0CCAIIAggCCAIIAggCCAIIAggCCAIIAggCCAIIAggCCAIIAgcCAwJCc3EAfgAAAAAAAnNxAH4ABP///////////////v////7/////dXEAfgAHAAAABAIoVHd4eHdNAh4AAgECAgJDAAYyMDIxMDECBAIFAgYCBwIIAgkCCgILAgwCDQIIAggCCAIIAggCCAIIAggCCAIIAggCCAIIAggCCAIIAggCBwIDAkRzcQB+AAAAAAACc3EAfgAE///////////////+/////v////91cQB+AAcAAAAEBfVMnHh4d00CHgACAQICAkUABjIwMTgxMAIEAgUCBgIHAggCCQIKAgsCDAINAggCCAIIAggCCAIIAggCCAIIAggCCAIIAggCCAIIAggCCAIHAgMCRnNxAH4AAAAAAAJzcQB+AAT///////////////7////+/////3VxAH4ABwAAAASIbHKOeHh3TQIeAAIBAgICRwAGMjAxODA1AgQCBQIGAgcCCAIJAgoCCwIMAg0CCAIIAggCCAIIAggCCAIIAggCCAIIAggCCAIIAggCCAIIAgcCAwJIc3EAfgAAAAAAAnNxAH4ABP///////////////v////7/////dXEAfgAHAAAABFzlwLB4eHdNAh4AAgECAgJJAAYyMDE5MTECBAIFAgYCBwIIAgkCCgILAgwCDQIIAggCCAIIAggCCAIIAggCCAIIAggCCAIIAggCCAIIAggCBwIDAkpzcQB+AAAAAAACc3EAfgAE///////////////+/////v////91cQB+AAcAAAAEA+59Lnh4d00CHgACAQICAksABjIwMjAwOAIEAgUCBgIHAggCCQIKAgsCDAINAggCCAIIAggCCAIIAggCCAIIAggCCAIIAggCCAIIAggCCAIHAgMCTHNxAH4AAAAAAAJzcQB+AAT///////////////7////+AAAAAXVxAH4ABwAAAAOubpF4eHdNAh4AAgECAgJNAAYyMDIwMDQCBAIFAgYCBwIIAgkCCgILAgwCDQIIAggCCAIIAggCCAIIAggCCAIIAggCCAIIAggCCAIIAggCBwIDAk5zcQB+AAAAAAACc3EAfgAE///////////////+/////v////91cQB+AAcAAAAED5QwWXh4d00CHgACAQICAk8ABjIwMTkwNgIEAgUCBgIHAggCCQIKAgsCDAINAggCCAIIAggCCAIIAggCCAIIAggCCAIIAggCCAIIAggCCAIHAgMCUHNxAH4AAAAAAAJzcQB+AAT///////////////7////+AAAAAXVxAH4ABwAAAAQW2d/FeHh3TQIeAAIBAgICUQAGMjAyMDA1AgQCBQIGAgcCCAIJAgoCCwIMAg0CCAIIAggCCAIIAggCCAIIAggCCAIIAggCCAIIAggCCAIIAgcCAwJSc3EAfgAAAAAAAnNxAH4ABP///////////////v////7/////dXEAfgAHAAAABA0BT7V4eHdNAh4AAgECAgJTAAYyMDE4MTICBAIFAgYCBwIIAgkCCgILAgwCDQIIAggCCAIIAggCCAIIAggCCAIIAggCCAIIAggCCAIIAggCBwIDAlRzcQB+AAAAAAACc3EAfgAE///////////////+/////v////91cQB+AAcAAAAESx09GXh4d00CHgACAQICAlUABjIwMTgwMQIEAgUCBgIHAggCCQIKAgsCDAINAggCCAIIAggCCAIIAggCCAIIAggCCAIIAggCCAIIAggCCAIHAgMCVnNxAH4AAAAAAAJzcQB+AAT///////////////7////+/////3VxAH4ABwAAAARO7ujaeHh3TQIeAAIBAgICVwAGMjAxODA4AgQCBQIGAgcCCAIJAgoCCwIMAg0CCAIIAggCCAIIAggCCAIIAggCCAIIAggCCAIIAggCCAIIAgcCAwJYc3EAfgAAAAAAAnNxAH4ABP///////////////v////7/////dXEAfgAHAAAABG9TFvJ4eHdNAh4AAgECAgJZAAYyMDIxMDICBAIFAgYCBwIIAgkCCgILAgwCDQIIAggCCAIIAggCCAIIAggCCAIIAggCCAIIAggCCAIIAggCBwIDAlpzcQB+AAAAAAACc3EAfgAE///////////////+/////gAAAAF1cQB+AAcAAAAEBZzdW3h4d00CHgACAQICAlsABjIwMjAwOQIEAgUCBgIHAggCCQIKAgsCDAINAggCCAIIAggCCAIIAggCCAIIAggCCAIIAggCCAIIAggCCAIHAgMCXHNxAH4AAAAAAAJzcQB+AAT///////////////7////+AAAAAXVxAH4ABwAAAAQESZcZeHh3TQIeAAIBAgICXQAGMjAyMDAxAgQCBQIGAgcCCAIJAgoCCwIMAg0CCAIIAggCCAIIAggCCAIIAggCCAIIAggCCAIIAggCCAIIAgcCAwJec3EAfgAAAAAAAnNxAH4ABP///////////////v////7/////dXEAfgAHAAAABAggj6Z4eHdNAh4AAgECAgJfAAYyMDIwMTICBAIFAgYCBwIIAgkCCgILAgwCDQIIAggCCAIIAggCCAIIAggCCAIIAggCCAIIAggCCAIIAggCBwIDAmBzcQB+AAAAAAACc3EAfgAE///////////////+/////v////91cQB+AAcAAAAEA5I8hXh4d00CHgACAQICAmEABjIwMTkxMgIEAgUCBgIHAggCCQIKAgsCDAINAggCCAIIAggCCAIIAggCCAIIAggCCAIIAggCCAIIAggCCAIHAgMCYnNxAH4AAAAAAAJzcQB+AAT///////////////7////+/////3VxAH4ABwAAAAQEzQ54eHh3TQIeAAIBAgICYwAGMjAxOTA1AgQCBQIGAgcCCAIJAgoCCwIMAg0CCAIIAggCCAIIAggCCAIIAggCCAIIAggCCAIIAggCCAIIAgcCAwJkc3EAfgAAAAAAAnNxAH4ABP///////////////v////4AAAABdXEAfgAHAAAABBbqLLh4eHdNAh4AAgECAgJlAAYyMDE5MDkCBAIFAgYCBwIIAgkCCgILAgwCDQIIAggCCAIIAggCCAIIAggCCAIIAggCCAIIAggCCAIIAggCBwIDAmZzcQB+AAAAAAACc3EAfgAE///////////////+/////v////91cQB+AAcAAAAEB36f/nh4d00CHgACAQICAmcABjIwMTkwMQIEAgUCBgIHAggCCQIKAgsCDAINAggCCAIIAggCCAIIAggCCAIIAggCCAIIAggCCAIIAggCCAIHAgMCaHNxAH4AAAAAAAJzcQB+AAT///////////////7////+/////3VxAH4ABwAAAAROMI/ReHh3hwIeAAJpAC9bMjAyMSBXQS1JRCBEZWZlcnJhbCAgQW1vcnQueGxzeF1KYW4gTkVXIEZPUk1BVAICAkMCagADUFREAgUCBgIHAggCCQJrAAY4MDQwMDACCwJsAAJBTgINAggCCAIIAggCCAIIAggCCAIIAggCCAIIAggCCAIIAggCCAIDAgMCbXNxAH4AAAAAAAJzcQB+AAT///////////////7////+AAAAAXVxAH4ABwAAAARC76daeHh3SQIeAAJpAgICQwJqAgUCBgIHAggCCQJrAgsCbgACSUQCDQIIAggCCAIIAggCCAIIAggCCAIIAggCCAIIAggCCAIIAggCAwIDAm9zcQB+AAAAAAABc3EAfgAE///////////////+/////v////91cQB+AAcAAAADAsDBeHh3TQIeAAJpAgICQwJqAgUCBgIHAggCCQJwAAY4MDgxMDACCwJsAg0CCAIIAggCCAIIAggCCAIIAggCCAIIAggCCAIIAggCCAIIAgMCAwJxc3EAfgAAAAAAAnNxAH4ABP///////////////v////4AAAABdXEAfgAHAAAABAo2Uct4eHdNAh4AAmkCAgJDAmoCBQIGAgcCCAIJAnIABjgxMTAwMAILAmwCDQIIAggCCAIIAggCCAIIAggCCAIIAggCCAIIAggCCAIIAggCAwIDAnNzcQB+AAAAAAACc3EAfgAE///////////////+/////v////91cQB+AAcAAAADBbLjeHh3TQIeAAJpAgICQwJqAgUCBgIHAggCCQJ0AAY4MDQ2MDACCwJsAg0CCAIIAggCCAIIAggCCAIIAggCCAIIAggCCAIIAggCCAIIAgMCAwJ1c3EAfgAAAAAAAnNxAH4ABP///////////////v////7/////dXEAfgAHAAAABATnpGh4eHdNAh4AAmkCAgJDAmoCBQIGAgcCCAIJAnYABjgwNDczMAILAmwCDQIIAggCCAIIAggCCAIIAggCCAIIAggCCAIIAggCCAIIAggCAwIDAndzcQB+AAAAAAACc3EAfgAE///////////////+/////gAAAAF1cQB+AAcAAAAEBcLEpnh4d00CHgACaQICAkMCagIFAgYCBwIIAgkCeAAGODA0MDE3AgsCbAINAggCCAIIAggCCAIIAggCCAIIAggCCAIIAggCCAIIAggCCAIDAgMCeXNxAH4AAAAAAAJzcQB+AAT///////////////7////+AAAAAXVxAH4ABwAAAAMrtgx4eHdNAh4AAmkCAgJDAmoCBQIGAgcCCAIJAnoABjgwODIwMAILAmwCDQIIAggCCAIIAggCCAIIAggCCAIIAggCCAIIAggCCAIIAggCAwIDAntzcQB+AAAAAAACc3EAfgAE///////////////+/////v////91cQB+AAcAAAAEAi7O0Xh4d00CHgACaQICAkMCagIFAgYCBwIIAgkCfAAGNDgzMDAwAgsCbAINAggCCAIIAggCCAIIAggCCAIIAggCCAIIAggCCAIIAggCCAIDAgMCfXNxAH4AAAAAAAJzcQB+AAT///////////////7////+/////3VxAH4ABwAAAAQQ0kHHeHh3TQIeAAJpAgICQwJqAgUCBgIHAggCCQJ+AAY0ODM2MDACCwJsAg0CCAIIAggCCAIIAggCCAIIAggCCAIIAggCCAIIAggCCAIIAgMCAwJ/c3EAfgAAAAAAAnNxAH4ABP///////////////v////4AAAABdXEAfgAHAAAABAGXNxJ4eHdNAh4AAmkCAgJDAmoCBQIGAgcCCAIJAoAABjQ5NTAyOAILAmwCDQIIAggCCAIIAggCCAIIAggCCAIIAggCCAIIAggCCAIIAggCAwIDAoFzcQB+AAAAAAAAc3EAfgAE///////////////+/////v////91cQB+AAcAAAADBbjYeHh3TQIeAAJpAgICQwJqAgUCBgIHAggCCQKCAAY4MDQwMDICCwJsAg0CCAIIAggCCAIIAggCCAIIAggCCAIIAggCCAIIAggCCAIIAgMCAwKDc3EAfgAAAAAAAnNxAH4ABP///////////////v////4AAAABdXEAfgAHAAAAAzWh+Xh4d00CHgACaQICAkMCagIFAgYCBwIIAgkChAAGODA0MDE4AgsCbAINAggCCAIIAggCCAIIAggCCAIIAggCCAIIAggCCAIIAggCCAIDAgMChXNxAH4AAAAAAAJzcQB+AAT///////////////7////+AAAAAXVxAH4ABwAAAAMM+bR4eHdNAh4AAmkCAgJDAmoCBQIGAgcCCAIJAoYABjgwNDAxMAILAmwCDQIIAggCCAIIAggCCAIIAggCCAIIAggCCAIIAggCCAIIAggCAwIDAodzcQB+AAAAAAACc3EAfgAE///////////////+/////gAAAAF1cQB+AAcAAAADNJKqeHh3RQIeAAJpAgICQwJqAgUCBgIHAggCCQJrAgsCDAINAggCCAIIAggCCAIIAggCCAIIAggCCAIIAggCCAIIAggCCAIDAgMCiHNxAH4AAAAAAAJzcQB+AAT///////////////7////+/////3VxAH4ABwAAAAM6yip4eHdNAh4AAmkCAgJDAmoCBQIGAgcCCAIJAokABjgwNDAwMQILAmwCDQIIAggCCAIIAggCCAIIAggCCAIIAggCCAIIAggCCAIIAggCAwIDAopzcQB+AAAAAAACc3EAfgAE///////////////+/////gAAAAF1cQB+AAcAAAAEDXRPC3h4d00CHgACaQICAkMCagIFAgYCBwIIAgkCiwAGNDgzNzMwAgsCbAINAggCCAIIAggCCAIIAggCCAIIAggCCAIIAggCCAIIAggCCAIDAgMCjHNxAH4AAAAAAAJzcQB+AAT///////////////7////+/////3VxAH4ABwAAAAQLeEIjeHh3dgIeAAKNAC9bMjAyMSBXQS1JRCBEZWZlcnJhbCAgQW1vcnQueGxzeF1GZWIgTkVXIEZPUk1BVAICAlkCagIFAgYCBwIIAgkCdgILAmwCDQIIAggCCAIIAggCCAIIAggCCAIIAggCCAIIAggCCAIIAggCBAIDAo5zcQB+AAAAAAACc3EAfgAE///////////////+/////gAAAAF1cQB+AAcAAAAEFnDcpHh4d0UCHgACjQICAlkCagIFAgYCBwIIAgkCegILAmwCDQIIAggCCAIIAggCCAIIAggCCAIIAggCCAIIAggCCAIIAggCBAIDAo9zcQB+AAAAAAACc3EAfgAE///////////////+/////v////91cQB+AAcAAAADI6+4eHh3RQIeAAKNAgICWQJqAgUCBgIHAggCCQJyAgsCbAINAggCCAIIAggCCAIIAggCCAIIAggCCAIIAggCCAIIAggCCAIEAgMCkHNxAH4AAAAAAAJzcQB+AAT///////////////7////+/////3VxAH4ABwAAAAOA/3J4eHdFAh4AAo0CAgJZAmoCBQIGAgcCCAIJAnwCCwJsAg0CCAIIAggCCAIIAggCCAIIAggCCAIIAggCCAIIAggCCAIIAgQCAwKRc3EAfgAAAAAAAnNxAH4ABP///////////////v////7/////dXEAfgAHAAAABCQs96Z4eHdFAh4AAo0CAgJZAmoCBQIGAgcCCAIJAngCCwJsAg0CCAIIAggCCAIIAggCCAIIAggCCAIIAggCCAIIAggCCAIIAgQCAwKSc3EAfgAAAAAAAnNxAH4ABP///////////////v////4AAAABdXEAfgAHAAAAAzNHwnh4d0UCHgACjQICAlkCagIFAgYCBwIIAgkCawILAgwCDQIIAggCCAIIAggCCAIIAggCCAIIAggCCAIIAggCCAIIAggCBAIDApNzcQB+AAAAAAABc3EAfgAE///////////////+/////v////91cQB+AAcAAAADLFYIeHh3RQIeAAKNAgICWQJqAgUCBgIHAggCCQJrAgsCbAINAggCCAIIAggCCAIIAggCCAIIAggCCAIIAggCCAIIAggCCAIEAgMClHNxAH4AAAAAAAJzcQB+AAT///////////////7////+AAAAAXVxAH4ABwAAAARTd+tUeHh3RQIeAAKNAgICWQJqAgUCBgIHAggCCQKGAgsCbAINAggCCAIIAggCCAIIAggCCAIIAggCCAIIAggCCAIIAggCCAIEAgMClXNxAH4AAAAAAAJzcQB+AAT///////////////7////+AAAAAXVxAH4ABwAAAAM6jGl4eHdFAh4AAo0CAgJZAmoCBQIGAgcCCAIJAnACCwJsAg0CCAIIAggCCAIIAggCCAIIAggCCAIIAggCCAIIAggCCAIIAgQCAwKWc3EAfgAAAAAAAnNxAH4ABP///////////////v////4AAAABdXEAfgAHAAAABBKRfm94eHdFAh4AAo0CAgJZAmoCBQIGAgcCCAIJAosCCwJsAg0CCAIIAggCCAIIAggCCAIIAggCCAIIAggCCAIIAggCCAIIAgQCAwKXc3EAfgAAAAAAAnNxAH4ABP///////////////v////7/////dXEAfgAHAAAABBV3ZK54eHdFAh4AAo0CAgJZAmoCBQIGAgcCCAIJAokCCwJsAg0CCAIIAggCCAIIAggCCAIIAggCCAIIAggCCAIIAggCCAIIAgQCAwKYc3EAfgAAAAAAAnNxAH4ABP///////////////v////4AAAABdXEAfgAHAAAABAzSEUF4eHdFAh4AAo0CAgJZAmoCBQIGAgcCCAIJAnQCCwJsAg0CCAIIAggCCAIIAggCCAIIAggCCAIIAggCCAIIAggCCAIIAgQCAwKZc3EAfgAAAAAAAnNxAH4ABP///////////////v////7/////dXEAfgAHAAAABAVtF4V4eHdFAh4AAo0CAgJZAmoCBQIGAgcCCAIJAn4CCwJsAg0CCAIIAggCCAIIAggCCAIIAggCCAIIAggCCAIIAggCCAIIAgQCAwKac3EAfgAAAAAAAnNxAH4ABP///////////////v////4AAAABdXEAfgAHAAAABA3uTAt4eHdFAh4AAo0CAgJZAmoCBQIGAgcCCAIJAoQCCwJsAg0CCAIIAggCCAIIAggCCAIIAggCCAIIAggCCAIIAggCCAIIAgQCAwKbc3EAfgAAAAAAAnNxAH4ABP///////////////v////4AAAABdXEAfgAHAAAAAw5Io3h4d0UCHgACjQICAlkCagIFAgYCBwIIAgkCawILAm4CDQIIAggCCAIIAggCCAIIAggCCAIIAggCCAIIAggCCAIIAggCBAIDApxzcQB+AAAAAAACc3EAfgAE///////////////+/////v////91cQB+AAcAAAAD1fm0eHh3igIeAAKNAgICWQJqAgUCBgIHAggCCQKAAgsCbAINAggCCAIIAggCCAIIAggCCAIIAggCCAIIAggCCAIIAggCCAIEAgMCgQIeAAKNAgICWQJqAgUCBgIHAggCCQKCAgsCbAINAggCCAIIAggCCAIIAggCCAIIAggCCAIIAggCCAIIAggCCAIEAgMCnXNxAH4AAAAAAAJzcQB+AAT///////////////7////+AAAAAXVxAH4ABwAAAAM5bvF4eHd/Ah4AAp4AMFsyMDIxIFdBLUlEIERlZmVycmFsICBBbW9ydC54bHN4XTE5MTAwMCBXQSBBbW9ydAICAi0CBAIFAgYCBwIIAgkCnwAGMTkxMDAwAgsCDAINAggCCAIIAggCCAIIAggCCAIIAggCCAIIAggCCAIIAggCCAIIAgMCoHNxAH4AAAAAAAJzcQB+AAT///////////////7////+AAAAAXVxAH4ABwAAAAQUEytzeHh3RQIeAAKeAgICIQIEAgUCBgIHAggCCQKfAgsCDAINAggCCAIIAggCCAIIAggCCAIIAggCCAIIAggCCAIIAggCCAIIAgMCoXNxAH4AAAAAAAJzcQB+AAT///////////////7////+AAAAAXVxAH4ABwAAAAQEBrzSeHh3RQIeAAKeAgICIwIEAgUCBgIHAggCCQKfAgsCDAINAggCCAIIAggCCAIIAggCCAIIAggCCAIIAggCCAIIAggCCAIIAgMConNxAH4AAAAAAAJzcQB+AAT///////////////7////+AAAAAXVxAH4ABwAAAAQHMrpZeHh3RQIeAAKeAgICGwIEAgUCBgIHAggCCQKfAgsCDAINAggCCAIIAggCCAIIAggCCAIIAggCCAIIAggCCAIIAggCCAIIAgMCo3NxAH4AAAAAAAJzcQB+AAT///////////////7////+AAAAAXVxAH4ABwAAAAQK/sL+eHh3RQIeAAKeAgICNwIEAgUCBgIHAggCCQKfAgsCDAINAggCCAIIAggCCAIIAggCCAIIAggCCAIIAggCCAIIAggCCAIIAgMCpHNxAH4AAAAAAAJzcQB+AAT///////////////7////+/////3VxAH4ABwAAAAQJ0jBneHh3RQIeAAKeAgICAwIEAgUCBgIHAggCCQKfAgsCDAINAggCCAIIAggCCAIIAggCCAIIAggCCAIIAggCCAIIAggCCAIIAgMCpXNxAH4AAAAAAAJzcQB+AAT///////////////7////+/////3VxAH4ABwAAAAQZYudleHh3RQIeAAKeAgICMwIEAgUCBgIHAggCCQKfAgsCDAINAggCCAIIAggCCAIIAggCCAIIAggCCAIIAggCCAIIAggCCAIIAgMCpnNxAH4AAAAAAAJzcQB+AAT///////////////7////+AAAAAXVxAH4ABwAAAAQDOFpQeHh3RQIeAAKeAgICZQIEAgUCBgIHAggCCQKfAgsCDAINAggCCAIIAggCCAIIAggCCAIIAggCCAIIAggCCAIIAggCCAIIAgMCp3NxAH4AAAAAAAJzcQB+AAT///////////////7////+AAAAAXVxAH4ABwAAAAQKkcBAeHh3RQIeAAKeAgICVwIEAgUCBgIHAggCCQKfAgsCDAINAggCCAIIAggCCAIIAggCCAIIAggCCAIIAggCCAIIAggCCAIIAgMCqHNxAH4AAAAAAAJzcQB+AAT///////////////7////+AAAAAXVxAH4ABwAAAAQCCDy9eHh3RQIeAAKeAgICMQIEAgUCBgIHAggCCQKfAgsCDAINAggCCAIIAggCCAIIAggCCAIIAggCCAIIAggCCAIIAggCCAIIAgMCqXNxAH4AAAAAAAJzcQB+AAT///////////////7////+AAAAAXVxAH4ABwAAAAQCMejieHh3RQIeAAKeAgICOQIEAgUCBgIHAggCCQKfAgsCDAINAggCCAIIAggCCAIIAggCCAIIAggCCAIIAggCCAIIAggCCAIIAgMCqnNxAH4AAAAAAAJzcQB+AAT///////////////7////+AAAAAXVxAH4ABwAAAAQFFpO9eHh3RQIeAAKeAgICSwIEAgUCBgIHAggCCQKfAgsCDAINAggCCAIIAggCCAIIAggCCAIIAggCCAIIAggCCAIIAggCCAIIAgMCq3NxAH4AAAAAAAJzcQB+AAT///////////////7////+AAAAAXVxAH4ABwAAAAQCC+GteHh3RQIeAAKeAgICSQIEAgUCBgIHAggCCQKfAgsCDAINAggCCAIIAggCCAIIAggCCAIIAggCCAIIAggCCAIIAggCCAIIAgMCrHNxAH4AAAAAAAJzcQB+AAT///////////////7////+AAAAAXVxAH4ABwAAAAQGo8CKeHh3RQIeAAKeAgICLwIEAgUCBgIHAggCCQKfAgsCDAINAggCCAIIAggCCAIIAggCCAIIAggCCAIIAggCCAIIAggCCAIIAgMCrXNxAH4AAAAAAAJzcQB+AAT///////////////7////+AAAAAXVxAH4ABwAAAAQLZuSVeHh3RQIeAAKeAgICTQIEAgUCBgIHAggCCQKfAgsCDAINAggCCAIIAggCCAIIAggCCAIIAggCCAIIAggCCAIIAggCCAIIAgMCrnNxAH4AAAAAAAJzcQB+AAT///////////////7////+AAAAAXVxAH4ABwAAAAQC0CR3eHh3RQIeAAKeAgICJQIEAgUCBgIHAggCCQKfAgsCDAINAggCCAIIAggCCAIIAggCCAIIAggCCAIIAggCCAIIAggCCAIIAgMCr3NxAH4AAAAAAAJzcQB+AAT///////////////7////+/////3VxAH4ABwAAAAQDA510eHh3RQIeAAKeAgICRQIEAgUCBgIHAggCCQKfAgsCDAINAggCCAIIAggCCAIIAggCCAIIAggCCAIIAggCCAIIAggCCAIIAgMCsHNxAH4AAAAAAAJzcQB+AAT///////////////7////+AAAAAXVxAH4ABwAAAAQK/GdUeHh3RQIeAAKeAgICHQIEAgUCBgIHAggCCQKfAgsCDAINAggCCAIIAggCCAIIAggCCAIIAggCCAIIAggCCAIIAggCCAIIAgMCsXNxAH4AAAAAAAJzcQB+AAT///////////////7////+AAAAAXVxAH4ABwAAAAMJSVB4eHdFAh4AAp4CAgIpAgQCBQIGAgcCCAIJAp8CCwIMAg0CCAIIAggCCAIIAggCCAIIAggCCAIIAggCCAIIAggCCAIIAggCAwKyc3EAfgAAAAAAAnNxAH4ABP///////////////v////7/////dXEAfgAHAAAABA5TyYx4eHdFAh4AAp4CAgJBAgQCBQIGAgcCCAIJAp8CCwIMAg0CCAIIAggCCAIIAggCCAIIAggCCAIIAggCCAIIAggCCAIIAggCAwKzc3EAfgAAAAAAAnNxAH4ABP///////////////v////4AAAABdXEAfgAHAAAABAeeQlZ4eHdFAh4AAp4CAgJbAgQCBQIGAgcCCAIJAp8CCwIMAg0CCAIIAggCCAIIAggCCAIIAggCCAIIAggCCAIIAggCCAIIAggCAwK0c3EAfgAAAAAAAnNxAH4ABP///////////////v////4AAAABdXEAfgAHAAAABAHkUIl4eHdFAh4AAp4CAgJPAgQCBQIGAgcCCAIJAp8CCwIMAg0CCAIIAggCCAIIAggCCAIIAggCCAIIAggCCAIIAggCCAIIAggCAwK1c3EAfgAAAAAAAnNxAH4ABP///////////////v////4AAAABdXEAfgAHAAAABALl65l4eHdFAh4AAp4CAgJDAgQCBQIGAgcCCAIJAp8CCwIMAg0CCAIIAggCCAIIAggCCAIIAggCCAIIAggCCAIIAggCCAIIAggCAwK2c3EAfgAAAAAAAnNxAH4ABP///////////////v////4AAAABdXEAfgAHAAAABAlq3dl4eHdFAh4AAp4CAgJRAgQCBQIGAgcCCAIJAp8CCwIMAg0CCAIIAggCCAIIAggCCAIIAggCCAIIAggCCAIIAggCCAIIAggCAwK3c3EAfgAAAAAAAnNxAH4ABP///////////////v////4AAAABdXEAfgAHAAAABAKKFE14eHdFAh4AAp4CAgJjAgQCBQIGAgcCCAIJAp8CCwIMAg0CCAIIAggCCAIIAggCCAIIAggCCAIIAggCCAIIAggCCAIIAggCAwK4c3EAfgAAAAAAAnNxAH4ABP///////////////v////4AAAABdXEAfgAHAAAAA3SEXnh4d0UCHgACngICAmcCBAIFAgYCBwIIAgkCnwILAgwCDQIIAggCCAIIAggCCAIIAggCCAIIAggCCAIIAggCCAIIAggCCAIDArlzcQB+AAAAAAACc3EAfgAE///////////////+/////v////91cQB+AAcAAAAEJ8fnpHh4d0UCHgACngICAj0CBAIFAgYCBwIIAgkCnwILAgwCDQIIAggCCAIIAggCCAIIAggCCAIIAggCCAIIAggCCAIIAggCCAIDArpzcQB+AAAAAAACc3EAfgAE///////////////+/////v////91cQB+AAcAAAAEBxk/mXh4d0UCHgACngICAjUCBAIFAgYCBwIIAgkCnwILAgwCDQIIAggCCAIIAggCCAIIAggCCAIIAggCCAIIAggCCAIIAggCCAIDArtzcQB+AAAAAAACc3EAfgAE///////////////+/////gAAAAF1cQB+AAcAAAAEAWDRKnh4d0UCHgACngICAmECBAIFAgYCBwIIAgkCnwILAgwCDQIIAggCCAIIAggCCAIIAggCCAIIAggCCAIIAggCCAIIAggCCAIDArxzcQB+AAAAAAACc3EAfgAE///////////////+/////gAAAAF1cQB+AAcAAAAEBdb0pHh4d0UCHgACngICAj8CBAIFAgYCBwIIAgkCnwILAgwCDQIIAggCCAIIAggCCAIIAggCCAIIAggCCAIIAggCCAIIAggCCAIDAr1zcQB+AAAAAAACc3EAfgAE///////////////+/////v////91cQB+AAcAAAAERhH8IXh4d0UCHgACngICAlkCBAIFAgYCBwIIAgkCnwILAgwCDQIIAggCCAIIAggCCAIIAggCCAIIAggCCAIIAggCCAIIAggCCAIDAr5zcQB+AAAAAAACc3EAfgAE///////////////+/////gAAAAF1cQB+AAcAAAAECliExnh4d0UCHgACngICAl0CBAIFAgYCBwIIAgkCnwILAgwCDQIIAggCCAIIAggCCAIIAggCCAIIAggCCAIIAggCCAIIAggCCAIDAr9zcQB+AAAAAAACc3EAfgAE///////////////+/////gAAAAF1cQB+AAcAAAAEBOge6Hh4d0UCHgACngICAisCBAIFAgYCBwIIAgkCnwILAgwCDQIIAggCCAIIAggCCAIIAggCCAIIAggCCAIIAggCCAIIAggCCAIDAsBzcQB+AAAAAAACc3EAfgAE///////////////+/////v////91cQB+AAcAAAAEAe561nh4d0UCHgACngICAl8CBAIFAgYCBwIIAgkCnwILAgwCDQIIAggCCAIIAggCCAIIAggCCAIIAggCCAIIAggCCAIIAggCCAIDAsFzcQB+AAAAAAACc3EAfgAE///////////////+/////gAAAAF1cQB+AAcAAAAECIaNC3h4d0UCHgACngICAlMCBAIFAgYCBwIIAgkCnwILAgwCDQIIAggCCAIIAggCCAIIAggCCAIIAggCCAIIAggCCAIIAggCCAIDAsJzcQB+AAAAAAACc3EAfgAE///////////////+/////v////91cQB+AAcAAAAENigpCnh4d0UCHgACngICAh8CBAIFAgYCBwIIAgkCnwILAgwCDQIIAggCCAIIAggCCAIIAggCCAIIAggCCAIIAggCCAIIAggCCAIDAsNzcQB+AAAAAAACc3EAfgAE///////////////+/////gAAAAF1cQB+AAcAAAAEAlw9HHh4d0UCHgACngICAicCBAIFAgYCBwIIAgkCnwILAgwCDQIIAggCCAIIAggCCAIIAggCCAIIAggCCAIIAggCCAIIAggCCAIDAsRzcQB+AAAAAAACc3EAfgAE///////////////+/////v////91cQB+AAcAAAAEFv2jEHh4d0UCHgACngICAlUCBAIFAgYCBwIIAgkCnwILAgwCDQIIAggCCAIIAggCCAIIAggCCAIIAggCCAIIAggCCAIIAggCCAIDAsVzcQB+AAAAAAACc3EAfgAE///////////////+/////v////91cQB+AAcAAAAEJnGjV3h4d0UCHgACngICAjsCBAIFAgYCBwIIAgkCnwILAgwCDQIIAggCCAIIAggCCAIIAggCCAIIAggCCAIIAggCCAIIAggCCAIDAsZzcQB+AAAAAAACc3EAfgAE///////////////+/////gAAAAF1cQB+AAcAAAAEBKnnZHh4d0UCHgACngICAkcCBAIFAgYCBwIIAgkCnwILAgwCDQIIAggCCAIIAggCCAIIAggCCAIIAggCCAIIAggCCAIIAggCCAIDAsdzcQB+AAAAAAACc3EAfgAE///////////////+/////v////91cQB+AAcAAAAEBEpBlXh4d3YCHgACyAAvWzIwMjEgV0EtSUQgRGVmZXJyYWwgIEFtb3J0Lnhsc3hdTWFyIE5FVyBGT1JNQVQCAgIbAmoCBQIGAgcCCAIJAmsCCwJuAg0CCAIIAggCCAIIAggCCAIIAggCCAIIAggCCAIIAggCCAIIAgUCAwLJc3EAfgAAAAAAAnNxAH4ABP///////////////v////4AAAABdXEAfgAHAAAAA/dmb3h4d0UCHgACyAICAhsCagIFAgYCBwIIAgkCcAILAmwCDQIIAggCCAIIAggCCAIIAggCCAIIAggCCAIIAggCCAIIAggCBQIDAspzcQB+AAAAAAACc3EAfgAE///////////////+/////gAAAAF1cQB+AAcAAAAEDo5OVHh4d0UCHgACyAICAhsCagIFAgYCBwIIAgkCiQILAmwCDQIIAggCCAIIAggCCAIIAggCCAIIAggCCAIIAggCCAIIAggCBQIDAstzcQB+AAAAAAACc3EAfgAE///////////////+/////gAAAAF1cQB+AAcAAAAEDXHypnh4d0UCHgACyAICAhsCagIFAgYCBwIIAgkCiwILAmwCDQIIAggCCAIIAggCCAIIAggCCAIIAggCCAIIAggCCAIIAggCBQIDAsxzcQB+AAAAAAACc3EAfgAE///////////////+/////v////91cQB+AAcAAAAECzGDF3h4d0UCHgACyAICAhsCagIFAgYCBwIIAgkCawILAgwCDQIIAggCCAIIAggCCAIIAggCCAIIAggCCAIIAggCCAIIAggCBQIDAs1zcQB+AAAAAAACc3EAfgAE///////////////+/////gAAAAF1cQB+AAcAAAAEAgLa9Hh4d0UCHgACyAICAhsCagIFAgYCBwIIAgkChgILAmwCDQIIAggCCAIIAggCCAIIAggCCAIIAggCCAIIAggCCAIIAggCBQIDAs5zcQB+AAAAAAACc3EAfgAE///////////////+/////v////91cQB+AAcAAAADY8kdeHh3RQIeAALIAgICGwJqAgUCBgIHAggCCQJrAgsCbAINAggCCAIIAggCCAIIAggCCAIIAggCCAIIAggCCAIIAggCCAIFAgMCz3NxAH4AAAAAAAJzcQB+AAT///////////////7////+AAAAAXVxAH4ABwAAAAQ0OIO8eHh3RQIeAALIAgICGwJqAgUCBgIHAggCCQJ6AgsCbAINAggCCAIIAggCCAIIAggCCAIIAggCCAIIAggCCAIIAggCCAIFAgMC0HNxAH4AAAAAAAJzcQB+AAT///////////////7////+/////3VxAH4ABwAAAANCa3V4eHdFAh4AAsgCAgIbAmoCBQIGAgcCCAIJAngCCwJsAg0CCAIIAggCCAIIAggCCAIIAggCCAIIAggCCAIIAggCCAIIAgUCAwLRc3EAfgAAAAAAAnNxAH4ABP///////////////v////4AAAABdXEAfgAHAAAAAyzaGnh4d0UCHgACyAICAhsCagIFAgYCBwIIAgkCfgILAmwCDQIIAggCCAIIAggCCAIIAggCCAIIAggCCAIIAggCCAIIAggCBQIDAtJzcQB+AAAAAAACc3EAfgAE///////////////+/////v////91cQB+AAcAAAAD/qAVeHh3RQIeAALIAgICGwJqAgUCBgIHAggCCQJ8AgsCbAINAggCCAIIAggCCAIIAggCCAIIAggCCAIIAggCCAIIAggCCAIFAgMC03NxAH4AAAAAAAJzcQB+AAT///////////////7////+/////3VxAH4ABwAAAAQVZ8JreHh3RQIeAALIAgICGwJqAgUCBgIHAggCCQJ0AgsCbAINAggCCAIIAggCCAIIAggCCAIIAggCCAIIAggCCAIIAggCCAIFAgMC1HNxAH4AAAAAAAJzcQB+AAT///////////////7////+/////3VxAH4ABwAAAAQJtJuheHh3RQIeAALIAgICGwJqAgUCBgIHAggCCQKEAgsCbAINAggCCAIIAggCCAIIAggCCAIIAggCCAIIAggCCAIIAggCCAIFAgMC1XNxAH4AAAAAAAJzcQB+AAT///////////////7////+AAAAAXVxAH4ABwAAAAMJ3cR4eHeKAh4AAsgCAgIbAmoCBQIGAgcCCAIJAoACCwJsAg0CCAIIAggCCAIIAggCCAIIAggCCAIIAggCCAIIAggCCAIIAgUCAwKBAh4AAsgCAgIbAmoCBQIGAgcCCAIJAnICCwJsAg0CCAIIAggCCAIIAggCCAIIAggCCAIIAggCCAIIAggCCAIIAgUCAwLWc3EAfgAAAAAAAnNxAH4ABP///////////////v////7/////dXEAfgAHAAAAAz9EFHh4d0UCHgACyAICAhsCagIFAgYCBwIIAgkCggILAmwCDQIIAggCCAIIAggCCAIIAggCCAIIAggCCAIIAggCCAIIAggCBQIDAtdzcQB+AAAAAAACc3EAfgAE///////////////+/////gAAAAF1cQB+AAcAAAADLzepeHh3RQIeAALIAgICGwJqAgUCBgIHAggCCQJ2AgsCbAINAggCCAIIAggCCAIIAggCCAIIAggCCAIIAggCCAIIAggCCAIFAgMC2HNxAH4AAAAAAAJzcQB+AAT///////////////7////+AAAAAXVxAH4ABwAAAAQDOoOteHh3dwIeAALZADBbMjAyMSBXQS1JRCBEZWZlcnJhbCAgQW1vcnQueGxzeF0xOTEwMDAgSUQgQW1vcnQCAgJjAgQCBQIGAgcCCAIJAp8CCwJuAg0CCAIIAggCCAIIAggCCAIIAggCCAIIAggCCAIIAggCCAIIAgoCAwLac3EAfgAAAAAAAnNxAH4ABP///////////////v////7/////dXEAfgAHAAAABARqEfV4eHdFAh4AAtkCAgI1AgQCBQIGAgcCCAIJAp8CCwJuAg0CCAIIAggCCAIIAggCCAIIAggCCAIIAggCCAIIAggCCAIIAgoCAwLbc3EAfgAAAAAAAnNxAH4ABP///////////////v////4AAAABdXEAfgAHAAAABAKG1Bp4eHdFAh4AAtkCAgI7AgQCBQIGAgcCCAIJAp8CCwJuAg0CCAIIAggCCAIIAggCCAIIAggCCAIIAggCCAIIAggCCAIIAgoCAwLcc3EAfgAAAAAAAnNxAH4ABP///////////////v////4AAAABdXEAfgAHAAAABAV5RUJ4eHdFAh4AAtkCAgI9AgQCBQIGAgcCCAIJAp8CCwJuAg0CCAIIAggCCAIIAggCCAIIAggCCAIIAggCCAIIAggCCAIIAgoCAwLdc3EAfgAAAAAAAnNxAH4ABP///////////////v////7/////dXEAfgAHAAAABAEya894eHdFAh4AAtkCAgI/AgQCBQIGAgcCCAIJAp8CCwJuAg0CCAIIAggCCAIIAggCCAIIAggCCAIIAggCCAIIAggCCAIIAgoCAwLec3EAfgAAAAAAAnNxAH4ABP///////////////v////7/////dXEAfgAHAAAABCWzVt54eHdFAh4AAtkCAgJJAgQCBQIGAgcCCAIJAp8CCwJuAg0CCAIIAggCCAIIAggCCAIIAggCCAIIAggCCAIIAggCCAIIAgoCAwLfc3EAfgAAAAAAAnNxAH4ABP///////////////v////7/////dXEAfgAHAAAABA28xAZ4eHdFAh4AAtkCAgJFAgQCBQIGAgcCCAIJAp8CCwJuAg0CCAIIAggCCAIIAggCCAIIAggCCAIIAggCCAIIAggCCAIIAgoCAwLgc3EAfgAAAAAAAnNxAH4ABP///////////////v////4AAAABdXEAfgAHAAAABAjbpRZ4eHdFAh4AAtkCAgJBAgQCBQIGAgcCCAIJAp8CCwJuAg0CCAIIAggCCAIIAggCCAIIAggCCAIIAggCCAIIAggCCAIIAgoCAwLhc3EAfgAAAAAAAnNxAH4ABP///////////////v////4AAAABdXEAfgAHAAAABAbon9R4eHdFAh4AAtkCAgJDAgQCBQIGAgcCCAIJAp8CCwJuAg0CCAIIAggCCAIIAggCCAIIAggCCAIIAggCCAIIAggCCAIIAgoCAwLic3EAfgAAAAAAAnNxAH4ABP///////////////v////4AAAABdXEAfgAHAAAABAzs4Wx4eHdFAh4AAtkCAgJLAgQCBQIGAgcCCAIJAp8CCwJuAg0CCAIIAggCCAIIAggCCAIIAggCCAIIAggCCAIIAggCCAIIAgoCAwLjc3EAfgAAAAAAAnNxAH4ABP///////////////v////4AAAABdXEAfgAHAAAAA1zOiXh4d0UCHgAC2QICAk0CBAIFAgYCBwIIAgkCnwILAm4CDQIIAggCCAIIAggCCAIIAggCCAIIAggCCAIIAggCCAIIAggCCgIDAuRzcQB+AAAAAAACc3EAfgAE///////////////+/////v////91cQB+AAcAAAAEAiNgrXh4d0UCHgAC2QICAk8CBAIFAgYCBwIIAgkCnwILAm4CDQIIAggCCAIIAggCCAIIAggCCAIIAggCCAIIAggCCAIIAggCCgIDAuVzcQB+AAAAAAACc3EAfgAE///////////////+/////v////91cQB+AAcAAAAEAwyRDHh4d0UCHgAC2QICAlECBAIFAgYCBwIIAgkCnwILAm4CDQIIAggCCAIIAggCCAIIAggCCAIIAggCCAIIAggCCAIIAggCCgIDAuZzcQB+AAAAAAACc3EAfgAE///////////////+/////v////91cQB+AAcAAAAEAUkUuHh4d0UCHgAC2QICAkcCBAIFAgYCBwIIAgkCnwILAm4CDQIIAggCCAIIAggCCAIIAggCCAIIAggCCAIIAggCCAIIAggCCgIDAudzcQB+AAAAAAACc3EAfgAE///////////////+/////gAAAAF1cQB+AAcAAAADNqW2eHh3RQIeAALZAgICUwIEAgUCBgIHAggCCQKfAgsCbgINAggCCAIIAggCCAIIAggCCAIIAggCCAIIAggCCAIIAggCCAIKAgMC6HNxAH4AAAAAAAJzcQB+AAT///////////////7////+/////3VxAH4ABwAAAAQefhiDeHh3RQIeAALZAgICVQIEAgUCBgIHAggCCQKfAgsCbgINAggCCAIIAggCCAIIAggCCAIIAggCCAIIAggCCAIIAggCCAIKAgMC6XNxAH4AAAAAAAJzcQB+AAT///////////////7////+/////3VxAH4ABwAAAAQQposkeHh3RQIeAALZAgICVwIEAgUCBgIHAggCCQKfAgsCbgINAggCCAIIAggCCAIIAggCCAIIAggCCAIIAggCCAIIAggCCAIKAgMC6nNxAH4AAAAAAAJzcQB+AAT///////////////7////+AAAAAXVxAH4ABwAAAAQD7jMGeHh3RQIeAALZAgICZwIEAgUCBgIHAggCCQKfAgsCbgINAggCCAIIAggCCAIIAggCCAIIAggCCAIIAggCCAIIAggCCAIKAgMC63NxAH4AAAAAAAJzcQB+AAT///////////////7////+/////3VxAH4ABwAAAAQXjeUceHh3RQIeAALZAgICZQIEAgUCBgIHAggCCQKfAgsCbgINAggCCAIIAggCCAIIAggCCAIIAggCCAIIAggCCAIIAggCCAIKAgMC7HNxAH4AAAAAAAJzcQB+AAT///////////////7////+AAAAAXVxAH4ABwAAAAQBGIDHeHh3RQIeAALZAgICWwIEAgUCBgIHAggCCQKfAgsCbgINAggCCAIIAggCCAIIAggCCAIIAggCCAIIAggCCAIIAggCCAIKAgMC7XNxAH4AAAAAAAJzcQB+AAT///////////////7////+AAAAAXVxAH4ABwAAAAPqQ0l4eHdFAh4AAtkCAgJdAgQCBQIGAgcCCAIJAp8CCwJuAg0CCAIIAggCCAIIAggCCAIIAggCCAIIAggCCAIIAggCCAIIAgoCAwLuc3EAfgAAAAAAAnNxAH4ABP///////////////v////7/////dXEAfgAHAAAABAhi4xt4eHdFAh4AAtkCAgJhAgQCBQIGAgcCCAIJAp8CCwJuAg0CCAIIAggCCAIIAggCCAIIAggCCAIIAggCCAIIAggCCAIIAgoCAwLvc3EAfgAAAAAAAnNxAH4ABP///////////////v////7/////dXEAfgAHAAAABAswMKF4eHdFAh4AAtkCAgJfAgQCBQIGAgcCCAIJAp8CCwJuAg0CCAIIAggCCAIIAggCCAIIAggCCAIIAggCCAIIAggCCAIIAgoCAwLwc3EAfgAAAAAAAnNxAH4ABP///////////////v////4AAAABdXEAfgAHAAAABAnkvlh4eHdFAh4AAtkCAgJZAgQCBQIGAgcCCAIJAp8CCwJuAg0CCAIIAggCCAIIAggCCAIIAggCCAIIAggCCAIIAggCCAIIAgoCAwLxc3EAfgAAAAAAAnNxAH4ABP///////////////v////4AAAABdXEAfgAHAAAABBAYmM14eHdFAh4AAtkCAgIfAgQCBQIGAgcCCAIJAp8CCwJuAg0CCAIIAggCCAIIAggCCAIIAggCCAIIAggCCAIIAggCCAIIAgoCAwLyc3EAfgAAAAAAAnNxAH4ABP///////////////v////7/////dXEAfgAHAAAAA5T/VXh4d0UCHgAC2QICAgMCBAIFAgYCBwIIAgkCnwILAm4CDQIIAggCCAIIAggCCAIIAggCCAIIAggCCAIIAggCCAIIAggCCgIDAvNzcQB+AAAAAAACc3EAfgAE///////////////+/////v////91cQB+AAcAAAAECivT53h4d0UCHgAC2QICAisCBAIFAgYCBwIIAgkCnwILAm4CDQIIAggCCAIIAggCCAIIAggCCAIIAggCCAIIAggCCAIIAggCCgIDAvRzcQB+AAAAAAACc3EAfgAE///////////////+/////gAAAAF1cQB+AAcAAAAEAaNwu3h4d0UCHgAC2QICAhsCBAIFAgYCBwIIAgkCnwILAm4CDQIIAggCCAIIAggCCAIIAggCCAIIAggCCAIIAggCCAIIAggCCgIDAvVzcQB+AAAAAAACc3EAfgAE///////////////+/////gAAAAF1cQB+AAcAAAAEElVnf3h4d0UCHgAC2QICAiECBAIFAgYCBwIIAgkCnwILAm4CDQIIAggCCAIIAggCCAIIAggCCAIIAggCCAIIAggCCAIIAggCCgIDAvZzcQB+AAAAAAACc3EAfgAE///////////////+/////v////91cQB+AAcAAAAEBdCwGXh4d0UCHgAC2QICAh0CBAIFAgYCBwIIAgkCnwILAm4CDQIIAggCCAIIAggCCAIIAggCCAIIAggCCAIIAggCCAIIAggCCgIDAvdzcQB+AAAAAAACc3EAfgAE///////////////+/////gAAAAF1cQB+AAcAAAAEAtQ47Hh4d0UCHgAC2QICAiMCBAIFAgYCBwIIAgkCnwILAm4CDQIIAggCCAIIAggCCAIIAggCCAIIAggCCAIIAggCCAIIAggCCgIDAvhzcQB+AAAAAAACc3EAfgAE///////////////+/////v////91cQB+AAcAAAADqUqIeHh3RQIeAALZAgICJwIEAgUCBgIHAggCCQKfAgsCbgINAggCCAIIAggCCAIIAggCCAIIAggCCAIIAggCCAIIAggCCAIKAgMC+XNxAH4AAAAAAAJzcQB+AAT///////////////7////+/////3VxAH4ABwAAAAQPQsFeeHh3RQIeAALZAgICKQIEAgUCBgIHAggCCQKfAgsCbgINAggCCAIIAggCCAIIAggCCAIIAggCCAIIAggCCAIIAggCCAIKAgMC+nNxAH4AAAAAAAJzcQB+AAT///////////////7////+/////3VxAH4ABwAAAAQE4d6ZeHh3RQIeAALZAgICJQIEAgUCBgIHAggCCQKfAgsCbgINAggCCAIIAggCCAIIAggCCAIIAggCCAIIAggCCAIIAggCCAIKAgMC+3NxAH4AAAAAAAJzcQB+AAT///////////////7////+/////3VxAH4ABwAAAAQGDfSYeHh3RQIeAALZAgICMQIEAgUCBgIHAggCCQKfAgsCbgINAggCCAIIAggCCAIIAggCCAIIAggCCAIIAggCCAIIAggCCAIKAgMC/HNxAH4AAAAAAAJzcQB+AAT///////////////7////+/////3VxAH4ABwAAAAMdKDx4eHdFAh4AAtkCAgIzAgQCBQIGAgcCCAIJAp8CCwJuAg0CCAIIAggCCAIIAggCCAIIAggCCAIIAggCCAIIAggCCAIIAgoCAwL9c3EAfgAAAAAAAnNxAH4ABP///////////////v////7/////dXEAfgAHAAAABAOSPjx4eHdFAh4AAtkCAgItAgQCBQIGAgcCCAIJAp8CCwJuAg0CCAIIAggCCAIIAggCCAIIAggCCAIIAggCCAIIAggCCAIIAgoCAwL+c3EAfgAAAAAAAnNxAH4ABP///////////////v////4AAAABdXEAfgAHAAAABAXLzNJ4eHdFAh4AAtkCAgI3AgQCBQIGAgcCCAIJAp8CCwJuAg0CCAIIAggCCAIIAggCCAIIAggCCAIIAggCCAIIAggCCAIIAgoCAwL/c3EAfgAAAAAAAnNxAH4ABP///////////////v////7/////dXEAfgAHAAAABAlux3d4eHdGAh4AAtkCAgI5AgQCBQIGAgcCCAIJAp8CCwJuAg0CCAIIAggCCAIIAggCCAIIAggCCAIIAggCCAIIAggCCAIIAgoCAwQAAXNxAH4AAAAAAAJzcQB+AAT///////////////7////+/////3VxAH4ABwAAAAQB2FSqeHh3RgIeAALZAgICLwIEAgUCBgIHAggCCQKfAgsCbgINAggCCAIIAggCCAIIAggCCAIIAggCCAIIAggCCAIIAggCCAIKAgMEAQFzcQB+AAAAAAACc3EAfgAE///////////////+/////gAAAAF1cQB+AAcAAAAEE8/BvXh4d3cCHgAEAgEALlsyMDIxIFdBLUlEIERlZmVycmFsICBBbW9ydC54bHN4XTE5MTAxMCBJRCBERUYCAgIxAgQCBQIGAgcCCAIJAgoCCwJuAg0CCAIIAggCCAIIAggCCAIIAggCCAIIAggCCAIIAggCCAIIAgkCAwQDAXNxAH4AAAAAAAJzcQB+AAT///////////////7////+/////3VxAH4ABwAAAAMdwR14eHdHAh4ABAIBAgICLQIEAgUCBgIHAggCCQIKAgsCbgINAggCCAIIAggCCAIIAggCCAIIAggCCAIIAggCCAIIAggCCAIJAgMEBAFzcQB+AAAAAAACc3EAfgAE///////////////+/////v////91cQB+AAcAAAAEFfSB13h4d0cCHgAEAgECAgIbAgQCBQIGAgcCCAIJAgoCCwJuAg0CCAIIAggCCAIIAggCCAIIAggCCAIIAggCCAIIAggCCAIIAgkCAwQFAXNxAH4AAAAAAAJzcQB+AAT///////////////7////+AAAAAXVxAH4ABwAAAAQBoB42eHh3RwIeAAQCAQICAiECBAIFAgYCBwIIAgkCCgILAm4CDQIIAggCCAIIAggCCAIIAggCCAIIAggCCAIIAggCCAIIAggCCQIDBAYBc3EAfgAAAAAAAnNxAH4ABP///////////////v////7/////dXEAfgAHAAAABAT1DKV4eHdHAh4ABAIBAgICIwIEAgUCBgIHAggCCQIKAgsCbgINAggCCAIIAggCCAIIAggCCAIIAggCCAIIAggCCAIIAggCCAIJAgMEBwFzcQB+AAAAAAACc3EAfgAE///////////////+/////v////91cQB+AAcAAAAEC4ohCXh4d0cCHgAEAgECAgIlAgQCBQIGAgcCCAIJAgoCCwJuAg0CCAIIAggCCAIIAggCCAIIAggCCAIIAggCCAIIAggCCAIIAgkCAwQIAXNxAH4AAAAAAAJzcQB+AAT///////////////7////+AAAAAXVxAH4ABwAAAAQFEpo6eHh3RwIeAAQCAQICAjcCBAIFAgYCBwIIAgkCCgILAm4CDQIIAggCCAIIAggCCAIIAggCCAIIAggCCAIIAggCCAIIAggCCQIDBAkBc3EAfgAAAAAAAnNxAH4ABP///////////////v////4AAAABdXEAfgAHAAAABAS0Dzd4eHdHAh4ABAIBAgICMwIEAgUCBgIHAggCCQIKAgsCbgINAggCCAIIAggCCAIIAggCCAIIAggCCAIIAggCCAIIAggCCAIJAgMECgFzcQB+AAAAAAACc3EAfgAE///////////////+/////v////91cQB+AAcAAAAEBAetSXh4d0cCHgAEAgECAgJlAgQCBQIGAgcCCAIJAgoCCwJuAg0CCAIIAggCCAIIAggCCAIIAggCCAIIAggCCAIIAggCCAIIAgkCAwQLAXNxAH4AAAAAAAJzcQB+AAT///////////////7////+/////3VxAH4ABwAAAAQTQR2veHh3RwIeAAQCAQICAlcCBAIFAgYCBwIIAgkCCgILAm4CDQIIAggCCAIIAggCCAIIAggCCAIIAggCCAIIAggCCAIIAggCCQIDBAwBc3EAfgAAAAAAAnNxAH4ABP///////////////v////7/////dXEAfgAHAAAABDvz0SR4eHdHAh4ABAIBAgICAwIEAgUCBgIHAggCCQIKAgsCbgINAggCCAIIAggCCAIIAggCCAIIAggCCAIIAggCCAIIAggCCAIJAgMEDQFzcQB+AAAAAAACc3EAfgAE///////////////+/////v////91cQB+AAcAAAAEKUaEtnh4d0cCHgAEAgECAgJLAgQCBQIGAgcCCAIJAgoCCwJuAg0CCAIIAggCCAIIAggCCAIIAggCCAIIAggCCAIIAggCCAIIAgkCAwQOAXNxAH4AAAAAAAJzcQB+AAT///////////////7////+AAAAAXVxAH4ABwAAAAQBPUfReHh3RwIeAAQCAQICAjkCBAIFAgYCBwIIAgkCCgILAm4CDQIIAggCCAIIAggCCAIIAggCCAIIAggCCAIIAggCCAIIAggCCQIDBA8Bc3EAfgAAAAAAAnNxAH4ABP///////////////v////7/////dXEAfgAHAAAABAeDQqh4eHdHAh4ABAIBAgICNQIEAgUCBgIHAggCCQIKAgsCbgINAggCCAIIAggCCAIIAggCCAIIAggCCAIIAggCCAIIAggCCAIJAgMEEAFzcQB+AAAAAAACc3EAfgAE///////////////+/////gAAAAF1cQB+AAcAAAAEAfD9c3h4d0cCHgAEAgECAgJJAgQCBQIGAgcCCAIJAgoCCwJuAg0CCAIIAggCCAIIAggCCAIIAggCCAIIAggCCAIIAggCCAIIAgkCAwQRAXNxAH4AAAAAAAJzcQB+AAT///////////////7////+/////3VxAH4ABwAAAAQB3O0NeHh3RwIeAAQCAQICAi8CBAIFAgYCBwIIAgkCCgILAm4CDQIIAggCCAIIAggCCAIIAggCCAIIAggCCAIIAggCCAIIAggCCQIDBBIBc3EAfgAAAAAAAnNxAH4ABP///////////////v////4AAAABdXEAfgAHAAAABALDo1t4eHdHAh4ABAIBAgICTQIEAgUCBgIHAggCCQIKAgsCbgINAggCCAIIAggCCAIIAggCCAIIAggCCAIIAggCCAIIAggCCAIJAgMEEwFzcQB+AAAAAAACc3EAfgAE///////////////+/////v////91cQB+AAcAAAAEBIVQxHh4d0cCHgAEAgECAgIdAgQCBQIGAgcCCAIJAgoCCwJuAg0CCAIIAggCCAIIAggCCAIIAggCCAIIAggCCAIIAggCCAIIAgkCAwQUAXNxAH4AAAAAAAJzcQB+AAT///////////////7////+/////3VxAH4ABwAAAAQ1pvvleHh3RwIeAAQCAQICAikCBAIFAgYCBwIIAgkCCgILAm4CDQIIAggCCAIIAggCCAIIAggCCAIIAggCCAIIAggCCAIIAggCCQIDBBUBc3EAfgAAAAAAAnNxAH4ABP///////////////v////7/////dXEAfgAHAAAABCrCsfh4eHdHAh4ABAIBAgICRQIEAgUCBgIHAggCCQIKAgsCbgINAggCCAIIAggCCAIIAggCCAIIAggCCAIIAggCCAIIAggCCAIJAgMEFgFzcQB+AAAAAAACc3EAfgAE///////////////+/////v////91cQB+AAcAAAAESiXnBXh4d0cCHgAEAgECAgJDAgQCBQIGAgcCCAIJAgoCCwJuAg0CCAIIAggCCAIIAggCCAIIAggCCAIIAggCCAIIAggCCAIIAgkCAwQXAXNxAH4AAAAAAAJzcQB+AAT///////////////7////+/////3VxAH4ABwAAAAQB9lh4eHh3RwIeAAQCAQICAkcCBAIFAgYCBwIIAgkCCgILAm4CDQIIAggCCAIIAggCCAIIAggCCAIIAggCCAIIAggCCAIIAggCCQIDBBgBc3EAfgAAAAAAAnNxAH4ABP///////////////v////7/////dXEAfgAHAAAABC/+xlx4eHdHAh4ABAIBAgICTwIEAgUCBgIHAggCCQIKAgsCbgINAggCCAIIAggCCAIIAggCCAIIAggCCAIIAggCCAIIAggCCAIJAgMEGQFzcQB+AAAAAAACc3EAfgAE///////////////+/////v////91cQB+AAcAAAAEA71qEXh4d0cCHgAEAgECAgJbAgQCBQIGAgcCCAIJAgoCCwJuAg0CCAIIAggCCAIIAggCCAIIAggCCAIIAggCCAIIAggCCAIIAgkCAwQaAXNxAH4AAAAAAAJzcQB+AAT///////////////7////+AAAAAXVxAH4ABwAAAAQCW+RseHh3RwIeAAQCAQICAkECBAIFAgYCBwIIAgkCCgILAm4CDQIIAggCCAIIAggCCAIIAggCCAIIAggCCAIIAggCCAIIAggCCQIDBBsBc3EAfgAAAAAAAnNxAH4ABP///////////////v////7/////dXEAfgAHAAAAA9rhrHh4d0cCHgAEAgECAgJnAgQCBQIGAgcCCAIJAgoCCwJuAg0CCAIIAggCCAIIAggCCAIIAggCCAIIAggCCAIIAggCCAIIAgkCAwQcAXNxAH4AAAAAAAJzcQB+AAT///////////////7////+/////3VxAH4ABwAAAAQorXw1eHh3RwIeAAQCAQICAlECBAIFAgYCBwIIAgkCCgILAm4CDQIIAggCCAIIAggCCAIIAggCCAIIAggCCAIIAggCCAIIAggCCQIDBB0Bc3EAfgAAAAAAAnNxAH4ABP///////////////v////7/////dXEAfgAHAAAABAOTRoB4eHdHAh4ABAIBAgICYQIEAgUCBgIHAggCCQIKAgsCbgINAggCCAIIAggCCAIIAggCCAIIAggCCAIIAggCCAIIAggCCAIJAgMEHgFzcQB+AAAAAAACc3EAfgAE///////////////+/////v////91cQB+AAcAAAAEAe9PbHh4d0cCHgAEAgECAgI9AgQCBQIGAgcCCAIJAgoCCwJuAg0CCAIIAggCCAIIAggCCAIIAggCCAIIAggCCAIIAggCCAIIAgkCAwQfAXNxAH4AAAAAAAJzcQB+AAT///////////////7////+/////3VxAH4ABwAAAAQu9BT/eHh3RwIeAAQCAQICAisCBAIFAgYCBwIIAgkCCgILAm4CDQIIAggCCAIIAggCCAIIAggCCAIIAggCCAIIAggCCAIIAggCCQIDBCABc3EAfgAAAAAAAnNxAH4ABP///////////////v////7/////dXEAfgAHAAAABDDwgSh4eHdHAh4ABAIBAgICPwIEAgUCBgIHAggCCQIKAgsCbgINAggCCAIIAggCCAIIAggCCAIIAggCCAIIAggCCAIIAggCCAIJAgMEIQFzcQB+AAAAAAACc3EAfgAE///////////////+/////v////91cQB+AAcAAAAEJIKx0nh4d0cCHgAEAgECAgJdAgQCBQIGAgcCCAIJAgoCCwJuAg0CCAIIAggCCAIIAggCCAIIAggCCAIIAggCCAIIAggCCAIIAgkCAwQiAXNxAH4AAAAAAAJzcQB+AAT///////////////7////+/////3VxAH4ABwAAAAQDdD5jeHh3RwIeAAQCAQICAl8CBAIFAgYCBwIIAgkCCgILAm4CDQIIAggCCAIIAggCCAIIAggCCAIIAggCCAIIAggCCAIIAggCCQIDBCMBc3EAfgAAAAAAAnNxAH4ABP///////////////v////7/////dXEAfgAHAAAABAEXvkx4eHdHAh4ABAIBAgICHwIEAgUCBgIHAggCCQIKAgsCbgINAggCCAIIAggCCAIIAggCCAIIAggCCAIIAggCCAIIAggCCAIJAgMEJAFzcQB+AAAAAAACc3EAfgAE///////////////+/////v////91cQB+AAcAAAAEAjB3TXh4d0cCHgAEAgECAgJjAgQCBQIGAgcCCAIJAgoCCwJuAg0CCAIIAggCCAIIAggCCAIIAggCCAIIAggCCAIIAggCCAIIAgkCAwQlAXNxAH4AAAAAAAJzcQB+AAT///////////////7////+AAAAAXVxAH4ABwAAAAQCp57PeHh3RwIeAAQCAQICAlkCBAIFAgYCBwIIAgkCCgILAm4CDQIIAggCCAIIAggCCAIIAggCCAIIAggCCAIIAggCCAIIAggCCQIDBCYBc3EAfgAAAAAAAnNxAH4ABP///////////////v////4AAAABdXEAfgAHAAAABAPrUTt4eHdHAh4ABAIBAgICVQIEAgUCBgIHAggCCQIKAgsCbgINAggCCAIIAggCCAIIAggCCAIIAggCCAIIAggCCAIIAggCCAIJAgMEJwFzcQB+AAAAAAACc3EAfgAE///////////////+/////v////91cQB+AAcAAAAEKSCPhXh4d0cCHgAEAgECAgI7AgQCBQIGAgcCCAIJAgoCCwJuAg0CCAIIAggCCAIIAggCCAIIAggCCAIIAggCCAIIAggCCAIIAgkCAwQoAXNxAH4AAAAAAAJzcQB+AAT///////////////7////+/////3VxAH4ABwAAAAQ+Iz64eHh3RwIeAAQCAQICAicCBAIFAgYCBwIIAgkCCgILAm4CDQIIAggCCAIIAggCCAIIAggCCAIIAggCCAIIAggCCAIIAggCCQIDBCkBc3EAfgAAAAAAAnNxAH4ABP///////////////v////7/////dXEAfgAHAAAABBhuiX54eHdHAh4ABAIBAgICUwIEAgUCBgIHAggCCQIKAgsCbgINAggCCAIIAggCCAIIAggCCAIIAggCCAIIAggCCAIIAggCCAIJAgMEKgFzcQB+AAAAAAACc3EAfgAE///////////////+/////v////91cQB+AAcAAAAEJ9dYDXh4d3oCHgAEKwEAMVsyMDIxIFdBLUlEIERlZmVycmFsICBBbW9ydC54bHN4XUFwcmlsIE5FVyBGT1JNQVQCAgIvAmoCBQIGAgcCCAIJAmsCCwIMAg0CCAIIAggCCAIIAggCCAIIAggCCAIIAggCCAIIAggCCAIIAgYCAwQsAXNxAH4AAAAAAAJzcQB+AAT///////////////7////+/////3VxAH4ABwAAAAOXIEJ4eHdHAh4ABCsBAgICLwJqAgUCBgIHAggCCQJ0AgsCbAINAggCCAIIAggCCAIIAggCCAIIAggCCAIIAggCCAIIAggCCAIGAgMELQFzcQB+AAAAAAACc3EAfgAE///////////////+/////v////91cQB+AAcAAAAEAq622nh4d0cCHgAEKwECAgIvAmoCBQIGAgcCCAIJAnICCwJsAg0CCAIIAggCCAIIAggCCAIIAggCCAIIAggCCAIIAggCCAIIAgYCAwQuAXNxAH4AAAAAAAJzcQB+AAT///////////////7////+/////3VxAH4ABwAAAANjD2R4eHdHAh4ABCsBAgICLwJqAgUCBgIHAggCCQJ2AgsCbAINAggCCAIIAggCCAIIAggCCAIIAggCCAIIAggCCAIIAggCCAIGAgMELwFzcQB+AAAAAAACc3EAfgAE///////////////+/////gAAAAF1cQB+AAcAAAAEBxs6+nh4d0cCHgAEKwECAgIvAmoCBQIGAgcCCAIJAoYCCwJsAg0CCAIIAggCCAIIAggCCAIIAggCCAIIAggCCAIIAggCCAIIAgYCAwQwAXNxAH4AAAAAAAJzcQB+AAT///////////////7////+/////3VxAH4ABwAAAAOrJBp4eHdHAh4ABCsBAgICLwJqAgUCBgIHAggCCQKEAgsCbAINAggCCAIIAggCCAIIAggCCAIIAggCCAIIAggCCAIIAggCCAIGAgMEMQFzcQB+AAAAAAACc3EAfgAE///////////////+/////gAAAAF1cQB+AAcAAAADCBLxeHh3RwIeAAQrAQICAi8CagIFAgYCBwIIAgkCeAILAmwCDQIIAggCCAIIAggCCAIIAggCCAIIAggCCAIIAggCCAIIAggCBgIDBDIBc3EAfgAAAAAAAnNxAH4ABP///////////////v////4AAAABdXEAfgAHAAAAAyte83h4d1ACHgAEKwECAgIvAmoCBQIGAgcCCAIJBDMBAAY0OTUxMDACCwJuAg0CCAIIAggCCAIIAggCCAIIAggCCAIIAggCCAIIAggCCAIIAgYCAwQ0AXNxAH4AAAAAAABzcQB+AAT///////////////7////+AAAAAHVxAH4ABwAAAAB4eHd4Ah4ABCsBAgICLwJqAgUCBgIHAggCCQQ1AQAjODA0JSw4MDglLDgxMTAwMCw0ODMlLDQ5NTAyOCw0OTUxMDACCwQ2AQAIQU4sV0EsSUQCDQIIAggCCAIIAggCCAIIAggCCAIIAggCCAIIAggCCAIIAggCBgIDBDcBc3EAfgAAAAAAAnNxAH4ABP///////////////v////4AAAABdXEAfgAHAAAABCG2JEd4eHdHAh4ABCsBAgICLwJqAgUCBgIHAggCCQJrAgsCbAINAggCCAIIAggCCAIIAggCCAIIAggCCAIIAggCCAIIAggCCAIGAgMEOAFzcQB+AAAAAAACc3EAfgAE///////////////+/////gAAAAF1cQB+AAcAAAAEOFbrJHh4d0cCHgAEKwECAgIvAmoCBQIGAgcCCAIJAokCCwJsAg0CCAIIAggCCAIIAggCCAIIAggCCAIIAggCCAIIAggCCAIIAgYCAwQ5AXNxAH4AAAAAAAJzcQB+AAT///////////////7////+AAAAAXVxAH4ABwAAAAQNNvSKeHh3RwIeAAQrAQICAi8CagIFAgYCBwIIAgkCiwILAmwCDQIIAggCCAIIAggCCAIIAggCCAIIAggCCAIIAggCCAIIAggCBgIDBDoBc3EAfgAAAAAAAnNxAH4ABP///////////////v////7/////dXEAfgAHAAAABA8x9vh4eHdHAh4ABCsBAgICLwJqAgUCBgIHAggCCQJ+AgsCbAINAggCCAIIAggCCAIIAggCCAIIAggCCAIIAggCCAIIAggCCAIGAgMEOwFzcQB+AAAAAAAAc3EAfgAE///////////////+/////gAAAAF1cQB+AAcAAAADAsqNeHh3RwIeAAQrAQICAi8CagIFAgYCBwIIAgkCawILAm4CDQIIAggCCAIIAggCCAIIAggCCAIIAggCCAIIAggCCAIIAggCBgIDBDwBc3EAfgAAAAAAAnNxAH4ABP///////////////v////7/////dXEAfgAHAAAAA0hO5Hh4d0cCHgAEKwECAgIvAmoCBQIGAgcCCAIJAoICCwJsAg0CCAIIAggCCAIIAggCCAIIAggCCAIIAggCCAIIAggCCAIIAgYCAwQ9AXNxAH4AAAAAAAJzcQB+AAT///////////////7////+AAAAAXVxAH4ABwAAAAMhtfJ4eHdHAh4ABCsBAgICLwJqAgUCBgIHAggCCQJwAgsCbAINAggCCAIIAggCCAIIAggCCAIIAggCCAIIAggCCAIIAggCCAIGAgMEPgFzcQB+AAAAAAACc3EAfgAE///////////////+/////gAAAAF1cQB+AAcAAAAEAc7g53h4d0cCHgAEKwECAgIvAmoCBQIGAgcCCAIJAoACCwJsAg0CCAIIAggCCAIIAggCCAIIAggCCAIIAggCCAIIAggCCAIIAgYCAwQ/AXNxAH4AAAAAAABzcQB+AAT///////////////7////+/////3VxAH4ABwAAAAMHJw54eHdHAh4ABCsBAgICLwJqAgUCBgIHAggCCQJ6AgsCbAINAggCCAIIAggCCAIIAggCCAIIAggCCAIIAggCCAIIAggCCAIGAgMEQAFzcQB+AAAAAAACc3EAfgAE///////////////+/////v////91cQB+AAcAAAAEDSSy4nh4d0cCHgAEKwECAgIvAmoCBQIGAgcCCAIJAnwCCwJsAg0CCAIIAggCCAIIAggCCAIIAggCCAIIAggCCAIIAggCCAIIAgYCAwRBAXNxAH4AAAAAAAJzcQB+AAT///////////////7////+/////3VxAH4ABwAAAAQKb9lieHh3kAIeAAQrAQICAi8CagIFAgYCBwIIAgkEMwECCwJsAg0CCAIIAggCCAIIAggCCAIIAggCCAIIAggCCAIIAggCCAIIAgYCAwQ0AQIeAAQrAQICAi8CagIFAgYCBwIIAgkEMwECCwIMAg0CCAIIAggCCAIIAggCCAIIAggCCAIIAggCCAIIAggCCAIIAgYCAwQ0AQ==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0E03BCE51D8FF4EBA5486821B766315" ma:contentTypeVersion="52" ma:contentTypeDescription="" ma:contentTypeScope="" ma:versionID="9bc2ace04e25791ae1b119c9b11897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2020-07-31T07:00:00+00:00</OpenedDate>
    <SignificantOrder xmlns="dc463f71-b30c-4ab2-9473-d307f9d35888">false</SignificantOrder>
    <Date1 xmlns="dc463f71-b30c-4ab2-9473-d307f9d35888">2021-05-26T07:00:00+00:00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200717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2874DFC-857C-4594-A921-FE2893CF3B04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C612C7FA-F2F4-4614-AAED-16061A2ECA40}"/>
</file>

<file path=customXml/itemProps3.xml><?xml version="1.0" encoding="utf-8"?>
<ds:datastoreItem xmlns:ds="http://schemas.openxmlformats.org/officeDocument/2006/customXml" ds:itemID="{FDA5FE04-6AE3-4937-B461-7D92003EABD8}"/>
</file>

<file path=customXml/itemProps4.xml><?xml version="1.0" encoding="utf-8"?>
<ds:datastoreItem xmlns:ds="http://schemas.openxmlformats.org/officeDocument/2006/customXml" ds:itemID="{1B7B394A-7E84-4ECC-A5F1-B1BFB8E189DE}"/>
</file>

<file path=customXml/itemProps5.xml><?xml version="1.0" encoding="utf-8"?>
<ds:datastoreItem xmlns:ds="http://schemas.openxmlformats.org/officeDocument/2006/customXml" ds:itemID="{EB589798-24F9-4D39-B14E-BF28AFC141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Jan NEW FORMAT</vt:lpstr>
      <vt:lpstr>Feb NEW FORMAT</vt:lpstr>
      <vt:lpstr>Mar NEW FORMAT</vt:lpstr>
      <vt:lpstr>April NEW FORMAT</vt:lpstr>
      <vt:lpstr>191010 WA DEF</vt:lpstr>
      <vt:lpstr>191000 WA Amort</vt:lpstr>
      <vt:lpstr>'191000 WA Amort'!Print_Area</vt:lpstr>
      <vt:lpstr>'191010 WA DEF'!Print_Area</vt:lpstr>
      <vt:lpstr>'April NEW FORMAT'!Print_Area</vt:lpstr>
      <vt:lpstr>'Feb NEW FORMAT'!Print_Area</vt:lpstr>
      <vt:lpstr>'Jan NEW FORMAT'!Print_Area</vt:lpstr>
      <vt:lpstr>'Mar NEW FORMAT'!Print_Area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2021-05-06T16:48:41Z</cp:lastPrinted>
  <dcterms:created xsi:type="dcterms:W3CDTF">2003-05-01T14:02:57Z</dcterms:created>
  <dcterms:modified xsi:type="dcterms:W3CDTF">2021-05-20T20:16:42Z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0x0101006E56B4D1795A2E4DB2F0B01679ED314A0010E03BCE51D8FF4EBA5486821B766315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