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0" yWindow="-12" windowWidth="19320" windowHeight="8172" tabRatio="716"/>
  </bookViews>
  <sheets>
    <sheet name="Lead E" sheetId="36" r:id="rId1"/>
    <sheet name="Lead G" sheetId="31" r:id="rId2"/>
    <sheet name="Summary Prop &amp; Liab Ins" sheetId="8" r:id="rId3"/>
    <sheet name="SAP Download" sheetId="40" r:id="rId4"/>
    <sheet name="Liability Ins - RY" sheetId="18" r:id="rId5"/>
    <sheet name="Proposal" sheetId="50" r:id="rId6"/>
    <sheet name="Prop Ins - RY" sheetId="37" r:id="rId7"/>
    <sheet name="Freddy1 Ins" sheetId="68" r:id="rId8"/>
    <sheet name="Colstrip Ins " sheetId="52" r:id="rId9"/>
    <sheet name="Alloc Factors for calc" sheetId="41" r:id="rId10"/>
  </sheets>
  <externalReferences>
    <externalReference r:id="rId11"/>
    <externalReference r:id="rId12"/>
  </externalReferences>
  <definedNames>
    <definedName name="__123Graph_D" localSheetId="8" hidden="1">#REF!</definedName>
    <definedName name="__123Graph_D" hidden="1">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8" hidden="1">#REF!</definedName>
    <definedName name="_Fill" localSheetId="6" hidden="1">#REF!</definedName>
    <definedName name="_Fill" hidden="1">#REF!</definedName>
    <definedName name="_Key1" localSheetId="8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8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0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0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0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0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0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0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0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0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0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Transfer" localSheetId="8" hidden="1">#REF!</definedName>
    <definedName name="Transfer" hidden="1">#REF!</definedName>
    <definedName name="Transfers" localSheetId="8" hidden="1">#REF!</definedName>
    <definedName name="Transfers" hidden="1">#REF!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O13" i="68" l="1"/>
  <c r="O5" i="68"/>
  <c r="C57" i="52"/>
  <c r="O9" i="52"/>
  <c r="F38" i="41" l="1"/>
  <c r="E38" i="41"/>
  <c r="F28" i="41"/>
  <c r="E28" i="41"/>
  <c r="F25" i="41"/>
  <c r="E25" i="41"/>
  <c r="F22" i="41"/>
  <c r="E22" i="41"/>
  <c r="F17" i="41"/>
  <c r="E17" i="41"/>
  <c r="F16" i="41"/>
  <c r="E16" i="41"/>
  <c r="F15" i="41"/>
  <c r="E15" i="41"/>
  <c r="F11" i="41"/>
  <c r="E11" i="41"/>
  <c r="F8" i="41"/>
  <c r="E8" i="41"/>
  <c r="E11" i="18"/>
  <c r="G28" i="8"/>
  <c r="D30" i="68" l="1"/>
  <c r="E30" i="68"/>
  <c r="K35" i="8" l="1"/>
  <c r="L34" i="8"/>
  <c r="K34" i="8"/>
  <c r="L27" i="8"/>
  <c r="K27" i="8"/>
  <c r="J27" i="8"/>
  <c r="D41" i="50"/>
  <c r="E41" i="50" s="1"/>
  <c r="J14" i="8" s="1"/>
  <c r="C33" i="50"/>
  <c r="D33" i="50" s="1"/>
  <c r="E33" i="50" s="1"/>
  <c r="C31" i="50"/>
  <c r="C30" i="50"/>
  <c r="B42" i="50"/>
  <c r="B38" i="50"/>
  <c r="B34" i="50"/>
  <c r="D30" i="50" l="1"/>
  <c r="E30" i="50" s="1"/>
  <c r="B44" i="50"/>
  <c r="D31" i="50"/>
  <c r="E31" i="50" s="1"/>
  <c r="J11" i="8" l="1"/>
  <c r="F28" i="8"/>
  <c r="J35" i="8"/>
  <c r="L35" i="8" s="1"/>
  <c r="F39" i="8"/>
  <c r="G39" i="8" s="1"/>
  <c r="P39" i="8"/>
  <c r="P38" i="8"/>
  <c r="P40" i="8" s="1"/>
  <c r="L40" i="8"/>
  <c r="J38" i="8"/>
  <c r="K38" i="8" s="1"/>
  <c r="D51" i="18"/>
  <c r="J34" i="8"/>
  <c r="P12" i="8"/>
  <c r="P11" i="8"/>
  <c r="P10" i="8"/>
  <c r="O9" i="8"/>
  <c r="J28" i="8" l="1"/>
  <c r="K28" i="8" s="1"/>
  <c r="K29" i="8" s="1"/>
  <c r="J39" i="8"/>
  <c r="K39" i="8" s="1"/>
  <c r="K40" i="8" s="1"/>
  <c r="L36" i="8"/>
  <c r="J36" i="8"/>
  <c r="J40" i="8"/>
  <c r="N39" i="8"/>
  <c r="K11" i="8"/>
  <c r="D28" i="68"/>
  <c r="N28" i="8" l="1"/>
  <c r="J29" i="8"/>
  <c r="L28" i="8"/>
  <c r="O28" i="8"/>
  <c r="O39" i="8"/>
  <c r="J42" i="8"/>
  <c r="K36" i="8"/>
  <c r="K42" i="8" s="1"/>
  <c r="D12" i="36" s="1"/>
  <c r="P28" i="8" l="1"/>
  <c r="L29" i="8"/>
  <c r="L42" i="8" s="1"/>
  <c r="D12" i="31" l="1"/>
  <c r="N13" i="68"/>
  <c r="D29" i="68"/>
  <c r="C29" i="68"/>
  <c r="E29" i="68" s="1"/>
  <c r="D10" i="37" s="1"/>
  <c r="C28" i="68"/>
  <c r="C10" i="37" s="1"/>
  <c r="H40" i="8"/>
  <c r="N21" i="68"/>
  <c r="N16" i="68"/>
  <c r="M15" i="68"/>
  <c r="M19" i="68" s="1"/>
  <c r="M23" i="68" s="1"/>
  <c r="L15" i="68"/>
  <c r="L17" i="68" s="1"/>
  <c r="K15" i="68"/>
  <c r="K17" i="68" s="1"/>
  <c r="J15" i="68"/>
  <c r="J19" i="68" s="1"/>
  <c r="J23" i="68" s="1"/>
  <c r="I15" i="68"/>
  <c r="I19" i="68" s="1"/>
  <c r="I23" i="68" s="1"/>
  <c r="H15" i="68"/>
  <c r="H19" i="68" s="1"/>
  <c r="H23" i="68" s="1"/>
  <c r="G15" i="68"/>
  <c r="G17" i="68" s="1"/>
  <c r="F15" i="68"/>
  <c r="F19" i="68" s="1"/>
  <c r="F23" i="68" s="1"/>
  <c r="E15" i="68"/>
  <c r="E19" i="68" s="1"/>
  <c r="E23" i="68" s="1"/>
  <c r="D15" i="68"/>
  <c r="D17" i="68" s="1"/>
  <c r="C15" i="68"/>
  <c r="C17" i="68" s="1"/>
  <c r="B15" i="68"/>
  <c r="B19" i="68" s="1"/>
  <c r="N5" i="68"/>
  <c r="E12" i="8" s="1"/>
  <c r="G12" i="8" l="1"/>
  <c r="I17" i="68"/>
  <c r="D39" i="37"/>
  <c r="C39" i="37"/>
  <c r="D54" i="18"/>
  <c r="B17" i="68"/>
  <c r="J17" i="68"/>
  <c r="E17" i="68"/>
  <c r="M17" i="68"/>
  <c r="O15" i="68"/>
  <c r="F17" i="68"/>
  <c r="F51" i="18"/>
  <c r="G51" i="18" s="1"/>
  <c r="B23" i="68"/>
  <c r="D19" i="68"/>
  <c r="D23" i="68" s="1"/>
  <c r="L19" i="68"/>
  <c r="L23" i="68" s="1"/>
  <c r="H17" i="68"/>
  <c r="C19" i="68"/>
  <c r="C23" i="68" s="1"/>
  <c r="G19" i="68"/>
  <c r="G23" i="68" s="1"/>
  <c r="K19" i="68"/>
  <c r="K23" i="68" s="1"/>
  <c r="N15" i="68"/>
  <c r="N17" i="68" s="1"/>
  <c r="C32" i="50" l="1"/>
  <c r="C29" i="50" s="1"/>
  <c r="D40" i="37"/>
  <c r="D32" i="50"/>
  <c r="E32" i="50" s="1"/>
  <c r="J12" i="8" s="1"/>
  <c r="N19" i="68"/>
  <c r="N23" i="68" s="1"/>
  <c r="D57" i="52"/>
  <c r="D59" i="52" s="1"/>
  <c r="C59" i="52"/>
  <c r="E59" i="52" l="1"/>
  <c r="F38" i="8" s="1"/>
  <c r="G38" i="8" s="1"/>
  <c r="K12" i="8"/>
  <c r="O12" i="8" s="1"/>
  <c r="N12" i="8"/>
  <c r="N38" i="8" l="1"/>
  <c r="N40" i="8" s="1"/>
  <c r="F40" i="8"/>
  <c r="O38" i="8"/>
  <c r="O40" i="8" s="1"/>
  <c r="G40" i="8"/>
  <c r="C20" i="40"/>
  <c r="B19" i="40"/>
  <c r="H19" i="50" l="1"/>
  <c r="C7" i="37" l="1"/>
  <c r="H28" i="8" l="1"/>
  <c r="N29" i="52"/>
  <c r="N31" i="52" s="1"/>
  <c r="M29" i="52"/>
  <c r="N5" i="52"/>
  <c r="N7" i="52" s="1"/>
  <c r="M5" i="52"/>
  <c r="M7" i="52" s="1"/>
  <c r="M8" i="52" l="1"/>
  <c r="O7" i="52"/>
  <c r="D8" i="37"/>
  <c r="N8" i="52"/>
  <c r="N9" i="52" s="1"/>
  <c r="D9" i="37"/>
  <c r="M31" i="52"/>
  <c r="C8" i="37" s="1"/>
  <c r="N32" i="52"/>
  <c r="N33" i="52" s="1"/>
  <c r="C9" i="37"/>
  <c r="C11" i="37" l="1"/>
  <c r="M9" i="52"/>
  <c r="P7" i="52"/>
  <c r="M32" i="52"/>
  <c r="M33" i="52" s="1"/>
  <c r="O33" i="52" s="1"/>
  <c r="D6" i="37"/>
  <c r="D5" i="37"/>
  <c r="E11" i="8" l="1"/>
  <c r="N11" i="8" s="1"/>
  <c r="D7" i="37"/>
  <c r="D11" i="37" s="1"/>
  <c r="B6" i="40"/>
  <c r="C50" i="37"/>
  <c r="F11" i="18" l="1"/>
  <c r="E13" i="18" l="1"/>
  <c r="E15" i="18" s="1"/>
  <c r="E17" i="18" s="1"/>
  <c r="E21" i="18" s="1"/>
  <c r="E23" i="18" s="1"/>
  <c r="E25" i="18" s="1"/>
  <c r="E27" i="18" s="1"/>
  <c r="E29" i="18" s="1"/>
  <c r="E33" i="18" s="1"/>
  <c r="E49" i="18" s="1"/>
  <c r="C36" i="50"/>
  <c r="C37" i="50"/>
  <c r="D37" i="50" s="1"/>
  <c r="E37" i="50" s="1"/>
  <c r="D36" i="50" l="1"/>
  <c r="D38" i="50" s="1"/>
  <c r="D49" i="37" s="1"/>
  <c r="D50" i="37" s="1"/>
  <c r="C38" i="50"/>
  <c r="E36" i="50" l="1"/>
  <c r="E38" i="50" s="1"/>
  <c r="E18" i="41"/>
  <c r="F39" i="41"/>
  <c r="G22" i="41"/>
  <c r="F23" i="41" s="1"/>
  <c r="H21" i="8" s="1"/>
  <c r="G11" i="41"/>
  <c r="G11" i="8"/>
  <c r="N20" i="40"/>
  <c r="M20" i="40"/>
  <c r="L20" i="40"/>
  <c r="K20" i="40"/>
  <c r="J20" i="40"/>
  <c r="I20" i="40"/>
  <c r="H20" i="40"/>
  <c r="G20" i="40"/>
  <c r="F20" i="40"/>
  <c r="E20" i="40"/>
  <c r="D2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C34" i="37"/>
  <c r="B15" i="40"/>
  <c r="F24" i="8" s="1"/>
  <c r="B17" i="40"/>
  <c r="F26" i="8" s="1"/>
  <c r="F35" i="8"/>
  <c r="N35" i="8" s="1"/>
  <c r="F19" i="18"/>
  <c r="B14" i="40"/>
  <c r="F23" i="8" s="1"/>
  <c r="B18" i="40"/>
  <c r="B16" i="40"/>
  <c r="F25" i="8" s="1"/>
  <c r="B13" i="40"/>
  <c r="B9" i="40"/>
  <c r="F14" i="8" s="1"/>
  <c r="N14" i="8" s="1"/>
  <c r="B8" i="40"/>
  <c r="B7" i="40"/>
  <c r="B5" i="40"/>
  <c r="F31" i="18"/>
  <c r="F37" i="18"/>
  <c r="G37" i="18" s="1"/>
  <c r="F39" i="18"/>
  <c r="G39" i="18" s="1"/>
  <c r="F41" i="18"/>
  <c r="G41" i="18" s="1"/>
  <c r="F43" i="18"/>
  <c r="G43" i="18"/>
  <c r="F45" i="18"/>
  <c r="G45" i="18"/>
  <c r="F47" i="18"/>
  <c r="G47" i="18"/>
  <c r="A12" i="36"/>
  <c r="A13" i="36"/>
  <c r="A14" i="36"/>
  <c r="A15" i="36"/>
  <c r="A16" i="36"/>
  <c r="A12" i="31"/>
  <c r="A13" i="31"/>
  <c r="A14" i="31"/>
  <c r="A15" i="31"/>
  <c r="A16" i="31"/>
  <c r="E27" i="8"/>
  <c r="E39" i="41"/>
  <c r="J9" i="8" l="1"/>
  <c r="L9" i="8" s="1"/>
  <c r="C40" i="37"/>
  <c r="O11" i="8"/>
  <c r="F34" i="8"/>
  <c r="F22" i="8"/>
  <c r="F27" i="8" s="1"/>
  <c r="E9" i="8"/>
  <c r="F13" i="8"/>
  <c r="B20" i="40"/>
  <c r="M21" i="40"/>
  <c r="J21" i="40"/>
  <c r="K21" i="40"/>
  <c r="L21" i="40"/>
  <c r="I21" i="40"/>
  <c r="G21" i="40"/>
  <c r="C21" i="40"/>
  <c r="D21" i="40"/>
  <c r="E21" i="40"/>
  <c r="N21" i="40"/>
  <c r="F21" i="40"/>
  <c r="H21" i="40"/>
  <c r="B10" i="40"/>
  <c r="E10" i="8"/>
  <c r="G15" i="41"/>
  <c r="G17" i="41"/>
  <c r="G25" i="41"/>
  <c r="F26" i="41" s="1"/>
  <c r="G8" i="41"/>
  <c r="E9" i="41" s="1"/>
  <c r="G16" i="41"/>
  <c r="G28" i="41"/>
  <c r="E29" i="41" s="1"/>
  <c r="G38" i="41"/>
  <c r="G39" i="41" s="1"/>
  <c r="E40" i="41" s="1"/>
  <c r="E12" i="41"/>
  <c r="F12" i="41"/>
  <c r="F18" i="41"/>
  <c r="G18" i="41" s="1"/>
  <c r="F19" i="41" s="1"/>
  <c r="G58" i="18"/>
  <c r="E23" i="41"/>
  <c r="G21" i="8" s="1"/>
  <c r="N9" i="8" l="1"/>
  <c r="C52" i="37"/>
  <c r="C43" i="37"/>
  <c r="N27" i="8"/>
  <c r="F29" i="8"/>
  <c r="F36" i="8"/>
  <c r="N34" i="8"/>
  <c r="N36" i="8" s="1"/>
  <c r="G10" i="8"/>
  <c r="F16" i="8"/>
  <c r="H9" i="8"/>
  <c r="P9" i="8" s="1"/>
  <c r="B21" i="40"/>
  <c r="E16" i="8"/>
  <c r="F29" i="41"/>
  <c r="G29" i="41" s="1"/>
  <c r="E26" i="41"/>
  <c r="G26" i="41" s="1"/>
  <c r="F40" i="41"/>
  <c r="G40" i="41" s="1"/>
  <c r="F9" i="41"/>
  <c r="G9" i="41" s="1"/>
  <c r="G12" i="41"/>
  <c r="H8" i="8"/>
  <c r="L8" i="8" s="1"/>
  <c r="L14" i="8" s="1"/>
  <c r="G57" i="18"/>
  <c r="G23" i="41"/>
  <c r="G22" i="8"/>
  <c r="F58" i="18"/>
  <c r="H25" i="8"/>
  <c r="H22" i="8"/>
  <c r="H26" i="8"/>
  <c r="H23" i="8"/>
  <c r="H24" i="8"/>
  <c r="E19" i="41"/>
  <c r="F42" i="8" l="1"/>
  <c r="N29" i="8"/>
  <c r="N42" i="8" s="1"/>
  <c r="H58" i="18"/>
  <c r="G11" i="18"/>
  <c r="H27" i="8"/>
  <c r="P27" i="8" s="1"/>
  <c r="G26" i="8"/>
  <c r="G25" i="8"/>
  <c r="G23" i="8"/>
  <c r="G24" i="8"/>
  <c r="H13" i="8"/>
  <c r="H14" i="8"/>
  <c r="P14" i="8" s="1"/>
  <c r="H32" i="8"/>
  <c r="G8" i="8"/>
  <c r="K8" i="8" s="1"/>
  <c r="K14" i="8" s="1"/>
  <c r="G19" i="41"/>
  <c r="F57" i="18"/>
  <c r="H19" i="18"/>
  <c r="H31" i="18"/>
  <c r="H16" i="8" l="1"/>
  <c r="G27" i="8"/>
  <c r="H34" i="8"/>
  <c r="P34" i="8" s="1"/>
  <c r="H35" i="8"/>
  <c r="P35" i="8" s="1"/>
  <c r="H33" i="8"/>
  <c r="G14" i="8"/>
  <c r="O14" i="8" s="1"/>
  <c r="G13" i="8"/>
  <c r="G32" i="8"/>
  <c r="G19" i="18"/>
  <c r="G31" i="18"/>
  <c r="H57" i="18"/>
  <c r="C11" i="31" l="1"/>
  <c r="P36" i="8"/>
  <c r="G29" i="8"/>
  <c r="O27" i="8"/>
  <c r="G16" i="8"/>
  <c r="H36" i="8"/>
  <c r="G33" i="8"/>
  <c r="G34" i="8"/>
  <c r="O34" i="8" s="1"/>
  <c r="G35" i="8"/>
  <c r="O35" i="8" s="1"/>
  <c r="O36" i="8" l="1"/>
  <c r="C11" i="36"/>
  <c r="O29" i="8"/>
  <c r="G36" i="8"/>
  <c r="G42" i="8" l="1"/>
  <c r="O42" i="8"/>
  <c r="F17" i="18"/>
  <c r="F23" i="18"/>
  <c r="F25" i="18"/>
  <c r="F29" i="18"/>
  <c r="F21" i="18"/>
  <c r="F13" i="18"/>
  <c r="H29" i="8"/>
  <c r="F27" i="18"/>
  <c r="F33" i="18"/>
  <c r="F15" i="18"/>
  <c r="F49" i="18"/>
  <c r="G49" i="18" s="1"/>
  <c r="H42" i="8" l="1"/>
  <c r="C12" i="31" s="1"/>
  <c r="C13" i="31" s="1"/>
  <c r="P29" i="8"/>
  <c r="F54" i="18"/>
  <c r="C12" i="36"/>
  <c r="G27" i="18"/>
  <c r="H27" i="18"/>
  <c r="H13" i="18"/>
  <c r="G13" i="18"/>
  <c r="H11" i="18"/>
  <c r="H15" i="18"/>
  <c r="G15" i="18"/>
  <c r="H29" i="18"/>
  <c r="G29" i="18"/>
  <c r="G23" i="18"/>
  <c r="H23" i="18"/>
  <c r="G33" i="18"/>
  <c r="H33" i="18"/>
  <c r="G21" i="18"/>
  <c r="H21" i="18"/>
  <c r="G25" i="18"/>
  <c r="H25" i="18"/>
  <c r="H17" i="18"/>
  <c r="G17" i="18"/>
  <c r="P42" i="8" l="1"/>
  <c r="H54" i="18"/>
  <c r="G54" i="18"/>
  <c r="C13" i="36"/>
  <c r="E12" i="36" l="1"/>
  <c r="E12" i="31"/>
  <c r="C34" i="50"/>
  <c r="D29" i="50"/>
  <c r="D34" i="50" s="1"/>
  <c r="D42" i="37" s="1"/>
  <c r="D43" i="37" s="1"/>
  <c r="E29" i="50" l="1"/>
  <c r="J10" i="8" s="1"/>
  <c r="K10" i="8" s="1"/>
  <c r="D52" i="37"/>
  <c r="C40" i="50" s="1"/>
  <c r="N10" i="8" l="1"/>
  <c r="E34" i="50"/>
  <c r="O10" i="8"/>
  <c r="D40" i="50"/>
  <c r="D42" i="50" s="1"/>
  <c r="D44" i="50" s="1"/>
  <c r="C42" i="50"/>
  <c r="C44" i="50" s="1"/>
  <c r="E40" i="50" l="1"/>
  <c r="E42" i="50" s="1"/>
  <c r="E44" i="50" s="1"/>
  <c r="J13" i="8" l="1"/>
  <c r="N13" i="8" s="1"/>
  <c r="N16" i="8" s="1"/>
  <c r="L13" i="8"/>
  <c r="J16" i="8" l="1"/>
  <c r="K13" i="8"/>
  <c r="K16" i="8" s="1"/>
  <c r="D11" i="36" s="1"/>
  <c r="L16" i="8"/>
  <c r="D11" i="31" s="1"/>
  <c r="D13" i="31" s="1"/>
  <c r="P13" i="8"/>
  <c r="P16" i="8" s="1"/>
  <c r="E11" i="31" l="1"/>
  <c r="E13" i="31" s="1"/>
  <c r="E15" i="31" s="1"/>
  <c r="E16" i="31" s="1"/>
  <c r="O13" i="8"/>
  <c r="O16" i="8" s="1"/>
  <c r="E11" i="36"/>
  <c r="D13" i="36"/>
  <c r="E13" i="36" l="1"/>
  <c r="E15" i="36" s="1"/>
  <c r="E16" i="36" s="1"/>
  <c r="F31" i="41" l="1"/>
  <c r="E31" i="41" l="1"/>
  <c r="G31" i="41" s="1"/>
  <c r="E32" i="41" l="1"/>
  <c r="F32" i="41"/>
  <c r="F34" i="41" s="1"/>
  <c r="F35" i="41" s="1"/>
  <c r="E34" i="41" l="1"/>
  <c r="E35" i="41" s="1"/>
  <c r="G32" i="41"/>
  <c r="G34" i="41" s="1"/>
  <c r="G35" i="41" s="1"/>
</calcChain>
</file>

<file path=xl/sharedStrings.xml><?xml version="1.0" encoding="utf-8"?>
<sst xmlns="http://schemas.openxmlformats.org/spreadsheetml/2006/main" count="369" uniqueCount="256">
  <si>
    <t>PROPERTY &amp; LIABILITY INSURANCE</t>
  </si>
  <si>
    <t>LINE</t>
  </si>
  <si>
    <t>NO.</t>
  </si>
  <si>
    <t>DESCRIPTION</t>
  </si>
  <si>
    <t>ACTUAL</t>
  </si>
  <si>
    <t>ADJUSTMENT</t>
  </si>
  <si>
    <t>PROPERTY INSURANCE EXPENSE</t>
  </si>
  <si>
    <t>LIABILITY INSURANCE EXPENSE</t>
  </si>
  <si>
    <t>INCREASE(DECREASE) EXPENSE</t>
  </si>
  <si>
    <t>INCREASE (DECREASE) FIT @</t>
  </si>
  <si>
    <t>INCREASE (DECREASE) NOI</t>
  </si>
  <si>
    <t>PUGET SOUND ENERGY - ELECTRIC</t>
  </si>
  <si>
    <t>Premium</t>
  </si>
  <si>
    <t>Common:</t>
  </si>
  <si>
    <t>Policy</t>
  </si>
  <si>
    <t>Policy Period</t>
  </si>
  <si>
    <t>Hartford Crime</t>
  </si>
  <si>
    <t>Brokerage Fees</t>
  </si>
  <si>
    <t>PSE Aircraft</t>
  </si>
  <si>
    <t>Puget Sound Energy</t>
  </si>
  <si>
    <t>Electric</t>
  </si>
  <si>
    <t>Gas</t>
  </si>
  <si>
    <t>Property Insurance Admin - Common</t>
  </si>
  <si>
    <t>Liability Insurance - Common</t>
  </si>
  <si>
    <t>Marsh Broker Insurance - Common</t>
  </si>
  <si>
    <t>Marsh Broker Liability Insurance - Common</t>
  </si>
  <si>
    <t>Property Insurance PSE Building - Common</t>
  </si>
  <si>
    <t>King Air Hull Ins - Common</t>
  </si>
  <si>
    <t>AEGIS E&amp;O</t>
  </si>
  <si>
    <t>Order</t>
  </si>
  <si>
    <t>Amount</t>
  </si>
  <si>
    <t>Types</t>
  </si>
  <si>
    <t>Order Description</t>
  </si>
  <si>
    <t>Order No.</t>
  </si>
  <si>
    <t>Common</t>
  </si>
  <si>
    <t>General Liability Insurance - Common</t>
  </si>
  <si>
    <t>Allocated to O &amp; M</t>
  </si>
  <si>
    <t>Property and Liability Insurance - Charged to Income Statement</t>
  </si>
  <si>
    <t>Property Insurance Premium Costs</t>
  </si>
  <si>
    <t>Montana State Fund W/C</t>
  </si>
  <si>
    <t>Liability Insurance Premium Costs</t>
  </si>
  <si>
    <t>Subtotal</t>
  </si>
  <si>
    <t>Property Insurance All Other - Common (Both Electric Generation and Other than Generation)</t>
  </si>
  <si>
    <t>Workers Comp Insurance - Common</t>
  </si>
  <si>
    <t>Total</t>
  </si>
  <si>
    <t>WIND PRODUCTION PLANT</t>
  </si>
  <si>
    <t>WILD HORSE PLANT</t>
  </si>
  <si>
    <t>HYDRO PRODUCTION PLANT</t>
  </si>
  <si>
    <t>UPPER BAKER DAM, POWER PLANT AND TRANSMISSION PLANT</t>
  </si>
  <si>
    <t>LOWER BAKER DAM, POWER PLANT AND TRANSMISSION PLANT</t>
  </si>
  <si>
    <t>SNOQUALMIE FALLS PLANTS 1 AND 2 AND TRANSMISSION PLANT</t>
  </si>
  <si>
    <t>OTHER PRODUCTION PLANT</t>
  </si>
  <si>
    <t>CRYSTAL MOUNTAIN GENERATING PLANT</t>
  </si>
  <si>
    <t>GOLDENDALE PLANT</t>
  </si>
  <si>
    <t>WHITEHORN GENERATING STATION AND TRANSMISSION PLANT</t>
  </si>
  <si>
    <t>FREDERICKSON 1 &amp; 2 GENERATING STATION AND TRANSMISSION PLANT</t>
  </si>
  <si>
    <t>FREDONIA 1, 2, 3 AND 4 GENERATING STATION AND TRANSMISSION PLANT</t>
  </si>
  <si>
    <t>ENCOGEN POWER PLANT</t>
  </si>
  <si>
    <t>*</t>
  </si>
  <si>
    <t>ELECTRIC</t>
  </si>
  <si>
    <t>PUGET SOUND ENERGY-ELECTRIC &amp; GAS</t>
  </si>
  <si>
    <t>ALLOCATION METHODS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</si>
  <si>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</si>
  <si>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</si>
  <si>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</si>
  <si>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</si>
  <si>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</si>
  <si>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</si>
  <si>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</si>
  <si>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</si>
  <si>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</si>
  <si>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</si>
  <si>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</si>
  <si>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</si>
  <si>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</si>
  <si>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</si>
  <si>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</si>
  <si>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>Total Percentages</t>
  </si>
  <si>
    <t>PUGET SOUND ENERGY - GAS</t>
  </si>
  <si>
    <t>TOTAL O&amp;M</t>
  </si>
  <si>
    <t>Group</t>
  </si>
  <si>
    <t>Electric:</t>
  </si>
  <si>
    <t>to O&amp;M</t>
  </si>
  <si>
    <t>% Charged</t>
  </si>
  <si>
    <t>$ Charged</t>
  </si>
  <si>
    <t>(A)</t>
  </si>
  <si>
    <t>(B)</t>
  </si>
  <si>
    <t>(C) = (A) * (B)</t>
  </si>
  <si>
    <t>Electric Portion</t>
  </si>
  <si>
    <t>of Common</t>
  </si>
  <si>
    <t>Gas Portion</t>
  </si>
  <si>
    <t>FERC</t>
  </si>
  <si>
    <t>SUBTOTAL 925 ORDER GROUP BEFORE ALLOCATED TO O&amp;M</t>
  </si>
  <si>
    <t>SUBTOTAL 925 ORDER GROUP ALLOCATED TO O&amp;M - (1)</t>
  </si>
  <si>
    <t>SUBTOTAL 924 ORDER GROUP - (2)</t>
  </si>
  <si>
    <t>Order Group</t>
  </si>
  <si>
    <t>Zurich Fiduciary</t>
  </si>
  <si>
    <t>Invoices</t>
  </si>
  <si>
    <t>Total PSE Property Insurance (Electric, Gas, and Common) - (A)</t>
  </si>
  <si>
    <t>SUMAS GENERATION PLANT</t>
  </si>
  <si>
    <t>MINT FARM POWER PLANT</t>
  </si>
  <si>
    <t>TOTAL GAS - [C]</t>
  </si>
  <si>
    <t>TOTAL COMMON - (D) = (A) - (B) - [C]</t>
  </si>
  <si>
    <t>updated</t>
  </si>
  <si>
    <t xml:space="preserve">     Net Classified Plant (Excluding General (Common) Plant)</t>
  </si>
  <si>
    <t>Direct Labor Accts 500-935</t>
  </si>
  <si>
    <t>12 Months</t>
  </si>
  <si>
    <t>92400634  1115 -- Property Ins All Other-Comm</t>
  </si>
  <si>
    <t>92400635  1115 -- Property Ins PSE Bldg-Comm</t>
  </si>
  <si>
    <t>92500602  1115 - Liability Insurance - Common</t>
  </si>
  <si>
    <t>92500702  1412 - Workers Comp Insurance - Common</t>
  </si>
  <si>
    <t>92400631  1115 - King Air Hull Ins - Comm</t>
  </si>
  <si>
    <t>92400632  1115 - Marsh Broker Ins - Comm</t>
  </si>
  <si>
    <t>Property Insurance All Other - Elec</t>
  </si>
  <si>
    <t>Property Insurance All Other - Gas</t>
  </si>
  <si>
    <t>92400308 1115 - Propety Insurance All Others Gas</t>
  </si>
  <si>
    <t>92400013 1115 - Propety Insurance All Others Elec</t>
  </si>
  <si>
    <t>PROMORMA</t>
  </si>
  <si>
    <t xml:space="preserve">HOPKINS RIDGE POWER PLANT </t>
  </si>
  <si>
    <t xml:space="preserve">   (includes Floating Surface Collector #1)</t>
  </si>
  <si>
    <t>Jackson Prairie plant (PSE 1/3 share)</t>
  </si>
  <si>
    <t>92400322, 92400308</t>
  </si>
  <si>
    <t>April 1, 2015 - April 1, 2016 Insurance premiums Actuals</t>
  </si>
  <si>
    <t>LOWER SNAKE RIVER</t>
  </si>
  <si>
    <t>FERNDALE COGENERATION PLANT</t>
  </si>
  <si>
    <t>Fiduciary Insurance - Common</t>
  </si>
  <si>
    <t>92500637  1110 - General Liability Ins - Comm</t>
  </si>
  <si>
    <t>92500638  1110 - Marsh Broker Liability Ins - Comm</t>
  </si>
  <si>
    <t>92500636  1110 - Fiduciary Ins - Comm</t>
  </si>
  <si>
    <t>HPP Fiduciary</t>
  </si>
  <si>
    <t>Gas in Storage (Clay Basin)</t>
  </si>
  <si>
    <t>(Note 1) Sumas Pipeline has order group 161000040 orders that settle to other generation O&amp;M 553 orders, for PSE’s share and the one 92400013 order for insurance</t>
  </si>
  <si>
    <r>
      <t>Jackson Prairie Gas Compressor (PSE 1/3 share)</t>
    </r>
    <r>
      <rPr>
        <sz val="8"/>
        <color indexed="12"/>
        <rFont val="Calibri"/>
        <family val="2"/>
      </rPr>
      <t xml:space="preserve"> (Note 2) book in order 92400322</t>
    </r>
  </si>
  <si>
    <r>
      <t>SUMAS PIPELINE (PSE 57.3% share)</t>
    </r>
    <r>
      <rPr>
        <sz val="8"/>
        <color indexed="12"/>
        <rFont val="Calibri"/>
        <family val="2"/>
      </rPr>
      <t xml:space="preserve"> (Note 1) book in order 92400013</t>
    </r>
  </si>
  <si>
    <t>Renewal Invoice</t>
  </si>
  <si>
    <t>Continuity Credit applied from prior year- (Membership Credit)</t>
  </si>
  <si>
    <t>92400322  5040 - Property Ins Exp - Gas (JP Gas Storage 1/3 share)</t>
  </si>
  <si>
    <t>Total Property Insurance</t>
  </si>
  <si>
    <t>Total Liability Insurance</t>
  </si>
  <si>
    <t>Total Property &amp; Liability Insurance for Test Year</t>
  </si>
  <si>
    <t xml:space="preserve">Property Insurance </t>
  </si>
  <si>
    <t xml:space="preserve">Liability Insurance </t>
  </si>
  <si>
    <t>Order #92400005</t>
  </si>
  <si>
    <t>Colstrip 1&amp;2 and 3&amp;4 Property Insurance for 4/15 - 4/16</t>
  </si>
  <si>
    <t xml:space="preserve">Colstrip 1&amp;2 </t>
  </si>
  <si>
    <t xml:space="preserve">Colstrip 3&amp;4 </t>
  </si>
  <si>
    <t>Annual (12 mos)</t>
  </si>
  <si>
    <t>PSE's ownership</t>
  </si>
  <si>
    <t>PSE's share (12 mos)</t>
  </si>
  <si>
    <t xml:space="preserve">PSE's Monthly </t>
  </si>
  <si>
    <t>Colstrip 1&amp;2 and 3&amp;4</t>
  </si>
  <si>
    <t>April 1, 2015 - April 1, 2016</t>
  </si>
  <si>
    <t>AEGIS Excess GL</t>
  </si>
  <si>
    <t>EIM Excess GL</t>
  </si>
  <si>
    <t>ACE Excess GL</t>
  </si>
  <si>
    <t>Ace Workers comp</t>
  </si>
  <si>
    <t>12/1/15 - 12/01/16</t>
  </si>
  <si>
    <t>1/1/16 - 1/1/17</t>
  </si>
  <si>
    <t>6/30/15 - 6/30/16</t>
  </si>
  <si>
    <t>1/1/16 - 12/31/16</t>
  </si>
  <si>
    <t>FOR THE TWELVE MONTHS ENDED SEPTEMBER 30, 2016</t>
  </si>
  <si>
    <t>2017 GENERAL RATE INCREASE</t>
  </si>
  <si>
    <t>Rate Year 12 ME December 31, 2018</t>
  </si>
  <si>
    <t>For Twelve Months Ended September 30, 2016</t>
  </si>
  <si>
    <t>April 1, 2016 - April 1, 2017 Insurance premiums Actuals</t>
  </si>
  <si>
    <t>5/10/16 - 5/1/17</t>
  </si>
  <si>
    <t>5/1/16 - 5/1/17</t>
  </si>
  <si>
    <t>12/31/15 - 12/31/16</t>
  </si>
  <si>
    <t xml:space="preserve">  Date:                     10/18/2016</t>
  </si>
  <si>
    <t>SAP Download:   ZRW_ ZO12 (Orders Actual 12 Month Ended September 2016)</t>
  </si>
  <si>
    <t>&gt;</t>
  </si>
  <si>
    <t>&lt;= 2016-2017 invoice amount</t>
  </si>
  <si>
    <t>Colstrip 1&amp;2 and 3&amp;4 Property Insurance for 4/16 - 4/17</t>
  </si>
  <si>
    <t>April 1, 2016 - April 1, 2017</t>
  </si>
  <si>
    <t>Apr 16 - Mar 17 (6 mos.)</t>
  </si>
  <si>
    <t>Oct 15 - Mar 16 (6 mos.)</t>
  </si>
  <si>
    <r>
      <t>Liberty Mutual (BC Auto)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(a)</t>
    </r>
  </si>
  <si>
    <t>&lt;=Total 100% Premium including Terrorism</t>
  </si>
  <si>
    <t>&lt;=Membership Credit</t>
  </si>
  <si>
    <t>(Note 2) Jackson Prairie has order group 150 orders that settle to capital orders for PSE’s share and order group 151 orders that settle to gas underground storage orders 814 – 837.</t>
  </si>
  <si>
    <t xml:space="preserve">  The property Ins for PSE’s share bookin order 92400322.</t>
  </si>
  <si>
    <t>(a) Not renewed in 2016. Policy expired 6/30/16.  Premium prorated to 9 months</t>
  </si>
  <si>
    <t>COLSTRIP 1&amp;2 (PSE 50% Share)</t>
  </si>
  <si>
    <t>COLSTRIP 3&amp;4 (PSE 25% Share)</t>
  </si>
  <si>
    <r>
      <t xml:space="preserve">COLSTRIP 3&amp;4 (PSE 25% Share) </t>
    </r>
    <r>
      <rPr>
        <sz val="8"/>
        <color rgb="FF0066FF"/>
        <rFont val="Calibri"/>
        <family val="2"/>
      </rPr>
      <t>(Note 3)</t>
    </r>
  </si>
  <si>
    <r>
      <t>COLSTRIP 1&amp;2 (PSE 50% Share)</t>
    </r>
    <r>
      <rPr>
        <sz val="8"/>
        <color indexed="8"/>
        <rFont val="Calibri"/>
        <family val="2"/>
      </rPr>
      <t xml:space="preserve"> </t>
    </r>
    <r>
      <rPr>
        <sz val="8"/>
        <color rgb="FF0066FF"/>
        <rFont val="Calibri"/>
        <family val="2"/>
      </rPr>
      <t>(Note 3)</t>
    </r>
  </si>
  <si>
    <t>(Note 3) Colstrip 1&amp;2 and 3&amp;4 paid separately and does not include with Marsh Invoice.</t>
  </si>
  <si>
    <t>Ck</t>
  </si>
  <si>
    <t>&lt;=Annualized policy Apr 2016 - April 2017</t>
  </si>
  <si>
    <r>
      <t>GAS</t>
    </r>
    <r>
      <rPr>
        <b/>
        <sz val="11"/>
        <color rgb="FF0000FF"/>
        <rFont val="Calibri"/>
        <family val="2"/>
      </rPr>
      <t xml:space="preserve"> </t>
    </r>
  </si>
  <si>
    <t>Elec</t>
  </si>
  <si>
    <t>Ins Premium per Month</t>
  </si>
  <si>
    <t>General Liability</t>
  </si>
  <si>
    <t>Colstrip 1&amp;2</t>
  </si>
  <si>
    <t>Colstrip 3&amp;4</t>
  </si>
  <si>
    <t>Liability Insurance</t>
  </si>
  <si>
    <t>Property Insurance</t>
  </si>
  <si>
    <t>PSE's Test Year</t>
  </si>
  <si>
    <t>Property Insurance Admin - Elec (Colstrip 1&amp;2, 3&amp;4)</t>
  </si>
  <si>
    <t>Insurance Breakdown:</t>
  </si>
  <si>
    <t>PSE's Share</t>
  </si>
  <si>
    <t>Other:</t>
  </si>
  <si>
    <t>Automibile</t>
  </si>
  <si>
    <t>Worker's Comp</t>
  </si>
  <si>
    <t>Unbrella/Excess Liability</t>
  </si>
  <si>
    <t>Finance Charge</t>
  </si>
  <si>
    <t>Broker Fee</t>
  </si>
  <si>
    <t>Per Altlantic statement</t>
  </si>
  <si>
    <t>PER SAP (PSE's booking)</t>
  </si>
  <si>
    <t>Difference</t>
  </si>
  <si>
    <t>Break down</t>
  </si>
  <si>
    <t xml:space="preserve">PSE's Share @ 49.85% </t>
  </si>
  <si>
    <t>Freddy 1 Insurance (Energy Accounting)</t>
  </si>
  <si>
    <t>Property Insurance Admin - Elec (Freddy 1)</t>
  </si>
  <si>
    <t>SUBTOTAL 92500005</t>
  </si>
  <si>
    <t>Freddy 1</t>
  </si>
  <si>
    <t>11/1/2014 - 10/31/2015</t>
  </si>
  <si>
    <t>11/1/2015 - 10/31/2016</t>
  </si>
  <si>
    <t>PSE's Share 49.85%</t>
  </si>
  <si>
    <t>Per month</t>
  </si>
  <si>
    <t>4/15 - 4/16</t>
  </si>
  <si>
    <t>4/16 - 4/17</t>
  </si>
  <si>
    <t>Total Property Ins Freddy 1</t>
  </si>
  <si>
    <t xml:space="preserve">FREDDY 1 PROPERTY INSURANCE </t>
  </si>
  <si>
    <t>(Note 4) Freddy 1 paid separately and does not include with Marsh Invoice.  The policy period is from November 1 - Ot 31.</t>
  </si>
  <si>
    <r>
      <t xml:space="preserve">FREDDY 1 (PSE 49.85% Share) </t>
    </r>
    <r>
      <rPr>
        <sz val="8"/>
        <color rgb="FF0000FF"/>
        <rFont val="Calibri"/>
        <family val="2"/>
      </rPr>
      <t>(Note 4)</t>
    </r>
  </si>
  <si>
    <t>FREDDY 1 (PSE 49.85% Share)</t>
  </si>
  <si>
    <t>Total PSE's Invoice w/o Colstrip 1&amp;2 and 3&amp;4/ Freddy 1</t>
  </si>
  <si>
    <t>11/1/15 - 10/31/16</t>
  </si>
  <si>
    <t>Freddy 1 W/C, Liability, Auto</t>
  </si>
  <si>
    <t>Adjustment</t>
  </si>
  <si>
    <r>
      <t xml:space="preserve">Colstrip 1&amp;2 GL </t>
    </r>
    <r>
      <rPr>
        <b/>
        <i/>
        <sz val="10"/>
        <rFont val="Arial"/>
        <family val="2"/>
      </rPr>
      <t>(b)</t>
    </r>
  </si>
  <si>
    <r>
      <t xml:space="preserve">Colstrip 1&amp;2 Auto </t>
    </r>
    <r>
      <rPr>
        <b/>
        <i/>
        <sz val="10"/>
        <rFont val="Arial"/>
        <family val="2"/>
      </rPr>
      <t>(b)</t>
    </r>
  </si>
  <si>
    <r>
      <t>Colstrip 1&amp;2 W/C</t>
    </r>
    <r>
      <rPr>
        <b/>
        <i/>
        <sz val="10"/>
        <rFont val="Arial"/>
        <family val="2"/>
      </rPr>
      <t xml:space="preserve"> (b)</t>
    </r>
  </si>
  <si>
    <r>
      <t xml:space="preserve">Colstrip 3&amp;4 GL </t>
    </r>
    <r>
      <rPr>
        <b/>
        <i/>
        <sz val="10"/>
        <rFont val="Arial"/>
        <family val="2"/>
      </rPr>
      <t>(b)</t>
    </r>
  </si>
  <si>
    <r>
      <t>Colstrip 1&amp;2 Auto</t>
    </r>
    <r>
      <rPr>
        <b/>
        <i/>
        <sz val="10"/>
        <rFont val="Arial"/>
        <family val="2"/>
      </rPr>
      <t xml:space="preserve"> (b)</t>
    </r>
  </si>
  <si>
    <r>
      <t xml:space="preserve">Colstrip 3&amp;4 W/C </t>
    </r>
    <r>
      <rPr>
        <b/>
        <i/>
        <sz val="10"/>
        <rFont val="Arial"/>
        <family val="2"/>
      </rPr>
      <t>(b)</t>
    </r>
  </si>
  <si>
    <t>(a) Colstrip liability Insurance reflect PSE's share</t>
  </si>
  <si>
    <t>OTHER ELECTRIC ( substation, general plant, communication equipment, etc.)</t>
  </si>
  <si>
    <t>TOTAL ELECTRIC  - (B)</t>
  </si>
  <si>
    <t xml:space="preserve">TOTAL PRODUCTION ELECTRIC </t>
  </si>
  <si>
    <t>Colstrip1&amp;2</t>
  </si>
  <si>
    <t>Colstrip3&amp;4</t>
  </si>
  <si>
    <t>Sumas pipeline</t>
  </si>
  <si>
    <t>PROPERTY INSURANCE TEST YEAR</t>
  </si>
  <si>
    <t>LIABILITY INSURANCE TEST YEAR</t>
  </si>
  <si>
    <t>RESTATED</t>
  </si>
  <si>
    <t>Direct Allocate</t>
  </si>
  <si>
    <t xml:space="preserve">Remaining </t>
  </si>
  <si>
    <t>92400322 (Jackson Prairie)</t>
  </si>
  <si>
    <t xml:space="preserve">Other Gas (communication equipment, Storeroom inventories, Liquified Gas Plt) </t>
  </si>
  <si>
    <t>Not break down</t>
  </si>
  <si>
    <t>not break down</t>
  </si>
  <si>
    <t xml:space="preserve"> 925 Orders are transferred to Balance Sheet.  Therefore, this order group have to allocated to O&amp;M</t>
  </si>
  <si>
    <t>Insurance Policy Apr 2016 - Apr 2017</t>
  </si>
  <si>
    <t>Direct Labor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</si>
</sst>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\-yy;@"/>
    <numFmt numFmtId="167" formatCode="0.000000"/>
    <numFmt numFmtId="168" formatCode="&quot;$&quot;#,##0.00"/>
    <numFmt numFmtId="169" formatCode="_(* #,##0.00000_);_(* \(#,##0.00000\);_(* &quot;-&quot;??_);_(@_)"/>
    <numFmt numFmtId="170" formatCode="0.0000000"/>
    <numFmt numFmtId="171" formatCode="_(&quot;$&quot;* #,##0.000000_);_(&quot;$&quot;* \(#,##0.000000\);_(&quot;$&quot;* &quot;-&quot;??????_);_(@_)"/>
    <numFmt numFmtId="172" formatCode="_(* #,##0.0_);_(* \(#,##0.0\);_(* &quot;-&quot;_);_(@_)"/>
    <numFmt numFmtId="173" formatCode="_(* ###0_);_(* \(###0\);_(* &quot;-&quot;_);_(@_)"/>
    <numFmt numFmtId="174" formatCode="d\.mmm\.yy"/>
    <numFmt numFmtId="175" formatCode="#."/>
    <numFmt numFmtId="176" formatCode="_(&quot;$&quot;* #,##0.0000_);_(&quot;$&quot;* \(#,##0.0000\);_(&quot;$&quot;* &quot;-&quot;????_);_(@_)"/>
    <numFmt numFmtId="177" formatCode="&quot;PAGE&quot;\ 0.00"/>
    <numFmt numFmtId="178" formatCode="_(&quot;$&quot;* #,##0_);_(&quot;$&quot;* \(#,##0\);_(&quot;$&quot;* &quot;-&quot;??_);_(@_)"/>
    <numFmt numFmtId="179" formatCode="mmmm\ d\,\ yyyy"/>
    <numFmt numFmtId="180" formatCode="_(&quot;$&quot;* #,##0.0_);_(&quot;$&quot;* \(#,##0.0\);_(&quot;$&quot;* &quot;-&quot;??_);_(@_)"/>
    <numFmt numFmtId="181" formatCode="0000"/>
    <numFmt numFmtId="182" formatCode="000000"/>
    <numFmt numFmtId="183" formatCode="#,##0;[Red]#,##0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0"/>
      <name val="Arial"/>
      <family val="2"/>
    </font>
    <font>
      <sz val="11"/>
      <name val="univers (E1)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color indexed="12"/>
      <name val="Calibri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sz val="8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8"/>
      <name val="Arial"/>
      <family val="2"/>
    </font>
    <font>
      <u val="double"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sz val="8"/>
      <color rgb="FF0066FF"/>
      <name val="Calibri"/>
      <family val="2"/>
    </font>
    <font>
      <sz val="8"/>
      <color rgb="FF0000CC"/>
      <name val="Arial"/>
      <family val="2"/>
    </font>
    <font>
      <sz val="11"/>
      <color rgb="FFFF0000"/>
      <name val="Calibri"/>
      <family val="2"/>
    </font>
    <font>
      <b/>
      <u/>
      <sz val="11"/>
      <color rgb="FF0000FF"/>
      <name val="Calibri"/>
      <family val="2"/>
    </font>
    <font>
      <b/>
      <sz val="11"/>
      <color rgb="FF0000FF"/>
      <name val="Calibri"/>
      <family val="2"/>
    </font>
    <font>
      <u/>
      <sz val="10"/>
      <color rgb="FF0000FF"/>
      <name val="Arial"/>
      <family val="2"/>
    </font>
    <font>
      <b/>
      <u val="doubleAccounting"/>
      <sz val="10"/>
      <name val="Arial"/>
      <family val="2"/>
    </font>
    <font>
      <sz val="8"/>
      <color rgb="FFFF0000"/>
      <name val="Arial"/>
      <family val="2"/>
    </font>
    <font>
      <b/>
      <i/>
      <sz val="10"/>
      <color rgb="FF0000FF"/>
      <name val="Times New Roman"/>
      <family val="1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14">
    <xf numFmtId="0" fontId="0" fillId="0" borderId="0"/>
    <xf numFmtId="167" fontId="2" fillId="0" borderId="0">
      <alignment horizontal="left" wrapText="1"/>
    </xf>
    <xf numFmtId="167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44" fillId="0" borderId="0"/>
    <xf numFmtId="169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7" fontId="2" fillId="0" borderId="0">
      <alignment horizontal="left" wrapText="1"/>
    </xf>
    <xf numFmtId="167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169" fontId="2" fillId="0" borderId="0">
      <alignment horizontal="left" wrapText="1"/>
    </xf>
    <xf numFmtId="169" fontId="6" fillId="0" borderId="0">
      <alignment horizontal="left" wrapText="1"/>
    </xf>
    <xf numFmtId="0" fontId="44" fillId="0" borderId="0"/>
    <xf numFmtId="181" fontId="49" fillId="0" borderId="0">
      <alignment horizontal="left"/>
    </xf>
    <xf numFmtId="182" fontId="50" fillId="0" borderId="0">
      <alignment horizontal="left"/>
    </xf>
    <xf numFmtId="0" fontId="67" fillId="36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67" fillId="37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67" fillId="38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67" fillId="39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67" fillId="40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67" fillId="41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67" fillId="42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67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67" fillId="44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67" fillId="4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67" fillId="46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67" fillId="47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8" fillId="50" borderId="0" applyNumberFormat="0" applyBorder="0" applyAlignment="0" applyProtection="0"/>
    <xf numFmtId="0" fontId="68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68" fillId="54" borderId="0" applyNumberFormat="0" applyBorder="0" applyAlignment="0" applyProtection="0"/>
    <xf numFmtId="0" fontId="68" fillId="55" borderId="0" applyNumberFormat="0" applyBorder="0" applyAlignment="0" applyProtection="0"/>
    <xf numFmtId="0" fontId="68" fillId="56" borderId="0" applyNumberFormat="0" applyBorder="0" applyAlignment="0" applyProtection="0"/>
    <xf numFmtId="0" fontId="68" fillId="57" borderId="0" applyNumberFormat="0" applyBorder="0" applyAlignment="0" applyProtection="0"/>
    <xf numFmtId="0" fontId="68" fillId="58" borderId="0" applyNumberFormat="0" applyBorder="0" applyAlignment="0" applyProtection="0"/>
    <xf numFmtId="0" fontId="68" fillId="59" borderId="0" applyNumberFormat="0" applyBorder="0" applyAlignment="0" applyProtection="0"/>
    <xf numFmtId="0" fontId="69" fillId="60" borderId="0" applyNumberFormat="0" applyBorder="0" applyAlignment="0" applyProtection="0"/>
    <xf numFmtId="0" fontId="50" fillId="0" borderId="0" applyFont="0" applyFill="0" applyBorder="0" applyAlignment="0" applyProtection="0">
      <alignment horizontal="right"/>
    </xf>
    <xf numFmtId="174" fontId="12" fillId="0" borderId="0" applyFill="0" applyBorder="0" applyAlignment="0"/>
    <xf numFmtId="41" fontId="2" fillId="16" borderId="0"/>
    <xf numFmtId="0" fontId="70" fillId="61" borderId="50" applyNumberFormat="0" applyAlignment="0" applyProtection="0"/>
    <xf numFmtId="0" fontId="70" fillId="61" borderId="50" applyNumberFormat="0" applyAlignment="0" applyProtection="0"/>
    <xf numFmtId="0" fontId="71" fillId="62" borderId="51" applyNumberFormat="0" applyAlignment="0" applyProtection="0"/>
    <xf numFmtId="41" fontId="6" fillId="17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7" fillId="0" borderId="0" applyFont="0" applyFill="0" applyBorder="0" applyAlignment="0" applyProtection="0"/>
    <xf numFmtId="4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37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175" fontId="16" fillId="0" borderId="0">
      <protection locked="0"/>
    </xf>
    <xf numFmtId="0" fontId="15" fillId="0" borderId="0"/>
    <xf numFmtId="0" fontId="17" fillId="0" borderId="0" applyNumberFormat="0" applyAlignment="0">
      <alignment horizontal="left"/>
    </xf>
    <xf numFmtId="0" fontId="18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2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" fillId="0" borderId="0"/>
    <xf numFmtId="0" fontId="72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73" fillId="63" borderId="0" applyNumberFormat="0" applyBorder="0" applyAlignment="0" applyProtection="0"/>
    <xf numFmtId="38" fontId="9" fillId="17" borderId="0" applyNumberFormat="0" applyBorder="0" applyAlignment="0" applyProtection="0"/>
    <xf numFmtId="180" fontId="51" fillId="0" borderId="0" applyNumberFormat="0" applyFill="0" applyBorder="0" applyProtection="0">
      <alignment horizontal="right"/>
    </xf>
    <xf numFmtId="0" fontId="19" fillId="0" borderId="1" applyNumberFormat="0" applyAlignment="0" applyProtection="0">
      <alignment horizontal="left"/>
    </xf>
    <xf numFmtId="0" fontId="19" fillId="0" borderId="2">
      <alignment horizontal="left"/>
    </xf>
    <xf numFmtId="14" fontId="7" fillId="18" borderId="3">
      <alignment horizontal="center" vertical="center" wrapText="1"/>
    </xf>
    <xf numFmtId="0" fontId="13" fillId="0" borderId="0" applyNumberFormat="0" applyFill="0" applyBorder="0" applyAlignment="0" applyProtection="0"/>
    <xf numFmtId="0" fontId="74" fillId="0" borderId="52" applyNumberFormat="0" applyFill="0" applyAlignment="0" applyProtection="0"/>
    <xf numFmtId="0" fontId="74" fillId="0" borderId="52" applyNumberFormat="0" applyFill="0" applyAlignment="0" applyProtection="0"/>
    <xf numFmtId="0" fontId="13" fillId="0" borderId="0" applyNumberFormat="0" applyFill="0" applyBorder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6" fillId="0" borderId="54" applyNumberFormat="0" applyFill="0" applyAlignment="0" applyProtection="0"/>
    <xf numFmtId="0" fontId="76" fillId="0" borderId="0" applyNumberFormat="0" applyFill="0" applyBorder="0" applyAlignment="0" applyProtection="0"/>
    <xf numFmtId="38" fontId="20" fillId="0" borderId="0"/>
    <xf numFmtId="40" fontId="20" fillId="0" borderId="0"/>
    <xf numFmtId="0" fontId="77" fillId="64" borderId="50" applyNumberFormat="0" applyAlignment="0" applyProtection="0"/>
    <xf numFmtId="10" fontId="9" fillId="16" borderId="4" applyNumberFormat="0" applyBorder="0" applyAlignment="0" applyProtection="0"/>
    <xf numFmtId="41" fontId="21" fillId="19" borderId="5">
      <alignment horizontal="left"/>
      <protection locked="0"/>
    </xf>
    <xf numFmtId="10" fontId="21" fillId="19" borderId="5">
      <alignment horizontal="right"/>
      <protection locked="0"/>
    </xf>
    <xf numFmtId="0" fontId="22" fillId="17" borderId="0"/>
    <xf numFmtId="3" fontId="23" fillId="0" borderId="0" applyFill="0" applyBorder="0" applyAlignment="0" applyProtection="0"/>
    <xf numFmtId="0" fontId="78" fillId="0" borderId="55" applyNumberFormat="0" applyFill="0" applyAlignment="0" applyProtection="0"/>
    <xf numFmtId="44" fontId="24" fillId="0" borderId="6" applyNumberFormat="0" applyFont="0" applyAlignment="0">
      <alignment horizontal="center"/>
    </xf>
    <xf numFmtId="44" fontId="24" fillId="0" borderId="7" applyNumberFormat="0" applyFont="0" applyAlignment="0">
      <alignment horizontal="center"/>
    </xf>
    <xf numFmtId="0" fontId="79" fillId="65" borderId="0" applyNumberFormat="0" applyBorder="0" applyAlignment="0" applyProtection="0"/>
    <xf numFmtId="37" fontId="25" fillId="0" borderId="0"/>
    <xf numFmtId="171" fontId="26" fillId="0" borderId="0"/>
    <xf numFmtId="0" fontId="67" fillId="0" borderId="0"/>
    <xf numFmtId="0" fontId="67" fillId="0" borderId="0"/>
    <xf numFmtId="0" fontId="39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7" fillId="0" borderId="0"/>
    <xf numFmtId="0" fontId="6" fillId="0" borderId="0"/>
    <xf numFmtId="166" fontId="46" fillId="0" borderId="0">
      <alignment horizontal="left" wrapText="1"/>
    </xf>
    <xf numFmtId="167" fontId="26" fillId="0" borderId="0">
      <alignment horizontal="left" wrapText="1"/>
    </xf>
    <xf numFmtId="0" fontId="45" fillId="0" borderId="0"/>
    <xf numFmtId="179" fontId="6" fillId="0" borderId="0">
      <alignment horizontal="left" wrapText="1"/>
    </xf>
    <xf numFmtId="0" fontId="67" fillId="0" borderId="0"/>
    <xf numFmtId="0" fontId="67" fillId="0" borderId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67" fillId="66" borderId="56" applyNumberFormat="0" applyFont="0" applyAlignment="0" applyProtection="0"/>
    <xf numFmtId="0" fontId="67" fillId="66" borderId="56" applyNumberFormat="0" applyFont="0" applyAlignment="0" applyProtection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39" fillId="21" borderId="8" applyNumberFormat="0" applyFont="0" applyAlignment="0" applyProtection="0"/>
    <xf numFmtId="0" fontId="80" fillId="61" borderId="57" applyNumberFormat="0" applyAlignment="0" applyProtection="0"/>
    <xf numFmtId="0" fontId="14" fillId="0" borderId="0"/>
    <xf numFmtId="0" fontId="14" fillId="0" borderId="0"/>
    <xf numFmtId="0" fontId="15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6" fillId="22" borderId="5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3">
      <alignment horizontal="center"/>
    </xf>
    <xf numFmtId="3" fontId="27" fillId="0" borderId="0" applyFont="0" applyFill="0" applyBorder="0" applyAlignment="0" applyProtection="0"/>
    <xf numFmtId="0" fontId="27" fillId="23" borderId="0" applyNumberFormat="0" applyFont="0" applyBorder="0" applyAlignment="0" applyProtection="0"/>
    <xf numFmtId="0" fontId="15" fillId="0" borderId="0"/>
    <xf numFmtId="3" fontId="29" fillId="0" borderId="0" applyFill="0" applyBorder="0" applyAlignment="0" applyProtection="0"/>
    <xf numFmtId="0" fontId="30" fillId="0" borderId="0"/>
    <xf numFmtId="42" fontId="6" fillId="16" borderId="0"/>
    <xf numFmtId="42" fontId="6" fillId="16" borderId="9">
      <alignment vertical="center"/>
    </xf>
    <xf numFmtId="0" fontId="7" fillId="16" borderId="10" applyNumberFormat="0">
      <alignment horizontal="center" vertical="center" wrapText="1"/>
    </xf>
    <xf numFmtId="10" fontId="2" fillId="16" borderId="0"/>
    <xf numFmtId="176" fontId="2" fillId="16" borderId="0"/>
    <xf numFmtId="164" fontId="20" fillId="0" borderId="0" applyBorder="0" applyAlignment="0"/>
    <xf numFmtId="42" fontId="6" fillId="16" borderId="11">
      <alignment horizontal="left"/>
    </xf>
    <xf numFmtId="176" fontId="31" fillId="16" borderId="11">
      <alignment horizontal="left"/>
    </xf>
    <xf numFmtId="14" fontId="26" fillId="0" borderId="0" applyNumberFormat="0" applyFill="0" applyBorder="0" applyAlignment="0" applyProtection="0">
      <alignment horizontal="left"/>
    </xf>
    <xf numFmtId="172" fontId="2" fillId="0" borderId="0" applyFont="0" applyFill="0" applyAlignment="0">
      <alignment horizontal="right"/>
    </xf>
    <xf numFmtId="4" fontId="53" fillId="20" borderId="12" applyNumberFormat="0" applyProtection="0">
      <alignment vertical="center"/>
    </xf>
    <xf numFmtId="4" fontId="54" fillId="19" borderId="12" applyNumberFormat="0" applyProtection="0">
      <alignment vertical="center"/>
    </xf>
    <xf numFmtId="4" fontId="53" fillId="19" borderId="12" applyNumberFormat="0" applyProtection="0">
      <alignment horizontal="left" vertical="center" indent="1"/>
    </xf>
    <xf numFmtId="0" fontId="53" fillId="19" borderId="12" applyNumberFormat="0" applyProtection="0">
      <alignment horizontal="left" vertical="top" indent="1"/>
    </xf>
    <xf numFmtId="4" fontId="53" fillId="24" borderId="0" applyNumberFormat="0" applyProtection="0">
      <alignment horizontal="left" vertical="center" indent="1"/>
    </xf>
    <xf numFmtId="0" fontId="6" fillId="25" borderId="0" applyNumberFormat="0" applyProtection="0">
      <alignment horizontal="left" vertical="center" indent="1"/>
    </xf>
    <xf numFmtId="4" fontId="52" fillId="3" borderId="12" applyNumberFormat="0" applyProtection="0">
      <alignment horizontal="right" vertical="center"/>
    </xf>
    <xf numFmtId="4" fontId="52" fillId="9" borderId="12" applyNumberFormat="0" applyProtection="0">
      <alignment horizontal="right" vertical="center"/>
    </xf>
    <xf numFmtId="4" fontId="52" fillId="13" borderId="12" applyNumberFormat="0" applyProtection="0">
      <alignment horizontal="right" vertical="center"/>
    </xf>
    <xf numFmtId="4" fontId="52" fillId="11" borderId="12" applyNumberFormat="0" applyProtection="0">
      <alignment horizontal="right" vertical="center"/>
    </xf>
    <xf numFmtId="4" fontId="52" fillId="12" borderId="12" applyNumberFormat="0" applyProtection="0">
      <alignment horizontal="right" vertical="center"/>
    </xf>
    <xf numFmtId="4" fontId="52" fillId="15" borderId="12" applyNumberFormat="0" applyProtection="0">
      <alignment horizontal="right" vertical="center"/>
    </xf>
    <xf numFmtId="4" fontId="52" fillId="14" borderId="12" applyNumberFormat="0" applyProtection="0">
      <alignment horizontal="right" vertical="center"/>
    </xf>
    <xf numFmtId="4" fontId="52" fillId="26" borderId="12" applyNumberFormat="0" applyProtection="0">
      <alignment horizontal="right" vertical="center"/>
    </xf>
    <xf numFmtId="4" fontId="52" fillId="10" borderId="12" applyNumberFormat="0" applyProtection="0">
      <alignment horizontal="right" vertical="center"/>
    </xf>
    <xf numFmtId="4" fontId="53" fillId="27" borderId="13" applyNumberFormat="0" applyProtection="0">
      <alignment horizontal="left" vertical="center" indent="1"/>
    </xf>
    <xf numFmtId="4" fontId="52" fillId="28" borderId="0" applyNumberFormat="0" applyProtection="0">
      <alignment horizontal="left" vertical="center" indent="1"/>
    </xf>
    <xf numFmtId="4" fontId="55" fillId="29" borderId="0" applyNumberFormat="0" applyProtection="0">
      <alignment horizontal="left" vertical="center" indent="1"/>
    </xf>
    <xf numFmtId="4" fontId="52" fillId="30" borderId="12" applyNumberFormat="0" applyProtection="0">
      <alignment horizontal="right" vertical="center"/>
    </xf>
    <xf numFmtId="4" fontId="52" fillId="28" borderId="0" applyNumberFormat="0" applyProtection="0">
      <alignment horizontal="left" vertical="center" indent="1"/>
    </xf>
    <xf numFmtId="4" fontId="52" fillId="24" borderId="0" applyNumberFormat="0" applyProtection="0">
      <alignment horizontal="left" vertical="center" indent="1"/>
    </xf>
    <xf numFmtId="0" fontId="6" fillId="29" borderId="12" applyNumberFormat="0" applyProtection="0">
      <alignment horizontal="left" vertical="center" indent="1"/>
    </xf>
    <xf numFmtId="0" fontId="6" fillId="29" borderId="12" applyNumberFormat="0" applyProtection="0">
      <alignment horizontal="left" vertical="top" indent="1"/>
    </xf>
    <xf numFmtId="0" fontId="6" fillId="24" borderId="12" applyNumberFormat="0" applyProtection="0">
      <alignment horizontal="left" vertical="center" indent="1"/>
    </xf>
    <xf numFmtId="0" fontId="6" fillId="24" borderId="12" applyNumberFormat="0" applyProtection="0">
      <alignment horizontal="left" vertical="top" indent="1"/>
    </xf>
    <xf numFmtId="0" fontId="6" fillId="31" borderId="12" applyNumberFormat="0" applyProtection="0">
      <alignment horizontal="left" vertical="center" indent="1"/>
    </xf>
    <xf numFmtId="0" fontId="6" fillId="31" borderId="12" applyNumberFormat="0" applyProtection="0">
      <alignment horizontal="left" vertical="top" indent="1"/>
    </xf>
    <xf numFmtId="0" fontId="6" fillId="22" borderId="12" applyNumberFormat="0" applyProtection="0">
      <alignment horizontal="left" vertical="center" indent="1"/>
    </xf>
    <xf numFmtId="0" fontId="6" fillId="22" borderId="12" applyNumberFormat="0" applyProtection="0">
      <alignment horizontal="left" vertical="top" indent="1"/>
    </xf>
    <xf numFmtId="4" fontId="52" fillId="32" borderId="12" applyNumberFormat="0" applyProtection="0">
      <alignment vertical="center"/>
    </xf>
    <xf numFmtId="4" fontId="56" fillId="32" borderId="12" applyNumberFormat="0" applyProtection="0">
      <alignment vertical="center"/>
    </xf>
    <xf numFmtId="4" fontId="52" fillId="32" borderId="12" applyNumberFormat="0" applyProtection="0">
      <alignment horizontal="left" vertical="center" indent="1"/>
    </xf>
    <xf numFmtId="0" fontId="52" fillId="32" borderId="12" applyNumberFormat="0" applyProtection="0">
      <alignment horizontal="left" vertical="top" indent="1"/>
    </xf>
    <xf numFmtId="4" fontId="52" fillId="28" borderId="12" applyNumberFormat="0" applyProtection="0">
      <alignment horizontal="right" vertical="center"/>
    </xf>
    <xf numFmtId="4" fontId="56" fillId="28" borderId="12" applyNumberFormat="0" applyProtection="0">
      <alignment horizontal="right" vertical="center"/>
    </xf>
    <xf numFmtId="4" fontId="52" fillId="30" borderId="12" applyNumberFormat="0" applyProtection="0">
      <alignment horizontal="left" vertical="center" indent="1"/>
    </xf>
    <xf numFmtId="0" fontId="52" fillId="24" borderId="12" applyNumberFormat="0" applyProtection="0">
      <alignment horizontal="left" vertical="top" indent="1"/>
    </xf>
    <xf numFmtId="4" fontId="57" fillId="33" borderId="0" applyNumberFormat="0" applyProtection="0">
      <alignment horizontal="left" vertical="center" indent="1"/>
    </xf>
    <xf numFmtId="4" fontId="58" fillId="28" borderId="12" applyNumberFormat="0" applyProtection="0">
      <alignment horizontal="right" vertical="center"/>
    </xf>
    <xf numFmtId="39" fontId="2" fillId="34" borderId="0"/>
    <xf numFmtId="38" fontId="9" fillId="0" borderId="14"/>
    <xf numFmtId="38" fontId="20" fillId="0" borderId="11"/>
    <xf numFmtId="39" fontId="26" fillId="35" borderId="0"/>
    <xf numFmtId="167" fontId="2" fillId="0" borderId="0">
      <alignment horizontal="left" wrapText="1"/>
    </xf>
    <xf numFmtId="167" fontId="6" fillId="0" borderId="0">
      <alignment horizontal="left" wrapText="1"/>
    </xf>
    <xf numFmtId="40" fontId="32" fillId="0" borderId="0" applyBorder="0">
      <alignment horizontal="right"/>
    </xf>
    <xf numFmtId="41" fontId="33" fillId="16" borderId="0">
      <alignment horizontal="left"/>
    </xf>
    <xf numFmtId="0" fontId="59" fillId="0" borderId="0"/>
    <xf numFmtId="0" fontId="60" fillId="0" borderId="0" applyFill="0" applyBorder="0" applyProtection="0">
      <alignment horizontal="left" vertical="top"/>
    </xf>
    <xf numFmtId="0" fontId="81" fillId="0" borderId="0" applyNumberFormat="0" applyFill="0" applyBorder="0" applyAlignment="0" applyProtection="0"/>
    <xf numFmtId="168" fontId="34" fillId="16" borderId="0">
      <alignment horizontal="left" vertical="center"/>
    </xf>
    <xf numFmtId="0" fontId="7" fillId="16" borderId="0">
      <alignment horizontal="left" wrapText="1"/>
    </xf>
    <xf numFmtId="0" fontId="35" fillId="0" borderId="0">
      <alignment horizontal="left" vertical="center"/>
    </xf>
    <xf numFmtId="0" fontId="13" fillId="0" borderId="15" applyNumberFormat="0" applyFont="0" applyFill="0" applyAlignment="0" applyProtection="0"/>
    <xf numFmtId="0" fontId="82" fillId="0" borderId="58" applyNumberFormat="0" applyFill="0" applyAlignment="0" applyProtection="0"/>
    <xf numFmtId="0" fontId="82" fillId="0" borderId="58" applyNumberFormat="0" applyFill="0" applyAlignment="0" applyProtection="0"/>
    <xf numFmtId="0" fontId="15" fillId="0" borderId="16"/>
    <xf numFmtId="0" fontId="83" fillId="0" borderId="0" applyNumberForma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53">
    <xf numFmtId="0" fontId="0" fillId="0" borderId="0" xfId="0"/>
    <xf numFmtId="0" fontId="3" fillId="0" borderId="0" xfId="0" applyFont="1" applyFill="1" applyAlignment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15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/>
    <xf numFmtId="0" fontId="4" fillId="0" borderId="0" xfId="0" applyFont="1" applyFill="1" applyAlignment="1" applyProtection="1">
      <alignment horizontal="center"/>
      <protection locked="0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/>
    <xf numFmtId="37" fontId="3" fillId="0" borderId="0" xfId="0" applyNumberFormat="1" applyFont="1" applyFill="1" applyAlignment="1"/>
    <xf numFmtId="42" fontId="3" fillId="0" borderId="0" xfId="132" applyNumberFormat="1" applyFont="1" applyFill="1" applyBorder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164" fontId="2" fillId="0" borderId="0" xfId="105" applyNumberFormat="1" applyFill="1"/>
    <xf numFmtId="0" fontId="6" fillId="0" borderId="0" xfId="0" applyFont="1" applyFill="1" applyBorder="1" applyAlignment="1">
      <alignment horizontal="center"/>
    </xf>
    <xf numFmtId="164" fontId="2" fillId="0" borderId="0" xfId="105" applyNumberFormat="1" applyFont="1" applyFill="1"/>
    <xf numFmtId="0" fontId="0" fillId="0" borderId="0" xfId="0" applyFill="1" applyBorder="1"/>
    <xf numFmtId="164" fontId="6" fillId="0" borderId="0" xfId="105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Continuous" vertical="center"/>
    </xf>
    <xf numFmtId="10" fontId="0" fillId="0" borderId="0" xfId="0" applyNumberFormat="1"/>
    <xf numFmtId="42" fontId="3" fillId="0" borderId="0" xfId="132" applyNumberFormat="1" applyFont="1" applyFill="1" applyAlignment="1" applyProtection="1">
      <protection locked="0"/>
    </xf>
    <xf numFmtId="37" fontId="3" fillId="0" borderId="0" xfId="0" applyNumberFormat="1" applyFont="1" applyFill="1" applyAlignment="1" applyProtection="1">
      <protection locked="0"/>
    </xf>
    <xf numFmtId="42" fontId="3" fillId="0" borderId="11" xfId="132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0" fontId="33" fillId="0" borderId="0" xfId="0" applyFont="1"/>
    <xf numFmtId="0" fontId="6" fillId="0" borderId="0" xfId="0" applyFont="1" applyFill="1" applyAlignment="1">
      <alignment horizontal="center" vertical="center"/>
    </xf>
    <xf numFmtId="164" fontId="41" fillId="0" borderId="0" xfId="119" applyNumberFormat="1" applyFont="1" applyFill="1"/>
    <xf numFmtId="3" fontId="41" fillId="0" borderId="0" xfId="119" applyNumberFormat="1" applyFont="1" applyFill="1"/>
    <xf numFmtId="42" fontId="41" fillId="0" borderId="0" xfId="141" applyNumberFormat="1" applyFont="1" applyFill="1"/>
    <xf numFmtId="41" fontId="41" fillId="0" borderId="0" xfId="141" applyNumberFormat="1" applyFont="1" applyFill="1"/>
    <xf numFmtId="42" fontId="41" fillId="0" borderId="2" xfId="141" applyNumberFormat="1" applyFont="1" applyFill="1" applyBorder="1"/>
    <xf numFmtId="178" fontId="41" fillId="0" borderId="0" xfId="141" applyNumberFormat="1" applyFont="1" applyFill="1"/>
    <xf numFmtId="4" fontId="41" fillId="0" borderId="0" xfId="119" applyFont="1" applyFill="1"/>
    <xf numFmtId="178" fontId="41" fillId="0" borderId="2" xfId="141" applyNumberFormat="1" applyFont="1" applyFill="1" applyBorder="1"/>
    <xf numFmtId="0" fontId="67" fillId="0" borderId="0" xfId="197" applyBorder="1" applyAlignment="1">
      <alignment vertical="top"/>
    </xf>
    <xf numFmtId="41" fontId="67" fillId="0" borderId="18" xfId="197" applyNumberFormat="1" applyFill="1" applyBorder="1" applyAlignment="1">
      <alignment vertical="top"/>
    </xf>
    <xf numFmtId="0" fontId="39" fillId="0" borderId="19" xfId="197" applyFont="1" applyFill="1" applyBorder="1" applyAlignment="1">
      <alignment vertical="top"/>
    </xf>
    <xf numFmtId="0" fontId="6" fillId="0" borderId="0" xfId="0" applyFont="1" applyFill="1" applyBorder="1"/>
    <xf numFmtId="0" fontId="67" fillId="0" borderId="0" xfId="197" applyFill="1" applyBorder="1" applyAlignment="1">
      <alignment vertical="top"/>
    </xf>
    <xf numFmtId="0" fontId="39" fillId="0" borderId="0" xfId="197" applyFont="1" applyFill="1" applyBorder="1" applyAlignment="1">
      <alignment vertical="top"/>
    </xf>
    <xf numFmtId="0" fontId="11" fillId="0" borderId="0" xfId="0" applyFont="1" applyFill="1" applyAlignment="1"/>
    <xf numFmtId="41" fontId="11" fillId="0" borderId="0" xfId="0" applyNumberFormat="1" applyFont="1" applyFill="1" applyAlignment="1"/>
    <xf numFmtId="43" fontId="3" fillId="0" borderId="0" xfId="105" applyFont="1" applyFill="1" applyAlignment="1"/>
    <xf numFmtId="0" fontId="38" fillId="0" borderId="0" xfId="197" applyFont="1" applyFill="1" applyBorder="1" applyAlignment="1">
      <alignment vertical="top"/>
    </xf>
    <xf numFmtId="0" fontId="6" fillId="0" borderId="0" xfId="200" applyNumberFormat="1" applyFont="1" applyFill="1" applyAlignment="1"/>
    <xf numFmtId="0" fontId="41" fillId="0" borderId="0" xfId="200" applyNumberFormat="1" applyFont="1" applyFill="1" applyAlignment="1"/>
    <xf numFmtId="10" fontId="42" fillId="0" borderId="9" xfId="223" applyNumberFormat="1" applyFont="1" applyFill="1" applyBorder="1"/>
    <xf numFmtId="10" fontId="41" fillId="0" borderId="9" xfId="223" applyNumberFormat="1" applyFont="1" applyFill="1" applyBorder="1"/>
    <xf numFmtId="3" fontId="41" fillId="0" borderId="0" xfId="200" applyNumberFormat="1" applyFont="1" applyFill="1" applyAlignment="1"/>
    <xf numFmtId="10" fontId="41" fillId="0" borderId="2" xfId="223" applyNumberFormat="1" applyFont="1" applyFill="1" applyBorder="1"/>
    <xf numFmtId="10" fontId="41" fillId="0" borderId="10" xfId="223" applyNumberFormat="1" applyFont="1" applyFill="1" applyBorder="1"/>
    <xf numFmtId="4" fontId="41" fillId="0" borderId="0" xfId="200" applyNumberFormat="1" applyFont="1" applyFill="1" applyAlignment="1"/>
    <xf numFmtId="0" fontId="7" fillId="0" borderId="0" xfId="0" applyFont="1" applyFill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0" fillId="0" borderId="19" xfId="0" applyFill="1" applyBorder="1"/>
    <xf numFmtId="0" fontId="0" fillId="0" borderId="23" xfId="0" applyFill="1" applyBorder="1"/>
    <xf numFmtId="0" fontId="0" fillId="0" borderId="3" xfId="0" applyFill="1" applyBorder="1"/>
    <xf numFmtId="0" fontId="6" fillId="0" borderId="2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67" borderId="0" xfId="0" applyFont="1" applyFill="1" applyBorder="1" applyAlignment="1">
      <alignment horizontal="left" vertical="center"/>
    </xf>
    <xf numFmtId="0" fontId="6" fillId="67" borderId="0" xfId="0" applyFont="1" applyFill="1" applyBorder="1" applyAlignment="1">
      <alignment horizontal="centerContinuous" vertical="center"/>
    </xf>
    <xf numFmtId="43" fontId="7" fillId="0" borderId="0" xfId="105" applyFont="1"/>
    <xf numFmtId="43" fontId="0" fillId="0" borderId="0" xfId="105" applyFont="1"/>
    <xf numFmtId="164" fontId="6" fillId="0" borderId="0" xfId="0" applyNumberFormat="1" applyFont="1" applyFill="1"/>
    <xf numFmtId="43" fontId="6" fillId="0" borderId="0" xfId="0" applyNumberFormat="1" applyFont="1" applyFill="1" applyAlignment="1">
      <alignment horizontal="left" vertical="center"/>
    </xf>
    <xf numFmtId="44" fontId="7" fillId="0" borderId="3" xfId="0" applyNumberFormat="1" applyFont="1" applyFill="1" applyBorder="1" applyAlignment="1">
      <alignment horizontal="centerContinuous" vertical="center"/>
    </xf>
    <xf numFmtId="178" fontId="6" fillId="0" borderId="0" xfId="0" applyNumberFormat="1" applyFont="1" applyFill="1" applyAlignment="1">
      <alignment horizontal="left" vertical="center"/>
    </xf>
    <xf numFmtId="0" fontId="4" fillId="0" borderId="0" xfId="0" quotePrefix="1" applyFont="1" applyFill="1" applyAlignment="1">
      <alignment horizontal="centerContinuous"/>
    </xf>
    <xf numFmtId="15" fontId="4" fillId="0" borderId="0" xfId="0" quotePrefix="1" applyNumberFormat="1" applyFont="1" applyFill="1" applyAlignment="1">
      <alignment horizontal="centerContinuous"/>
    </xf>
    <xf numFmtId="0" fontId="10" fillId="0" borderId="0" xfId="197" applyFont="1" applyFill="1"/>
    <xf numFmtId="0" fontId="38" fillId="0" borderId="19" xfId="197" applyFont="1" applyFill="1" applyBorder="1" applyAlignment="1">
      <alignment vertical="top"/>
    </xf>
    <xf numFmtId="0" fontId="67" fillId="0" borderId="19" xfId="197" applyFill="1" applyBorder="1" applyAlignment="1">
      <alignment vertical="top"/>
    </xf>
    <xf numFmtId="0" fontId="67" fillId="0" borderId="0" xfId="197" applyFill="1" applyAlignment="1">
      <alignment vertical="top" wrapText="1"/>
    </xf>
    <xf numFmtId="0" fontId="5" fillId="0" borderId="0" xfId="0" applyFont="1" applyFill="1"/>
    <xf numFmtId="0" fontId="33" fillId="0" borderId="0" xfId="0" applyFont="1" applyFill="1"/>
    <xf numFmtId="0" fontId="84" fillId="68" borderId="0" xfId="0" applyFont="1" applyFill="1" applyBorder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Alignment="1">
      <alignment horizontal="centerContinuous" vertical="center"/>
    </xf>
    <xf numFmtId="0" fontId="41" fillId="0" borderId="0" xfId="0" applyNumberFormat="1" applyFont="1" applyFill="1" applyAlignment="1"/>
    <xf numFmtId="0" fontId="41" fillId="0" borderId="0" xfId="0" applyNumberFormat="1" applyFont="1" applyFill="1" applyAlignment="1">
      <alignment horizontal="center"/>
    </xf>
    <xf numFmtId="0" fontId="42" fillId="0" borderId="10" xfId="0" applyNumberFormat="1" applyFont="1" applyFill="1" applyBorder="1" applyAlignment="1">
      <alignment horizontal="center"/>
    </xf>
    <xf numFmtId="0" fontId="42" fillId="0" borderId="0" xfId="0" applyNumberFormat="1" applyFont="1" applyFill="1" applyAlignment="1">
      <alignment horizontal="center"/>
    </xf>
    <xf numFmtId="0" fontId="43" fillId="0" borderId="0" xfId="0" applyNumberFormat="1" applyFont="1" applyFill="1" applyAlignment="1"/>
    <xf numFmtId="14" fontId="41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>
      <alignment horizontal="left"/>
    </xf>
    <xf numFmtId="0" fontId="41" fillId="0" borderId="0" xfId="0" applyNumberFormat="1" applyFont="1" applyFill="1" applyAlignment="1">
      <alignment horizontal="left" wrapText="1"/>
    </xf>
    <xf numFmtId="0" fontId="41" fillId="0" borderId="0" xfId="0" applyNumberFormat="1" applyFont="1" applyFill="1" applyBorder="1" applyAlignment="1">
      <alignment horizontal="center"/>
    </xf>
    <xf numFmtId="10" fontId="41" fillId="0" borderId="2" xfId="0" applyNumberFormat="1" applyFont="1" applyFill="1" applyBorder="1" applyAlignment="1"/>
    <xf numFmtId="178" fontId="41" fillId="0" borderId="0" xfId="0" applyNumberFormat="1" applyFont="1" applyFill="1" applyAlignment="1"/>
    <xf numFmtId="0" fontId="41" fillId="0" borderId="0" xfId="0" applyNumberFormat="1" applyFont="1" applyFill="1" applyBorder="1" applyAlignment="1"/>
    <xf numFmtId="10" fontId="41" fillId="0" borderId="9" xfId="0" applyNumberFormat="1" applyFont="1" applyFill="1" applyBorder="1" applyAlignment="1"/>
    <xf numFmtId="164" fontId="67" fillId="0" borderId="0" xfId="105" applyNumberFormat="1" applyFont="1" applyFill="1" applyBorder="1" applyAlignment="1">
      <alignment vertical="top"/>
    </xf>
    <xf numFmtId="164" fontId="67" fillId="0" borderId="0" xfId="197" applyNumberFormat="1" applyFill="1" applyBorder="1" applyAlignment="1">
      <alignment vertical="top"/>
    </xf>
    <xf numFmtId="164" fontId="0" fillId="0" borderId="0" xfId="105" applyNumberFormat="1" applyFont="1"/>
    <xf numFmtId="43" fontId="0" fillId="0" borderId="3" xfId="105" applyFont="1" applyFill="1" applyBorder="1"/>
    <xf numFmtId="43" fontId="0" fillId="0" borderId="25" xfId="105" applyFont="1" applyFill="1" applyBorder="1"/>
    <xf numFmtId="164" fontId="67" fillId="0" borderId="0" xfId="105" applyNumberFormat="1" applyFont="1" applyBorder="1" applyAlignment="1">
      <alignment vertical="top"/>
    </xf>
    <xf numFmtId="14" fontId="61" fillId="0" borderId="24" xfId="197" applyNumberFormat="1" applyFont="1" applyFill="1" applyBorder="1" applyAlignment="1">
      <alignment vertical="top"/>
    </xf>
    <xf numFmtId="0" fontId="38" fillId="0" borderId="35" xfId="197" applyFont="1" applyFill="1" applyBorder="1" applyAlignment="1">
      <alignment horizontal="center" vertical="top" wrapText="1"/>
    </xf>
    <xf numFmtId="0" fontId="38" fillId="0" borderId="18" xfId="197" applyFont="1" applyFill="1" applyBorder="1" applyAlignment="1">
      <alignment horizontal="center" vertical="top"/>
    </xf>
    <xf numFmtId="41" fontId="39" fillId="0" borderId="18" xfId="197" applyNumberFormat="1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0" fontId="7" fillId="0" borderId="10" xfId="0" applyNumberFormat="1" applyFont="1" applyFill="1" applyBorder="1" applyAlignment="1">
      <alignment horizontal="center" vertical="center"/>
    </xf>
    <xf numFmtId="10" fontId="7" fillId="0" borderId="33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22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Continuous" vertical="center"/>
    </xf>
    <xf numFmtId="0" fontId="6" fillId="0" borderId="1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Continuous" vertical="center"/>
    </xf>
    <xf numFmtId="164" fontId="7" fillId="0" borderId="30" xfId="0" applyNumberFormat="1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right" vertical="center"/>
    </xf>
    <xf numFmtId="10" fontId="7" fillId="0" borderId="10" xfId="0" applyNumberFormat="1" applyFont="1" applyFill="1" applyBorder="1" applyAlignment="1">
      <alignment horizontal="right" vertical="center"/>
    </xf>
    <xf numFmtId="10" fontId="7" fillId="0" borderId="33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164" fontId="6" fillId="0" borderId="0" xfId="105" applyNumberFormat="1" applyFont="1" applyFill="1" applyBorder="1" applyAlignment="1">
      <alignment horizontal="centerContinuous" vertical="center"/>
    </xf>
    <xf numFmtId="164" fontId="6" fillId="0" borderId="10" xfId="105" applyNumberFormat="1" applyFont="1" applyFill="1" applyBorder="1" applyAlignment="1">
      <alignment horizontal="centerContinuous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Continuous" vertical="center"/>
    </xf>
    <xf numFmtId="164" fontId="7" fillId="0" borderId="0" xfId="0" applyNumberFormat="1" applyFont="1" applyFill="1" applyBorder="1"/>
    <xf numFmtId="43" fontId="7" fillId="0" borderId="0" xfId="0" applyNumberFormat="1" applyFont="1" applyFill="1" applyBorder="1" applyAlignment="1">
      <alignment horizontal="centerContinuous" vertical="center"/>
    </xf>
    <xf numFmtId="178" fontId="7" fillId="0" borderId="37" xfId="0" applyNumberFormat="1" applyFont="1" applyFill="1" applyBorder="1" applyAlignment="1">
      <alignment horizontal="centerContinuous" vertical="center"/>
    </xf>
    <xf numFmtId="178" fontId="7" fillId="0" borderId="38" xfId="0" applyNumberFormat="1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6" fillId="0" borderId="22" xfId="0" applyNumberFormat="1" applyFont="1" applyFill="1" applyBorder="1"/>
    <xf numFmtId="164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left" vertical="center"/>
    </xf>
    <xf numFmtId="164" fontId="7" fillId="0" borderId="39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7" fillId="0" borderId="0" xfId="0" applyFont="1" applyFill="1"/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10" fontId="7" fillId="0" borderId="41" xfId="0" applyNumberFormat="1" applyFont="1" applyFill="1" applyBorder="1" applyAlignment="1">
      <alignment horizontal="center"/>
    </xf>
    <xf numFmtId="10" fontId="7" fillId="0" borderId="42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10" fontId="7" fillId="0" borderId="32" xfId="0" applyNumberFormat="1" applyFont="1" applyFill="1" applyBorder="1" applyAlignment="1">
      <alignment horizontal="center"/>
    </xf>
    <xf numFmtId="10" fontId="7" fillId="0" borderId="47" xfId="0" applyNumberFormat="1" applyFont="1" applyFill="1" applyBorder="1" applyAlignment="1">
      <alignment horizontal="center"/>
    </xf>
    <xf numFmtId="10" fontId="0" fillId="0" borderId="0" xfId="0" applyNumberFormat="1" applyFill="1"/>
    <xf numFmtId="41" fontId="0" fillId="0" borderId="0" xfId="0" applyNumberFormat="1" applyFill="1"/>
    <xf numFmtId="0" fontId="0" fillId="0" borderId="0" xfId="0" applyFill="1" applyAlignment="1">
      <alignment horizontal="center"/>
    </xf>
    <xf numFmtId="164" fontId="2" fillId="0" borderId="0" xfId="105" applyNumberFormat="1" applyFill="1" applyBorder="1"/>
    <xf numFmtId="43" fontId="0" fillId="0" borderId="0" xfId="0" applyNumberFormat="1" applyFill="1"/>
    <xf numFmtId="0" fontId="0" fillId="0" borderId="24" xfId="0" applyFill="1" applyBorder="1"/>
    <xf numFmtId="0" fontId="0" fillId="0" borderId="20" xfId="0" applyFill="1" applyBorder="1"/>
    <xf numFmtId="164" fontId="2" fillId="0" borderId="20" xfId="105" applyNumberFormat="1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8" fillId="0" borderId="0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/>
    <xf numFmtId="0" fontId="6" fillId="0" borderId="0" xfId="0" applyFont="1" applyFill="1" applyBorder="1" applyAlignment="1"/>
    <xf numFmtId="0" fontId="6" fillId="0" borderId="22" xfId="0" applyFont="1" applyFill="1" applyBorder="1" applyAlignment="1"/>
    <xf numFmtId="0" fontId="6" fillId="0" borderId="19" xfId="0" applyFont="1" applyFill="1" applyBorder="1"/>
    <xf numFmtId="0" fontId="7" fillId="0" borderId="0" xfId="0" applyFont="1" applyFill="1" applyAlignment="1"/>
    <xf numFmtId="43" fontId="67" fillId="0" borderId="0" xfId="197" applyNumberFormat="1" applyFill="1" applyBorder="1" applyAlignment="1">
      <alignment vertical="top"/>
    </xf>
    <xf numFmtId="0" fontId="40" fillId="0" borderId="19" xfId="197" applyFont="1" applyFill="1" applyBorder="1" applyAlignment="1">
      <alignment vertical="top"/>
    </xf>
    <xf numFmtId="0" fontId="87" fillId="0" borderId="19" xfId="0" applyFont="1" applyFill="1" applyBorder="1"/>
    <xf numFmtId="43" fontId="0" fillId="0" borderId="0" xfId="105" applyFont="1" applyFill="1"/>
    <xf numFmtId="164" fontId="0" fillId="0" borderId="0" xfId="105" applyNumberFormat="1" applyFont="1" applyBorder="1"/>
    <xf numFmtId="164" fontId="66" fillId="0" borderId="0" xfId="105" applyNumberFormat="1" applyFont="1" applyBorder="1"/>
    <xf numFmtId="0" fontId="67" fillId="0" borderId="49" xfId="197" applyFill="1" applyBorder="1" applyAlignment="1">
      <alignment vertical="top"/>
    </xf>
    <xf numFmtId="164" fontId="3" fillId="0" borderId="0" xfId="105" applyNumberFormat="1" applyFont="1" applyFill="1" applyAlignment="1"/>
    <xf numFmtId="165" fontId="62" fillId="0" borderId="18" xfId="226" applyNumberFormat="1" applyFont="1" applyFill="1" applyBorder="1" applyAlignment="1">
      <alignment vertical="top"/>
    </xf>
    <xf numFmtId="0" fontId="67" fillId="0" borderId="18" xfId="197" applyFill="1" applyBorder="1" applyAlignment="1">
      <alignment vertical="top"/>
    </xf>
    <xf numFmtId="0" fontId="89" fillId="0" borderId="0" xfId="197" applyFont="1" applyFill="1" applyBorder="1" applyAlignment="1">
      <alignment vertical="top"/>
    </xf>
    <xf numFmtId="164" fontId="7" fillId="0" borderId="0" xfId="105" applyNumberFormat="1" applyFont="1"/>
    <xf numFmtId="0" fontId="88" fillId="0" borderId="0" xfId="0" applyFont="1"/>
    <xf numFmtId="41" fontId="2" fillId="0" borderId="0" xfId="105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42" fontId="7" fillId="0" borderId="9" xfId="105" applyNumberFormat="1" applyFont="1" applyFill="1" applyBorder="1" applyAlignment="1">
      <alignment horizontal="center"/>
    </xf>
    <xf numFmtId="164" fontId="2" fillId="0" borderId="0" xfId="105" applyNumberFormat="1" applyFill="1" applyBorder="1" applyAlignment="1">
      <alignment horizontal="center"/>
    </xf>
    <xf numFmtId="10" fontId="0" fillId="0" borderId="0" xfId="0" applyNumberFormat="1" applyFill="1" applyBorder="1"/>
    <xf numFmtId="10" fontId="0" fillId="0" borderId="22" xfId="0" applyNumberFormat="1" applyFill="1" applyBorder="1"/>
    <xf numFmtId="164" fontId="2" fillId="0" borderId="3" xfId="105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0" fontId="0" fillId="0" borderId="3" xfId="0" applyNumberFormat="1" applyFill="1" applyBorder="1"/>
    <xf numFmtId="10" fontId="0" fillId="0" borderId="25" xfId="0" applyNumberFormat="1" applyFill="1" applyBorder="1"/>
    <xf numFmtId="0" fontId="82" fillId="0" borderId="0" xfId="203" applyFont="1" applyFill="1"/>
    <xf numFmtId="0" fontId="67" fillId="0" borderId="0" xfId="203" applyFill="1"/>
    <xf numFmtId="0" fontId="90" fillId="0" borderId="24" xfId="203" applyFont="1" applyFill="1" applyBorder="1"/>
    <xf numFmtId="0" fontId="91" fillId="0" borderId="20" xfId="176" applyFont="1" applyFill="1" applyBorder="1" applyAlignment="1">
      <alignment horizontal="center"/>
    </xf>
    <xf numFmtId="17" fontId="92" fillId="0" borderId="20" xfId="180" applyNumberFormat="1" applyFont="1" applyFill="1" applyBorder="1"/>
    <xf numFmtId="17" fontId="92" fillId="0" borderId="21" xfId="180" applyNumberFormat="1" applyFont="1" applyFill="1" applyBorder="1"/>
    <xf numFmtId="164" fontId="67" fillId="0" borderId="0" xfId="105" applyNumberFormat="1" applyFont="1" applyFill="1" applyBorder="1"/>
    <xf numFmtId="164" fontId="87" fillId="0" borderId="0" xfId="105" applyNumberFormat="1" applyFont="1" applyFill="1" applyBorder="1"/>
    <xf numFmtId="164" fontId="87" fillId="0" borderId="0" xfId="108" applyNumberFormat="1" applyFont="1" applyFill="1" applyBorder="1"/>
    <xf numFmtId="164" fontId="87" fillId="0" borderId="22" xfId="105" applyNumberFormat="1" applyFont="1" applyFill="1" applyBorder="1"/>
    <xf numFmtId="164" fontId="87" fillId="0" borderId="22" xfId="108" applyNumberFormat="1" applyFont="1" applyFill="1" applyBorder="1"/>
    <xf numFmtId="164" fontId="67" fillId="0" borderId="10" xfId="105" applyNumberFormat="1" applyFont="1" applyFill="1" applyBorder="1"/>
    <xf numFmtId="164" fontId="87" fillId="0" borderId="10" xfId="108" applyNumberFormat="1" applyFont="1" applyFill="1" applyBorder="1"/>
    <xf numFmtId="164" fontId="87" fillId="0" borderId="33" xfId="105" applyNumberFormat="1" applyFont="1" applyFill="1" applyBorder="1"/>
    <xf numFmtId="0" fontId="67" fillId="0" borderId="23" xfId="204" applyFont="1" applyFill="1" applyBorder="1"/>
    <xf numFmtId="164" fontId="67" fillId="0" borderId="3" xfId="105" applyNumberFormat="1" applyFont="1" applyFill="1" applyBorder="1"/>
    <xf numFmtId="164" fontId="87" fillId="0" borderId="3" xfId="0" applyNumberFormat="1" applyFont="1" applyFill="1" applyBorder="1"/>
    <xf numFmtId="164" fontId="87" fillId="0" borderId="25" xfId="0" applyNumberFormat="1" applyFont="1" applyFill="1" applyBorder="1"/>
    <xf numFmtId="164" fontId="87" fillId="0" borderId="10" xfId="105" applyNumberFormat="1" applyFont="1" applyFill="1" applyBorder="1"/>
    <xf numFmtId="0" fontId="67" fillId="0" borderId="19" xfId="204" applyFont="1" applyFill="1" applyBorder="1"/>
    <xf numFmtId="0" fontId="82" fillId="0" borderId="19" xfId="203" applyFont="1" applyFill="1" applyBorder="1"/>
    <xf numFmtId="164" fontId="82" fillId="0" borderId="9" xfId="105" applyNumberFormat="1" applyFont="1" applyFill="1" applyBorder="1"/>
    <xf numFmtId="164" fontId="82" fillId="0" borderId="34" xfId="105" applyNumberFormat="1" applyFont="1" applyFill="1" applyBorder="1"/>
    <xf numFmtId="43" fontId="7" fillId="0" borderId="0" xfId="105" applyFont="1" applyFill="1"/>
    <xf numFmtId="0" fontId="7" fillId="0" borderId="0" xfId="309" applyFont="1" applyAlignment="1"/>
    <xf numFmtId="0" fontId="2" fillId="0" borderId="0" xfId="309"/>
    <xf numFmtId="0" fontId="36" fillId="0" borderId="0" xfId="309" applyFont="1" applyAlignment="1">
      <alignment horizontal="center"/>
    </xf>
    <xf numFmtId="0" fontId="2" fillId="0" borderId="0" xfId="309" applyFont="1"/>
    <xf numFmtId="9" fontId="85" fillId="0" borderId="0" xfId="309" applyNumberFormat="1" applyFont="1" applyAlignment="1">
      <alignment horizontal="center"/>
    </xf>
    <xf numFmtId="0" fontId="2" fillId="0" borderId="24" xfId="309" applyBorder="1"/>
    <xf numFmtId="164" fontId="2" fillId="0" borderId="20" xfId="105" applyNumberFormat="1" applyFont="1" applyBorder="1"/>
    <xf numFmtId="164" fontId="2" fillId="0" borderId="21" xfId="105" applyNumberFormat="1" applyFont="1" applyBorder="1"/>
    <xf numFmtId="0" fontId="2" fillId="0" borderId="19" xfId="309" applyBorder="1"/>
    <xf numFmtId="164" fontId="2" fillId="0" borderId="0" xfId="309" applyNumberFormat="1" applyFont="1" applyBorder="1"/>
    <xf numFmtId="164" fontId="2" fillId="0" borderId="22" xfId="309" applyNumberFormat="1" applyFont="1" applyBorder="1"/>
    <xf numFmtId="0" fontId="7" fillId="0" borderId="23" xfId="309" applyFont="1" applyFill="1" applyBorder="1"/>
    <xf numFmtId="164" fontId="7" fillId="0" borderId="3" xfId="309" applyNumberFormat="1" applyFont="1" applyBorder="1"/>
    <xf numFmtId="164" fontId="7" fillId="0" borderId="25" xfId="309" applyNumberFormat="1" applyFont="1" applyBorder="1"/>
    <xf numFmtId="164" fontId="7" fillId="0" borderId="17" xfId="309" applyNumberFormat="1" applyFont="1" applyBorder="1"/>
    <xf numFmtId="0" fontId="2" fillId="69" borderId="0" xfId="309" applyFill="1"/>
    <xf numFmtId="43" fontId="2" fillId="0" borderId="0" xfId="309" applyNumberFormat="1"/>
    <xf numFmtId="0" fontId="2" fillId="0" borderId="0" xfId="0" applyFont="1" applyFill="1"/>
    <xf numFmtId="18" fontId="4" fillId="0" borderId="0" xfId="0" quotePrefix="1" applyNumberFormat="1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84" fillId="0" borderId="0" xfId="0" applyFont="1" applyFill="1"/>
    <xf numFmtId="177" fontId="4" fillId="0" borderId="0" xfId="294" applyNumberFormat="1" applyFont="1" applyFill="1" applyBorder="1" applyAlignment="1">
      <alignment horizontal="right"/>
    </xf>
    <xf numFmtId="177" fontId="4" fillId="0" borderId="0" xfId="294" applyNumberFormat="1" applyFont="1" applyFill="1" applyBorder="1" applyAlignment="1"/>
    <xf numFmtId="41" fontId="39" fillId="0" borderId="18" xfId="197" applyNumberFormat="1" applyFont="1" applyFill="1" applyBorder="1" applyAlignment="1">
      <alignment horizontal="right" vertical="top"/>
    </xf>
    <xf numFmtId="41" fontId="39" fillId="0" borderId="18" xfId="197" applyNumberFormat="1" applyFont="1" applyFill="1" applyBorder="1" applyAlignment="1">
      <alignment vertical="top"/>
    </xf>
    <xf numFmtId="164" fontId="67" fillId="0" borderId="18" xfId="105" applyNumberFormat="1" applyFont="1" applyFill="1" applyBorder="1" applyAlignment="1">
      <alignment vertical="top"/>
    </xf>
    <xf numFmtId="0" fontId="67" fillId="0" borderId="18" xfId="204" applyFont="1" applyFill="1" applyBorder="1"/>
    <xf numFmtId="164" fontId="67" fillId="0" borderId="19" xfId="105" applyNumberFormat="1" applyFont="1" applyFill="1" applyBorder="1"/>
    <xf numFmtId="164" fontId="87" fillId="0" borderId="0" xfId="0" applyNumberFormat="1" applyFont="1" applyFill="1" applyBorder="1"/>
    <xf numFmtId="164" fontId="87" fillId="0" borderId="22" xfId="0" applyNumberFormat="1" applyFont="1" applyFill="1" applyBorder="1"/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7" fillId="71" borderId="17" xfId="105" applyNumberFormat="1" applyFont="1" applyFill="1" applyBorder="1"/>
    <xf numFmtId="0" fontId="93" fillId="0" borderId="0" xfId="0" applyFont="1" applyFill="1"/>
    <xf numFmtId="41" fontId="67" fillId="0" borderId="0" xfId="197" applyNumberFormat="1" applyBorder="1" applyAlignment="1">
      <alignment vertical="top"/>
    </xf>
    <xf numFmtId="0" fontId="94" fillId="0" borderId="19" xfId="197" applyFont="1" applyFill="1" applyBorder="1" applyAlignment="1">
      <alignment vertical="top"/>
    </xf>
    <xf numFmtId="41" fontId="95" fillId="0" borderId="18" xfId="197" applyNumberFormat="1" applyFont="1" applyFill="1" applyBorder="1" applyAlignment="1">
      <alignment horizontal="center" vertical="top"/>
    </xf>
    <xf numFmtId="41" fontId="38" fillId="70" borderId="29" xfId="197" applyNumberFormat="1" applyFont="1" applyFill="1" applyBorder="1" applyAlignment="1">
      <alignment vertical="top"/>
    </xf>
    <xf numFmtId="41" fontId="96" fillId="0" borderId="18" xfId="197" applyNumberFormat="1" applyFont="1" applyFill="1" applyBorder="1" applyAlignment="1">
      <alignment horizontal="center" vertical="top"/>
    </xf>
    <xf numFmtId="0" fontId="98" fillId="0" borderId="0" xfId="309" applyFont="1"/>
    <xf numFmtId="41" fontId="98" fillId="0" borderId="0" xfId="309" applyNumberFormat="1" applyFont="1"/>
    <xf numFmtId="0" fontId="98" fillId="0" borderId="0" xfId="309" applyFont="1" applyAlignment="1">
      <alignment horizontal="center"/>
    </xf>
    <xf numFmtId="0" fontId="83" fillId="0" borderId="0" xfId="197" applyFont="1" applyFill="1" applyBorder="1" applyAlignment="1">
      <alignment vertical="top"/>
    </xf>
    <xf numFmtId="2" fontId="83" fillId="0" borderId="29" xfId="197" applyNumberFormat="1" applyFont="1" applyFill="1" applyBorder="1" applyAlignment="1">
      <alignment vertical="top"/>
    </xf>
    <xf numFmtId="2" fontId="99" fillId="0" borderId="59" xfId="132" applyNumberFormat="1" applyFont="1" applyFill="1" applyBorder="1" applyAlignment="1">
      <alignment horizontal="right" vertical="top"/>
    </xf>
    <xf numFmtId="0" fontId="100" fillId="0" borderId="19" xfId="197" applyFont="1" applyFill="1" applyBorder="1" applyAlignment="1">
      <alignment vertical="top"/>
    </xf>
    <xf numFmtId="0" fontId="101" fillId="0" borderId="19" xfId="197" applyFont="1" applyFill="1" applyBorder="1" applyAlignment="1">
      <alignment vertical="top"/>
    </xf>
    <xf numFmtId="164" fontId="7" fillId="0" borderId="22" xfId="0" applyNumberFormat="1" applyFont="1" applyFill="1" applyBorder="1" applyAlignment="1">
      <alignment horizontal="centerContinuous" vertical="center"/>
    </xf>
    <xf numFmtId="166" fontId="2" fillId="0" borderId="0" xfId="309" applyNumberFormat="1"/>
    <xf numFmtId="0" fontId="36" fillId="0" borderId="0" xfId="309" applyFont="1"/>
    <xf numFmtId="164" fontId="2" fillId="0" borderId="0" xfId="105" applyNumberFormat="1"/>
    <xf numFmtId="164" fontId="66" fillId="0" borderId="0" xfId="105" applyNumberFormat="1" applyFont="1"/>
    <xf numFmtId="164" fontId="2" fillId="0" borderId="0" xfId="309" applyNumberFormat="1"/>
    <xf numFmtId="9" fontId="102" fillId="0" borderId="0" xfId="309" applyNumberFormat="1" applyFont="1" applyAlignment="1">
      <alignment horizontal="center"/>
    </xf>
    <xf numFmtId="164" fontId="103" fillId="0" borderId="0" xfId="309" applyNumberFormat="1" applyFont="1"/>
    <xf numFmtId="0" fontId="7" fillId="0" borderId="0" xfId="309" applyFont="1"/>
    <xf numFmtId="0" fontId="64" fillId="0" borderId="0" xfId="312" applyFont="1" applyAlignment="1">
      <alignment vertical="top"/>
    </xf>
    <xf numFmtId="0" fontId="2" fillId="0" borderId="0" xfId="312" applyAlignment="1">
      <alignment vertical="top"/>
    </xf>
    <xf numFmtId="0" fontId="7" fillId="0" borderId="2" xfId="312" applyFont="1" applyBorder="1" applyAlignment="1">
      <alignment vertical="top"/>
    </xf>
    <xf numFmtId="166" fontId="7" fillId="72" borderId="2" xfId="312" applyNumberFormat="1" applyFont="1" applyFill="1" applyBorder="1" applyAlignment="1">
      <alignment horizontal="center" vertical="top"/>
    </xf>
    <xf numFmtId="0" fontId="2" fillId="0" borderId="0" xfId="312" applyFont="1" applyAlignment="1">
      <alignment vertical="top"/>
    </xf>
    <xf numFmtId="0" fontId="8" fillId="0" borderId="0" xfId="312" applyFont="1" applyAlignment="1">
      <alignment vertical="top"/>
    </xf>
    <xf numFmtId="0" fontId="7" fillId="0" borderId="0" xfId="312" applyFont="1" applyAlignment="1">
      <alignment vertical="top"/>
    </xf>
    <xf numFmtId="43" fontId="7" fillId="72" borderId="9" xfId="312" applyNumberFormat="1" applyFont="1" applyFill="1" applyBorder="1" applyAlignment="1">
      <alignment vertical="top"/>
    </xf>
    <xf numFmtId="43" fontId="0" fillId="0" borderId="0" xfId="313" applyFont="1" applyFill="1" applyAlignment="1">
      <alignment vertical="top"/>
    </xf>
    <xf numFmtId="0" fontId="2" fillId="0" borderId="0" xfId="312" quotePrefix="1" applyFont="1" applyAlignment="1">
      <alignment vertical="top"/>
    </xf>
    <xf numFmtId="43" fontId="7" fillId="0" borderId="0" xfId="313" applyFont="1" applyFill="1" applyAlignment="1">
      <alignment vertical="top"/>
    </xf>
    <xf numFmtId="43" fontId="7" fillId="0" borderId="0" xfId="312" applyNumberFormat="1" applyFont="1" applyFill="1" applyAlignment="1">
      <alignment vertical="top"/>
    </xf>
    <xf numFmtId="43" fontId="7" fillId="0" borderId="0" xfId="313" applyFont="1" applyFill="1" applyBorder="1" applyAlignment="1">
      <alignment vertical="top"/>
    </xf>
    <xf numFmtId="43" fontId="2" fillId="0" borderId="0" xfId="312" applyNumberFormat="1" applyFill="1" applyAlignment="1">
      <alignment vertical="top"/>
    </xf>
    <xf numFmtId="43" fontId="7" fillId="0" borderId="2" xfId="313" applyFont="1" applyFill="1" applyBorder="1" applyAlignment="1">
      <alignment vertical="top"/>
    </xf>
    <xf numFmtId="0" fontId="2" fillId="0" borderId="0" xfId="312" applyFill="1" applyAlignment="1">
      <alignment vertical="top"/>
    </xf>
    <xf numFmtId="164" fontId="2" fillId="0" borderId="0" xfId="105" applyNumberFormat="1" applyAlignment="1">
      <alignment vertical="top"/>
    </xf>
    <xf numFmtId="0" fontId="2" fillId="0" borderId="10" xfId="312" applyBorder="1" applyAlignment="1">
      <alignment vertical="top"/>
    </xf>
    <xf numFmtId="0" fontId="2" fillId="0" borderId="0" xfId="312" applyBorder="1" applyAlignment="1">
      <alignment vertical="top"/>
    </xf>
    <xf numFmtId="0" fontId="2" fillId="69" borderId="0" xfId="312" applyFill="1" applyAlignment="1">
      <alignment vertical="top"/>
    </xf>
    <xf numFmtId="164" fontId="2" fillId="0" borderId="10" xfId="105" applyNumberFormat="1" applyBorder="1" applyAlignment="1">
      <alignment vertical="top"/>
    </xf>
    <xf numFmtId="164" fontId="103" fillId="0" borderId="0" xfId="105" applyNumberFormat="1" applyFont="1" applyAlignment="1">
      <alignment vertical="top"/>
    </xf>
    <xf numFmtId="0" fontId="7" fillId="0" borderId="0" xfId="312" quotePrefix="1" applyFont="1" applyAlignment="1">
      <alignment vertical="top"/>
    </xf>
    <xf numFmtId="0" fontId="7" fillId="0" borderId="0" xfId="312" applyFont="1" applyFill="1" applyAlignment="1">
      <alignment vertical="top"/>
    </xf>
    <xf numFmtId="0" fontId="89" fillId="0" borderId="0" xfId="0" applyFont="1"/>
    <xf numFmtId="0" fontId="67" fillId="0" borderId="19" xfId="204" applyFill="1" applyBorder="1"/>
    <xf numFmtId="0" fontId="2" fillId="0" borderId="10" xfId="312" applyBorder="1" applyAlignment="1">
      <alignment horizontal="center" vertical="top"/>
    </xf>
    <xf numFmtId="0" fontId="2" fillId="0" borderId="10" xfId="312" applyBorder="1" applyAlignment="1">
      <alignment horizontal="right" vertical="top"/>
    </xf>
    <xf numFmtId="41" fontId="7" fillId="72" borderId="9" xfId="312" applyNumberFormat="1" applyFont="1" applyFill="1" applyBorder="1" applyAlignment="1">
      <alignment vertical="top"/>
    </xf>
    <xf numFmtId="9" fontId="2" fillId="0" borderId="0" xfId="309" applyNumberFormat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10" fontId="6" fillId="0" borderId="10" xfId="219" applyNumberFormat="1" applyFont="1" applyBorder="1" applyAlignment="1">
      <alignment horizontal="center"/>
    </xf>
    <xf numFmtId="0" fontId="6" fillId="0" borderId="0" xfId="0" applyFont="1" applyFill="1" applyAlignment="1"/>
    <xf numFmtId="41" fontId="6" fillId="0" borderId="11" xfId="0" applyNumberFormat="1" applyFont="1" applyFill="1" applyBorder="1" applyAlignment="1">
      <alignment vertical="center"/>
    </xf>
    <xf numFmtId="41" fontId="6" fillId="0" borderId="31" xfId="0" applyNumberFormat="1" applyFont="1" applyFill="1" applyBorder="1" applyAlignment="1">
      <alignment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84" fillId="0" borderId="0" xfId="105" applyNumberFormat="1" applyFont="1" applyFill="1" applyBorder="1" applyAlignment="1">
      <alignment horizontal="center"/>
    </xf>
    <xf numFmtId="10" fontId="86" fillId="0" borderId="3" xfId="219" applyNumberFormat="1" applyFont="1" applyFill="1" applyBorder="1" applyAlignment="1">
      <alignment horizontal="right" vertical="center"/>
    </xf>
    <xf numFmtId="10" fontId="86" fillId="0" borderId="25" xfId="219" applyNumberFormat="1" applyFont="1" applyFill="1" applyBorder="1" applyAlignment="1">
      <alignment horizontal="right" vertical="center"/>
    </xf>
    <xf numFmtId="10" fontId="86" fillId="0" borderId="0" xfId="219" applyNumberFormat="1" applyFont="1" applyFill="1" applyBorder="1" applyAlignment="1">
      <alignment horizontal="center" vertical="center"/>
    </xf>
    <xf numFmtId="10" fontId="86" fillId="0" borderId="22" xfId="0" applyNumberFormat="1" applyFont="1" applyFill="1" applyBorder="1" applyAlignment="1">
      <alignment horizontal="center" vertical="center"/>
    </xf>
    <xf numFmtId="10" fontId="86" fillId="0" borderId="0" xfId="219" applyNumberFormat="1" applyFont="1" applyFill="1" applyBorder="1" applyAlignment="1">
      <alignment horizontal="right" vertical="center"/>
    </xf>
    <xf numFmtId="10" fontId="86" fillId="0" borderId="22" xfId="219" applyNumberFormat="1" applyFont="1" applyFill="1" applyBorder="1" applyAlignment="1">
      <alignment horizontal="right" vertical="center"/>
    </xf>
    <xf numFmtId="10" fontId="86" fillId="0" borderId="15" xfId="219" applyNumberFormat="1" applyFont="1" applyFill="1" applyBorder="1" applyAlignment="1">
      <alignment horizontal="right" vertical="center"/>
    </xf>
    <xf numFmtId="10" fontId="86" fillId="0" borderId="11" xfId="219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64" fontId="63" fillId="0" borderId="0" xfId="105" applyNumberFormat="1" applyFont="1" applyFill="1" applyBorder="1"/>
    <xf numFmtId="41" fontId="38" fillId="0" borderId="18" xfId="197" applyNumberFormat="1" applyFont="1" applyFill="1" applyBorder="1" applyAlignment="1">
      <alignment vertical="top"/>
    </xf>
    <xf numFmtId="41" fontId="39" fillId="0" borderId="61" xfId="197" applyNumberFormat="1" applyFont="1" applyFill="1" applyBorder="1" applyAlignment="1">
      <alignment vertical="top"/>
    </xf>
    <xf numFmtId="41" fontId="38" fillId="0" borderId="60" xfId="197" applyNumberFormat="1" applyFont="1" applyFill="1" applyBorder="1" applyAlignment="1">
      <alignment vertical="top"/>
    </xf>
    <xf numFmtId="164" fontId="7" fillId="0" borderId="9" xfId="105" applyNumberFormat="1" applyFont="1" applyBorder="1"/>
    <xf numFmtId="0" fontId="6" fillId="0" borderId="26" xfId="0" applyFont="1" applyBorder="1" applyAlignment="1">
      <alignment horizontal="centerContinuous" vertical="center"/>
    </xf>
    <xf numFmtId="0" fontId="6" fillId="0" borderId="28" xfId="0" applyFont="1" applyBorder="1" applyAlignment="1">
      <alignment horizontal="centerContinuous" vertical="center"/>
    </xf>
    <xf numFmtId="0" fontId="6" fillId="0" borderId="19" xfId="0" applyFont="1" applyFill="1" applyBorder="1" applyAlignment="1">
      <alignment horizontal="centerContinuous" vertical="center"/>
    </xf>
    <xf numFmtId="0" fontId="6" fillId="0" borderId="22" xfId="0" applyFont="1" applyFill="1" applyBorder="1" applyAlignment="1">
      <alignment horizontal="centerContinuous" vertical="center"/>
    </xf>
    <xf numFmtId="0" fontId="6" fillId="0" borderId="36" xfId="0" applyFont="1" applyBorder="1"/>
    <xf numFmtId="10" fontId="6" fillId="0" borderId="33" xfId="219" applyNumberFormat="1" applyFont="1" applyBorder="1" applyAlignment="1">
      <alignment horizontal="center"/>
    </xf>
    <xf numFmtId="42" fontId="6" fillId="0" borderId="19" xfId="0" applyNumberFormat="1" applyFont="1" applyFill="1" applyBorder="1" applyAlignment="1">
      <alignment vertical="center"/>
    </xf>
    <xf numFmtId="42" fontId="6" fillId="0" borderId="22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6" fillId="0" borderId="22" xfId="0" applyNumberFormat="1" applyFont="1" applyFill="1" applyBorder="1" applyAlignment="1">
      <alignment vertical="center"/>
    </xf>
    <xf numFmtId="41" fontId="6" fillId="0" borderId="62" xfId="0" applyNumberFormat="1" applyFont="1" applyFill="1" applyBorder="1" applyAlignment="1">
      <alignment vertical="center"/>
    </xf>
    <xf numFmtId="41" fontId="6" fillId="0" borderId="34" xfId="0" applyNumberFormat="1" applyFont="1" applyFill="1" applyBorder="1" applyAlignment="1">
      <alignment vertical="center"/>
    </xf>
    <xf numFmtId="10" fontId="86" fillId="0" borderId="63" xfId="219" applyNumberFormat="1" applyFont="1" applyFill="1" applyBorder="1" applyAlignment="1">
      <alignment horizontal="right" vertical="center"/>
    </xf>
    <xf numFmtId="183" fontId="104" fillId="0" borderId="19" xfId="0" applyNumberFormat="1" applyFont="1" applyFill="1" applyBorder="1" applyAlignment="1">
      <alignment vertical="center"/>
    </xf>
    <xf numFmtId="183" fontId="104" fillId="0" borderId="0" xfId="0" applyNumberFormat="1" applyFont="1" applyFill="1" applyBorder="1" applyAlignment="1">
      <alignment vertical="center"/>
    </xf>
    <xf numFmtId="183" fontId="104" fillId="0" borderId="22" xfId="0" applyNumberFormat="1" applyFont="1" applyFill="1" applyBorder="1" applyAlignment="1">
      <alignment vertical="center"/>
    </xf>
    <xf numFmtId="0" fontId="6" fillId="0" borderId="36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41" fontId="6" fillId="0" borderId="64" xfId="0" applyNumberFormat="1" applyFont="1" applyFill="1" applyBorder="1" applyAlignment="1">
      <alignment vertical="center"/>
    </xf>
    <xf numFmtId="41" fontId="6" fillId="0" borderId="30" xfId="0" applyNumberFormat="1" applyFont="1" applyFill="1" applyBorder="1" applyAlignment="1">
      <alignment vertical="center"/>
    </xf>
    <xf numFmtId="10" fontId="6" fillId="0" borderId="19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10" fontId="6" fillId="0" borderId="22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10" fontId="86" fillId="0" borderId="30" xfId="219" applyNumberFormat="1" applyFont="1" applyFill="1" applyBorder="1" applyAlignment="1">
      <alignment horizontal="right" vertical="center"/>
    </xf>
    <xf numFmtId="41" fontId="6" fillId="0" borderId="65" xfId="0" applyNumberFormat="1" applyFont="1" applyFill="1" applyBorder="1" applyAlignment="1">
      <alignment vertical="center"/>
    </xf>
    <xf numFmtId="41" fontId="6" fillId="0" borderId="66" xfId="0" applyNumberFormat="1" applyFont="1" applyFill="1" applyBorder="1" applyAlignment="1">
      <alignment vertical="center"/>
    </xf>
    <xf numFmtId="183" fontId="104" fillId="0" borderId="23" xfId="0" applyNumberFormat="1" applyFont="1" applyFill="1" applyBorder="1" applyAlignment="1">
      <alignment vertical="center"/>
    </xf>
    <xf numFmtId="183" fontId="104" fillId="0" borderId="3" xfId="0" applyNumberFormat="1" applyFont="1" applyFill="1" applyBorder="1" applyAlignment="1">
      <alignment vertical="center"/>
    </xf>
    <xf numFmtId="183" fontId="104" fillId="0" borderId="25" xfId="0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41" fontId="0" fillId="0" borderId="0" xfId="0" applyNumberFormat="1"/>
    <xf numFmtId="0" fontId="104" fillId="0" borderId="0" xfId="0" applyFont="1"/>
    <xf numFmtId="164" fontId="104" fillId="0" borderId="0" xfId="0" applyNumberFormat="1" applyFont="1"/>
    <xf numFmtId="0" fontId="2" fillId="0" borderId="0" xfId="0" applyFont="1"/>
    <xf numFmtId="0" fontId="7" fillId="0" borderId="19" xfId="0" applyFont="1" applyFill="1" applyBorder="1" applyAlignment="1">
      <alignment horizontal="centerContinuous" vertical="center"/>
    </xf>
    <xf numFmtId="0" fontId="7" fillId="0" borderId="22" xfId="0" applyFont="1" applyFill="1" applyBorder="1" applyAlignment="1">
      <alignment horizontal="centerContinuous" vertical="center"/>
    </xf>
    <xf numFmtId="10" fontId="7" fillId="0" borderId="10" xfId="219" applyNumberFormat="1" applyFont="1" applyBorder="1" applyAlignment="1">
      <alignment horizontal="center"/>
    </xf>
    <xf numFmtId="10" fontId="7" fillId="0" borderId="33" xfId="219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Continuous" vertical="center"/>
    </xf>
    <xf numFmtId="0" fontId="67" fillId="0" borderId="0" xfId="204" applyFill="1" applyBorder="1"/>
    <xf numFmtId="164" fontId="2" fillId="0" borderId="0" xfId="0" applyNumberFormat="1" applyFont="1" applyFill="1" applyBorder="1" applyAlignment="1">
      <alignment horizontal="centerContinuous" vertical="center"/>
    </xf>
    <xf numFmtId="164" fontId="2" fillId="0" borderId="10" xfId="0" applyNumberFormat="1" applyFont="1" applyFill="1" applyBorder="1" applyAlignment="1">
      <alignment horizontal="centerContinuous" vertical="center"/>
    </xf>
    <xf numFmtId="164" fontId="7" fillId="0" borderId="33" xfId="0" applyNumberFormat="1" applyFont="1" applyFill="1" applyBorder="1" applyAlignment="1">
      <alignment horizontal="center" vertical="center"/>
    </xf>
    <xf numFmtId="41" fontId="39" fillId="0" borderId="60" xfId="197" applyNumberFormat="1" applyFont="1" applyFill="1" applyBorder="1" applyAlignment="1">
      <alignment vertical="top"/>
    </xf>
    <xf numFmtId="0" fontId="7" fillId="0" borderId="36" xfId="0" applyFont="1" applyFill="1" applyBorder="1"/>
    <xf numFmtId="0" fontId="6" fillId="0" borderId="36" xfId="0" applyFont="1" applyFill="1" applyBorder="1"/>
    <xf numFmtId="0" fontId="5" fillId="0" borderId="1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0" fillId="0" borderId="19" xfId="0" applyBorder="1"/>
    <xf numFmtId="0" fontId="0" fillId="0" borderId="0" xfId="0" applyBorder="1"/>
    <xf numFmtId="0" fontId="0" fillId="0" borderId="22" xfId="0" applyBorder="1"/>
    <xf numFmtId="0" fontId="6" fillId="0" borderId="23" xfId="0" applyFont="1" applyFill="1" applyBorder="1" applyAlignment="1">
      <alignment vertical="center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164" fontId="47" fillId="0" borderId="0" xfId="105" applyNumberFormat="1" applyFont="1" applyFill="1" applyBorder="1"/>
    <xf numFmtId="41" fontId="38" fillId="0" borderId="48" xfId="197" applyNumberFormat="1" applyFont="1" applyFill="1" applyBorder="1" applyAlignment="1">
      <alignment vertical="top"/>
    </xf>
    <xf numFmtId="0" fontId="88" fillId="0" borderId="19" xfId="0" applyFont="1" applyFill="1" applyBorder="1" applyAlignment="1">
      <alignment horizontal="left" vertical="center"/>
    </xf>
    <xf numFmtId="10" fontId="7" fillId="0" borderId="0" xfId="0" applyNumberFormat="1" applyFont="1" applyFill="1"/>
    <xf numFmtId="10" fontId="86" fillId="0" borderId="10" xfId="0" applyNumberFormat="1" applyFont="1" applyFill="1" applyBorder="1" applyAlignment="1">
      <alignment horizontal="center" vertical="center"/>
    </xf>
    <xf numFmtId="10" fontId="86" fillId="0" borderId="33" xfId="0" applyNumberFormat="1" applyFont="1" applyFill="1" applyBorder="1" applyAlignment="1">
      <alignment horizontal="center" vertical="center"/>
    </xf>
    <xf numFmtId="10" fontId="6" fillId="0" borderId="10" xfId="219" applyNumberFormat="1" applyFont="1" applyFill="1" applyBorder="1" applyAlignment="1">
      <alignment horizontal="center"/>
    </xf>
    <xf numFmtId="10" fontId="6" fillId="0" borderId="33" xfId="219" applyNumberFormat="1" applyFont="1" applyFill="1" applyBorder="1" applyAlignment="1">
      <alignment horizontal="center"/>
    </xf>
    <xf numFmtId="43" fontId="7" fillId="0" borderId="2" xfId="312" applyNumberFormat="1" applyFont="1" applyFill="1" applyBorder="1" applyAlignment="1">
      <alignment vertical="top"/>
    </xf>
    <xf numFmtId="41" fontId="2" fillId="0" borderId="0" xfId="312" applyNumberFormat="1" applyFill="1" applyAlignment="1">
      <alignment vertical="top"/>
    </xf>
    <xf numFmtId="0" fontId="0" fillId="0" borderId="24" xfId="0" applyBorder="1"/>
    <xf numFmtId="42" fontId="7" fillId="0" borderId="27" xfId="0" applyNumberFormat="1" applyFont="1" applyBorder="1" applyAlignment="1">
      <alignment wrapText="1"/>
    </xf>
    <xf numFmtId="0" fontId="7" fillId="0" borderId="27" xfId="0" applyFont="1" applyBorder="1" applyAlignment="1">
      <alignment horizontal="center"/>
    </xf>
    <xf numFmtId="41" fontId="7" fillId="0" borderId="27" xfId="0" applyNumberFormat="1" applyFont="1" applyBorder="1" applyAlignment="1">
      <alignment horizontal="center"/>
    </xf>
    <xf numFmtId="0" fontId="0" fillId="0" borderId="21" xfId="0" applyBorder="1"/>
    <xf numFmtId="0" fontId="0" fillId="0" borderId="19" xfId="0" applyBorder="1" applyAlignment="1">
      <alignment horizontal="left"/>
    </xf>
    <xf numFmtId="41" fontId="0" fillId="0" borderId="0" xfId="0" applyNumberFormat="1" applyBorder="1"/>
    <xf numFmtId="164" fontId="0" fillId="0" borderId="0" xfId="0" applyNumberFormat="1" applyBorder="1"/>
    <xf numFmtId="41" fontId="2" fillId="0" borderId="0" xfId="0" applyNumberFormat="1" applyFont="1" applyBorder="1"/>
    <xf numFmtId="41" fontId="66" fillId="0" borderId="0" xfId="0" applyNumberFormat="1" applyFont="1" applyBorder="1"/>
    <xf numFmtId="164" fontId="66" fillId="0" borderId="0" xfId="0" applyNumberFormat="1" applyFont="1" applyBorder="1"/>
    <xf numFmtId="0" fontId="2" fillId="0" borderId="19" xfId="0" applyFont="1" applyBorder="1"/>
    <xf numFmtId="164" fontId="2" fillId="0" borderId="0" xfId="0" applyNumberFormat="1" applyFont="1" applyBorder="1"/>
    <xf numFmtId="164" fontId="2" fillId="0" borderId="0" xfId="105" applyNumberFormat="1" applyFont="1" applyBorder="1"/>
    <xf numFmtId="0" fontId="7" fillId="0" borderId="19" xfId="0" applyFont="1" applyBorder="1"/>
    <xf numFmtId="0" fontId="104" fillId="0" borderId="19" xfId="0" applyFont="1" applyBorder="1" applyAlignment="1">
      <alignment horizontal="right"/>
    </xf>
    <xf numFmtId="41" fontId="104" fillId="0" borderId="0" xfId="0" applyNumberFormat="1" applyFont="1" applyBorder="1"/>
    <xf numFmtId="0" fontId="0" fillId="0" borderId="23" xfId="0" applyBorder="1"/>
    <xf numFmtId="0" fontId="0" fillId="0" borderId="3" xfId="0" applyBorder="1"/>
    <xf numFmtId="0" fontId="0" fillId="0" borderId="25" xfId="0" applyBorder="1"/>
    <xf numFmtId="164" fontId="7" fillId="0" borderId="10" xfId="0" applyNumberFormat="1" applyFont="1" applyFill="1" applyBorder="1"/>
    <xf numFmtId="41" fontId="7" fillId="0" borderId="9" xfId="0" applyNumberFormat="1" applyFont="1" applyFill="1" applyBorder="1" applyAlignment="1">
      <alignment vertical="center"/>
    </xf>
    <xf numFmtId="41" fontId="0" fillId="0" borderId="22" xfId="0" applyNumberFormat="1" applyBorder="1"/>
    <xf numFmtId="43" fontId="7" fillId="73" borderId="0" xfId="312" applyNumberFormat="1" applyFont="1" applyFill="1" applyAlignment="1">
      <alignment vertical="top"/>
    </xf>
    <xf numFmtId="164" fontId="7" fillId="0" borderId="17" xfId="309" applyNumberFormat="1" applyFont="1" applyFill="1" applyBorder="1"/>
    <xf numFmtId="0" fontId="105" fillId="0" borderId="0" xfId="0" applyFont="1" applyFill="1" applyAlignment="1"/>
    <xf numFmtId="42" fontId="105" fillId="0" borderId="0" xfId="132" applyNumberFormat="1" applyFont="1" applyFill="1" applyBorder="1" applyAlignment="1"/>
    <xf numFmtId="9" fontId="3" fillId="0" borderId="0" xfId="0" applyNumberFormat="1" applyFont="1" applyFill="1" applyAlignment="1"/>
    <xf numFmtId="9" fontId="3" fillId="0" borderId="0" xfId="0" applyNumberFormat="1" applyFont="1" applyFill="1" applyAlignment="1">
      <alignment horizontal="center"/>
    </xf>
    <xf numFmtId="42" fontId="3" fillId="0" borderId="9" xfId="132" applyNumberFormat="1" applyFont="1" applyFill="1" applyBorder="1" applyAlignment="1"/>
    <xf numFmtId="0" fontId="64" fillId="0" borderId="24" xfId="0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7" fillId="0" borderId="0" xfId="309" applyFont="1" applyAlignment="1">
      <alignment horizontal="center"/>
    </xf>
    <xf numFmtId="9" fontId="7" fillId="0" borderId="0" xfId="309" applyNumberFormat="1" applyFont="1" applyAlignment="1">
      <alignment horizontal="center"/>
    </xf>
  </cellXfs>
  <cellStyles count="314">
    <cellStyle name="_4.06E Pass Throughs" xfId="1"/>
    <cellStyle name="_4.06E Pass Throughs_16.17E &amp; 16.12G D&amp; O Insurance" xfId="2"/>
    <cellStyle name="_4.13E Montana Energy Tax" xfId="3"/>
    <cellStyle name="_4.13E Montana Energy Tax_16.17E &amp; 16.12G D&amp; O Insurance" xfId="4"/>
    <cellStyle name="_Book1" xfId="5"/>
    <cellStyle name="_Book1 (2)" xfId="6"/>
    <cellStyle name="_Book1 (2)_16.17E &amp; 16.12G D&amp; O Insurance" xfId="7"/>
    <cellStyle name="_Book1_16.17E &amp; 16.12G D&amp; O Insurance" xfId="8"/>
    <cellStyle name="_Book2" xfId="9"/>
    <cellStyle name="_Book2_16.17E &amp; 16.12G D&amp; O Insurance" xfId="10"/>
    <cellStyle name="_Chelan Debt Forecast 12.19.05" xfId="11"/>
    <cellStyle name="_Chelan Debt Forecast 12.19.05_16.17E &amp; 16.12G D&amp; O Insurance" xfId="12"/>
    <cellStyle name="_Costs not in AURORA 06GRC" xfId="13"/>
    <cellStyle name="_Costs not in AURORA 06GRC_16.17E &amp; 16.12G D&amp; O Insurance" xfId="14"/>
    <cellStyle name="_Costs not in AURORA 2006GRC 6.15.06" xfId="15"/>
    <cellStyle name="_Costs not in AURORA 2006GRC 6.15.06_16.17E &amp; 16.12G D&amp; O Insurance" xfId="16"/>
    <cellStyle name="_Costs not in AURORA 2007 Rate Case" xfId="17"/>
    <cellStyle name="_Costs not in AURORA 2007 Rate Case_16.17E &amp; 16.12G D&amp; O Insurance" xfId="18"/>
    <cellStyle name="_Costs not in KWI3000 '06Budget" xfId="19"/>
    <cellStyle name="_Costs not in KWI3000 '06Budget_16.17E &amp; 16.12G D&amp; O Insurance" xfId="20"/>
    <cellStyle name="_DEM-WP (C) Power Cost 2006GRC Order" xfId="21"/>
    <cellStyle name="_DEM-WP (C) Power Cost 2006GRC Order_16.17E &amp; 16.12G D&amp; O Insurance" xfId="22"/>
    <cellStyle name="_DEM-WP Revised (HC) Wild Horse 2006GRC" xfId="23"/>
    <cellStyle name="_DEM-WP(C) Costs not in AURORA 2006GRC" xfId="24"/>
    <cellStyle name="_DEM-WP(C) Costs not in AURORA 2006GRC_16.17E &amp; 16.12G D&amp; O Insurance" xfId="25"/>
    <cellStyle name="_DEM-WP(C) Costs not in AURORA 2007GRC" xfId="26"/>
    <cellStyle name="_DEM-WP(C) Costs not in AURORA 2007PCORC-5.07Update" xfId="27"/>
    <cellStyle name="_DEM-WP(C) Sumas Proforma 11.5.07" xfId="28"/>
    <cellStyle name="_DEM-WP(C) Westside Hydro Data_051007" xfId="29"/>
    <cellStyle name="_Fuel Prices 4-14" xfId="30"/>
    <cellStyle name="_Fuel Prices 4-14_16.17E &amp; 16.12G D&amp; O Insurance" xfId="31"/>
    <cellStyle name="_Power Cost Value Copy 11.30.05 gas 1.09.06 AURORA at 1.10.06" xfId="32"/>
    <cellStyle name="_Power Cost Value Copy 11.30.05 gas 1.09.06 AURORA at 1.10.06_16.17E &amp; 16.12G D&amp; O Insurance" xfId="33"/>
    <cellStyle name="_Recon to Darrin's 5.11.05 proforma" xfId="34"/>
    <cellStyle name="_Recon to Darrin's 5.11.05 proforma_16.17E &amp; 16.12G D&amp; O Insurance" xfId="35"/>
    <cellStyle name="_Tenaska Comparison" xfId="36"/>
    <cellStyle name="_Tenaska Comparison_16.17E &amp; 16.12G D&amp; O Insurance" xfId="37"/>
    <cellStyle name="_Value Copy 11 30 05 gas 12 09 05 AURORA at 12 14 05" xfId="38"/>
    <cellStyle name="_Value Copy 11 30 05 gas 12 09 05 AURORA at 12 14 05_16.17E &amp; 16.12G D&amp; O Insurance" xfId="39"/>
    <cellStyle name="_VC 6.15.06 update on 06GRC power costs.xls Chart 1" xfId="40"/>
    <cellStyle name="_VC 6.15.06 update on 06GRC power costs.xls Chart 1_16.17E &amp; 16.12G D&amp; O Insurance" xfId="41"/>
    <cellStyle name="_VC 6.15.06 update on 06GRC power costs.xls Chart 2" xfId="42"/>
    <cellStyle name="_VC 6.15.06 update on 06GRC power costs.xls Chart 2_16.17E &amp; 16.12G D&amp; O Insurance" xfId="43"/>
    <cellStyle name="_VC 6.15.06 update on 06GRC power costs.xls Chart 3" xfId="44"/>
    <cellStyle name="_VC 6.15.06 update on 06GRC power costs.xls Chart 3_16.17E &amp; 16.12G D&amp; O Insurance" xfId="45"/>
    <cellStyle name="0,0_x000d__x000a_NA_x000d__x000a_" xfId="46"/>
    <cellStyle name="0000" xfId="47"/>
    <cellStyle name="000000" xfId="48"/>
    <cellStyle name="20% - Accent1" xfId="49" builtinId="30" customBuiltin="1"/>
    <cellStyle name="20% - Accent1 2" xfId="50"/>
    <cellStyle name="20% - Accent1 3" xfId="51"/>
    <cellStyle name="20% - Accent2" xfId="52" builtinId="34" customBuiltin="1"/>
    <cellStyle name="20% - Accent2 2" xfId="53"/>
    <cellStyle name="20% - Accent2 3" xfId="54"/>
    <cellStyle name="20% - Accent3" xfId="55" builtinId="38" customBuiltin="1"/>
    <cellStyle name="20% - Accent3 2" xfId="56"/>
    <cellStyle name="20% - Accent3 3" xfId="57"/>
    <cellStyle name="20% - Accent4" xfId="58" builtinId="42" customBuiltin="1"/>
    <cellStyle name="20% - Accent4 2" xfId="59"/>
    <cellStyle name="20% - Accent4 3" xfId="60"/>
    <cellStyle name="20% - Accent5" xfId="61" builtinId="46" customBuiltin="1"/>
    <cellStyle name="20% - Accent5 2" xfId="62"/>
    <cellStyle name="20% - Accent5 3" xfId="63"/>
    <cellStyle name="20% - Accent6" xfId="64" builtinId="50" customBuiltin="1"/>
    <cellStyle name="20% - Accent6 2" xfId="65"/>
    <cellStyle name="20% - Accent6 3" xfId="66"/>
    <cellStyle name="40% - Accent1" xfId="67" builtinId="31" customBuiltin="1"/>
    <cellStyle name="40% - Accent1 2" xfId="68"/>
    <cellStyle name="40% - Accent1 3" xfId="69"/>
    <cellStyle name="40% - Accent2" xfId="70" builtinId="35" customBuiltin="1"/>
    <cellStyle name="40% - Accent2 2" xfId="71"/>
    <cellStyle name="40% - Accent2 3" xfId="72"/>
    <cellStyle name="40% - Accent3" xfId="73" builtinId="39" customBuiltin="1"/>
    <cellStyle name="40% - Accent3 2" xfId="74"/>
    <cellStyle name="40% - Accent3 3" xfId="75"/>
    <cellStyle name="40% - Accent4" xfId="76" builtinId="43" customBuiltin="1"/>
    <cellStyle name="40% - Accent4 2" xfId="77"/>
    <cellStyle name="40% - Accent4 3" xfId="78"/>
    <cellStyle name="40% - Accent5" xfId="79" builtinId="47" customBuiltin="1"/>
    <cellStyle name="40% - Accent5 2" xfId="80"/>
    <cellStyle name="40% - Accent5 3" xfId="81"/>
    <cellStyle name="40% - Accent6" xfId="82" builtinId="51" customBuiltin="1"/>
    <cellStyle name="40% - Accent6 2" xfId="83"/>
    <cellStyle name="40% - Accent6 3" xfId="84"/>
    <cellStyle name="60% - Accent1" xfId="85" builtinId="32" customBuiltin="1"/>
    <cellStyle name="60% - Accent2" xfId="86" builtinId="36" customBuiltin="1"/>
    <cellStyle name="60% - Accent3" xfId="87" builtinId="40" customBuiltin="1"/>
    <cellStyle name="60% - Accent4" xfId="88" builtinId="44" customBuiltin="1"/>
    <cellStyle name="60% - Accent5" xfId="89" builtinId="48" customBuiltin="1"/>
    <cellStyle name="60% - Accent6" xfId="90" builtinId="52" customBuiltin="1"/>
    <cellStyle name="Accent1" xfId="91" builtinId="29" customBuiltin="1"/>
    <cellStyle name="Accent2" xfId="92" builtinId="33" customBuiltin="1"/>
    <cellStyle name="Accent3" xfId="93" builtinId="37" customBuiltin="1"/>
    <cellStyle name="Accent4" xfId="94" builtinId="41" customBuiltin="1"/>
    <cellStyle name="Accent5" xfId="95" builtinId="45" customBuiltin="1"/>
    <cellStyle name="Accent6" xfId="96" builtinId="49" customBuiltin="1"/>
    <cellStyle name="Bad" xfId="97" builtinId="27" customBuiltin="1"/>
    <cellStyle name="blank" xfId="98"/>
    <cellStyle name="Calc Currency (0)" xfId="99"/>
    <cellStyle name="Calculation" xfId="100" builtinId="22" customBuiltin="1"/>
    <cellStyle name="Calculation 2" xfId="101"/>
    <cellStyle name="Calculation 3" xfId="102"/>
    <cellStyle name="Check Cell" xfId="103" builtinId="23" customBuiltin="1"/>
    <cellStyle name="CheckCell" xfId="104"/>
    <cellStyle name="Comma" xfId="105" builtinId="3"/>
    <cellStyle name="Comma 10" xfId="106"/>
    <cellStyle name="Comma 11" xfId="107"/>
    <cellStyle name="Comma 12" xfId="108"/>
    <cellStyle name="Comma 13" xfId="311"/>
    <cellStyle name="Comma 2" xfId="109"/>
    <cellStyle name="Comma 2 2" xfId="110"/>
    <cellStyle name="Comma 2 3" xfId="313"/>
    <cellStyle name="Comma 3" xfId="111"/>
    <cellStyle name="Comma 3 2" xfId="112"/>
    <cellStyle name="Comma 4" xfId="113"/>
    <cellStyle name="Comma 5" xfId="114"/>
    <cellStyle name="Comma 6" xfId="115"/>
    <cellStyle name="Comma 7" xfId="116"/>
    <cellStyle name="Comma 8" xfId="117"/>
    <cellStyle name="Comma 9" xfId="118"/>
    <cellStyle name="Comma_Common Allocators GRC TY 0903" xfId="119"/>
    <cellStyle name="Comma0" xfId="120"/>
    <cellStyle name="Comma0 - Style2" xfId="121"/>
    <cellStyle name="Comma0 - Style4" xfId="122"/>
    <cellStyle name="Comma0 - Style5" xfId="123"/>
    <cellStyle name="Comma0_00COS Ind Allocators" xfId="124"/>
    <cellStyle name="Comma1 - Style1" xfId="125"/>
    <cellStyle name="Copied" xfId="126"/>
    <cellStyle name="COST1" xfId="127"/>
    <cellStyle name="Curren - Style1" xfId="128"/>
    <cellStyle name="Curren - Style2" xfId="129"/>
    <cellStyle name="Curren - Style5" xfId="130"/>
    <cellStyle name="Curren - Style6" xfId="131"/>
    <cellStyle name="Currency" xfId="132" builtinId="4"/>
    <cellStyle name="Currency 2" xfId="133"/>
    <cellStyle name="Currency 3" xfId="134"/>
    <cellStyle name="Currency 4" xfId="135"/>
    <cellStyle name="Currency 5" xfId="136"/>
    <cellStyle name="Currency 6" xfId="137"/>
    <cellStyle name="Currency 7" xfId="138"/>
    <cellStyle name="Currency 8" xfId="139"/>
    <cellStyle name="Currency 9" xfId="140"/>
    <cellStyle name="Currency_Common Allocators GRC TY 0903" xfId="141"/>
    <cellStyle name="Currency0" xfId="142"/>
    <cellStyle name="Date" xfId="143"/>
    <cellStyle name="Entered" xfId="144"/>
    <cellStyle name="Explanatory Text" xfId="145" builtinId="53" customBuiltin="1"/>
    <cellStyle name="Fixed" xfId="146"/>
    <cellStyle name="Fixed3 - Style3" xfId="147"/>
    <cellStyle name="Good" xfId="148" builtinId="26" customBuiltin="1"/>
    <cellStyle name="Grey" xfId="149"/>
    <cellStyle name="Header" xfId="150"/>
    <cellStyle name="Header1" xfId="151"/>
    <cellStyle name="Header2" xfId="152"/>
    <cellStyle name="Heading" xfId="153"/>
    <cellStyle name="Heading 1" xfId="154" builtinId="16" customBuiltin="1"/>
    <cellStyle name="Heading 1 2" xfId="155"/>
    <cellStyle name="Heading 1 3" xfId="156"/>
    <cellStyle name="Heading 2" xfId="157" builtinId="17" customBuiltin="1"/>
    <cellStyle name="Heading 2 2" xfId="158"/>
    <cellStyle name="Heading 2 3" xfId="159"/>
    <cellStyle name="Heading 3" xfId="160" builtinId="18" customBuiltin="1"/>
    <cellStyle name="Heading 4" xfId="161" builtinId="19" customBuiltin="1"/>
    <cellStyle name="Heading1" xfId="162"/>
    <cellStyle name="Heading2" xfId="163"/>
    <cellStyle name="Input" xfId="164" builtinId="20" customBuiltin="1"/>
    <cellStyle name="Input [yellow]" xfId="165"/>
    <cellStyle name="Input Cells" xfId="166"/>
    <cellStyle name="Input Cells Percent" xfId="167"/>
    <cellStyle name="Lines" xfId="168"/>
    <cellStyle name="LINKED" xfId="169"/>
    <cellStyle name="Linked Cell" xfId="170" builtinId="24" customBuiltin="1"/>
    <cellStyle name="modified border" xfId="171"/>
    <cellStyle name="modified border1" xfId="172"/>
    <cellStyle name="Neutral" xfId="173" builtinId="28" customBuiltin="1"/>
    <cellStyle name="no dec" xfId="174"/>
    <cellStyle name="Normal" xfId="0" builtinId="0"/>
    <cellStyle name="Normal - Style1" xfId="175"/>
    <cellStyle name="Normal 10" xfId="176"/>
    <cellStyle name="Normal 11" xfId="177"/>
    <cellStyle name="Normal 12" xfId="178"/>
    <cellStyle name="Normal 13" xfId="179"/>
    <cellStyle name="Normal 14" xfId="180"/>
    <cellStyle name="Normal 15" xfId="309"/>
    <cellStyle name="Normal 16" xfId="310"/>
    <cellStyle name="Normal 2" xfId="181"/>
    <cellStyle name="Normal 2 2" xfId="182"/>
    <cellStyle name="Normal 2 2 2" xfId="183"/>
    <cellStyle name="Normal 2 2 3" xfId="184"/>
    <cellStyle name="Normal 2 3" xfId="185"/>
    <cellStyle name="Normal 2 4" xfId="186"/>
    <cellStyle name="Normal 2 5" xfId="187"/>
    <cellStyle name="Normal 2 6" xfId="188"/>
    <cellStyle name="Normal 2 7" xfId="189"/>
    <cellStyle name="Normal 2 8" xfId="312"/>
    <cellStyle name="Normal 2_Allocation Method - Working File" xfId="190"/>
    <cellStyle name="Normal 3" xfId="191"/>
    <cellStyle name="Normal 3 2" xfId="192"/>
    <cellStyle name="Normal 3 3" xfId="193"/>
    <cellStyle name="Normal 3 4" xfId="194"/>
    <cellStyle name="Normal 3 5" xfId="195"/>
    <cellStyle name="Normal 3_Net Classified Plant" xfId="196"/>
    <cellStyle name="Normal 4" xfId="197"/>
    <cellStyle name="Normal 4 2" xfId="198"/>
    <cellStyle name="Normal 5" xfId="199"/>
    <cellStyle name="Normal 5 2" xfId="200"/>
    <cellStyle name="Normal 6" xfId="201"/>
    <cellStyle name="Normal 7" xfId="202"/>
    <cellStyle name="Normal 8" xfId="203"/>
    <cellStyle name="Normal 9" xfId="204"/>
    <cellStyle name="Note 10" xfId="205"/>
    <cellStyle name="Note 11" xfId="206"/>
    <cellStyle name="Note 12" xfId="207"/>
    <cellStyle name="Note 2" xfId="208"/>
    <cellStyle name="Note 3" xfId="209"/>
    <cellStyle name="Note 5" xfId="210"/>
    <cellStyle name="Note 6" xfId="211"/>
    <cellStyle name="Note 7" xfId="212"/>
    <cellStyle name="Note 8" xfId="213"/>
    <cellStyle name="Note 9" xfId="214"/>
    <cellStyle name="Output" xfId="215" builtinId="21" customBuiltin="1"/>
    <cellStyle name="Percen - Style1" xfId="216"/>
    <cellStyle name="Percen - Style2" xfId="217"/>
    <cellStyle name="Percen - Style3" xfId="218"/>
    <cellStyle name="Percent" xfId="219" builtinId="5"/>
    <cellStyle name="Percent (0)" xfId="220"/>
    <cellStyle name="Percent [2]" xfId="221"/>
    <cellStyle name="Percent 2" xfId="222"/>
    <cellStyle name="Percent 2 2" xfId="223"/>
    <cellStyle name="Percent 3" xfId="224"/>
    <cellStyle name="Percent 3 2" xfId="225"/>
    <cellStyle name="Percent 4" xfId="226"/>
    <cellStyle name="Percent 5" xfId="227"/>
    <cellStyle name="Percent 6" xfId="228"/>
    <cellStyle name="Percent 7" xfId="229"/>
    <cellStyle name="Percent 8" xfId="230"/>
    <cellStyle name="Processing" xfId="231"/>
    <cellStyle name="PSChar" xfId="232"/>
    <cellStyle name="PSDate" xfId="233"/>
    <cellStyle name="PSDec" xfId="234"/>
    <cellStyle name="PSHeading" xfId="235"/>
    <cellStyle name="PSInt" xfId="236"/>
    <cellStyle name="PSSpacer" xfId="237"/>
    <cellStyle name="purple - Style8" xfId="238"/>
    <cellStyle name="RED" xfId="239"/>
    <cellStyle name="Red - Style7" xfId="240"/>
    <cellStyle name="Report" xfId="241"/>
    <cellStyle name="Report Bar" xfId="242"/>
    <cellStyle name="Report Heading" xfId="243"/>
    <cellStyle name="Report Percent" xfId="244"/>
    <cellStyle name="Report Unit Cost" xfId="245"/>
    <cellStyle name="Reports" xfId="246"/>
    <cellStyle name="Reports Total" xfId="247"/>
    <cellStyle name="Reports Unit Cost Total" xfId="248"/>
    <cellStyle name="RevList" xfId="249"/>
    <cellStyle name="round100" xfId="250"/>
    <cellStyle name="SAPBEXaggData" xfId="251"/>
    <cellStyle name="SAPBEXaggDataEmph" xfId="252"/>
    <cellStyle name="SAPBEXaggItem" xfId="253"/>
    <cellStyle name="SAPBEXaggItemX" xfId="254"/>
    <cellStyle name="SAPBEXchaText" xfId="255"/>
    <cellStyle name="SAPBEXchaText 2" xfId="256"/>
    <cellStyle name="SAPBEXexcBad7" xfId="257"/>
    <cellStyle name="SAPBEXexcBad8" xfId="258"/>
    <cellStyle name="SAPBEXexcBad9" xfId="259"/>
    <cellStyle name="SAPBEXexcCritical4" xfId="260"/>
    <cellStyle name="SAPBEXexcCritical5" xfId="261"/>
    <cellStyle name="SAPBEXexcCritical6" xfId="262"/>
    <cellStyle name="SAPBEXexcGood1" xfId="263"/>
    <cellStyle name="SAPBEXexcGood2" xfId="264"/>
    <cellStyle name="SAPBEXexcGood3" xfId="265"/>
    <cellStyle name="SAPBEXfilterDrill" xfId="266"/>
    <cellStyle name="SAPBEXfilterItem" xfId="267"/>
    <cellStyle name="SAPBEXfilterText" xfId="268"/>
    <cellStyle name="SAPBEXformats" xfId="269"/>
    <cellStyle name="SAPBEXheaderItem" xfId="270"/>
    <cellStyle name="SAPBEXheaderText" xfId="271"/>
    <cellStyle name="SAPBEXHLevel0" xfId="272"/>
    <cellStyle name="SAPBEXHLevel0X" xfId="273"/>
    <cellStyle name="SAPBEXHLevel1" xfId="274"/>
    <cellStyle name="SAPBEXHLevel1X" xfId="275"/>
    <cellStyle name="SAPBEXHLevel2" xfId="276"/>
    <cellStyle name="SAPBEXHLevel2X" xfId="277"/>
    <cellStyle name="SAPBEXHLevel3" xfId="278"/>
    <cellStyle name="SAPBEXHLevel3X" xfId="279"/>
    <cellStyle name="SAPBEXresData" xfId="280"/>
    <cellStyle name="SAPBEXresDataEmph" xfId="281"/>
    <cellStyle name="SAPBEXresItem" xfId="282"/>
    <cellStyle name="SAPBEXresItemX" xfId="283"/>
    <cellStyle name="SAPBEXstdData" xfId="284"/>
    <cellStyle name="SAPBEXstdDataEmph" xfId="285"/>
    <cellStyle name="SAPBEXstdItem" xfId="286"/>
    <cellStyle name="SAPBEXstdItemX" xfId="287"/>
    <cellStyle name="SAPBEXtitle" xfId="288"/>
    <cellStyle name="SAPBEXundefined" xfId="289"/>
    <cellStyle name="shade" xfId="290"/>
    <cellStyle name="StmtTtl1" xfId="291"/>
    <cellStyle name="StmtTtl2" xfId="292"/>
    <cellStyle name="STYL1 - Style1" xfId="293"/>
    <cellStyle name="Style 1" xfId="294"/>
    <cellStyle name="Style 1 2" xfId="295"/>
    <cellStyle name="Subtotal" xfId="296"/>
    <cellStyle name="Sub-total" xfId="297"/>
    <cellStyle name="taples Plaza" xfId="298"/>
    <cellStyle name="Tickmark" xfId="299"/>
    <cellStyle name="Title" xfId="300" builtinId="15" customBuiltin="1"/>
    <cellStyle name="Title: Major" xfId="301"/>
    <cellStyle name="Title: Minor" xfId="302"/>
    <cellStyle name="Title: Worksheet" xfId="303"/>
    <cellStyle name="Total" xfId="304" builtinId="25" customBuiltin="1"/>
    <cellStyle name="Total 2" xfId="305"/>
    <cellStyle name="Total 3" xfId="306"/>
    <cellStyle name="Total4 - Style4" xfId="307"/>
    <cellStyle name="Warning Text" xfId="308" builtinId="11" customBuiltin="1"/>
  </cellStyles>
  <dxfs count="0"/>
  <tableStyles count="0" defaultTableStyle="TableStyleMedium9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137161</xdr:colOff>
      <xdr:row>0</xdr:row>
      <xdr:rowOff>83821</xdr:rowOff>
    </xdr:from>
    <xdr:to>
      <xdr:col>5</xdr:col>
      <xdr:colOff>480060</xdr:colOff>
      <xdr:row>25</xdr:row>
      <xdr:rowOff>2614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1" y="83821"/>
          <a:ext cx="6202679" cy="4125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83822</xdr:colOff>
      <xdr:row>25</xdr:row>
      <xdr:rowOff>53340</xdr:rowOff>
    </xdr:from>
    <xdr:to>
      <xdr:col>9</xdr:col>
      <xdr:colOff>532366</xdr:colOff>
      <xdr:row>41</xdr:row>
      <xdr:rowOff>98408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2" y="4213860"/>
          <a:ext cx="6331184" cy="2750168"/>
        </a:xfrm>
        <a:prstGeom prst="rect">
          <a:avLst/>
        </a:prstGeom>
        <a:ln w="15875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  <xdr:twoCellAnchor editAs="oneCell">
    <xdr:from>
      <xdr:col>0</xdr:col>
      <xdr:colOff>502920</xdr:colOff>
      <xdr:row>2</xdr:row>
      <xdr:rowOff>68557</xdr:rowOff>
    </xdr:from>
    <xdr:to>
      <xdr:col>9</xdr:col>
      <xdr:colOff>358140</xdr:colOff>
      <xdr:row>20</xdr:row>
      <xdr:rowOff>74961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" y="403837"/>
          <a:ext cx="6347460" cy="30772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zoomScaleNormal="100" workbookViewId="0">
      <selection activeCell="C11" sqref="C11"/>
    </sheetView>
  </sheetViews>
  <sheetFormatPr defaultRowHeight="13.2"/>
  <cols>
    <col min="1" max="1" width="5.44140625" bestFit="1" customWidth="1"/>
    <col min="2" max="2" width="35.44140625" customWidth="1"/>
    <col min="3" max="3" width="12.33203125" customWidth="1"/>
    <col min="4" max="4" width="13.44140625" customWidth="1"/>
    <col min="5" max="5" width="14.109375" customWidth="1"/>
    <col min="6" max="6" width="7" customWidth="1"/>
    <col min="7" max="7" width="11.33203125" bestFit="1" customWidth="1"/>
    <col min="8" max="8" width="12.5546875" bestFit="1" customWidth="1"/>
    <col min="9" max="9" width="13.5546875" bestFit="1" customWidth="1"/>
    <col min="10" max="10" width="7" customWidth="1"/>
    <col min="11" max="11" width="11.33203125" bestFit="1" customWidth="1"/>
    <col min="12" max="12" width="12.5546875" bestFit="1" customWidth="1"/>
    <col min="13" max="13" width="13.5546875" bestFit="1" customWidth="1"/>
  </cols>
  <sheetData>
    <row r="2" spans="1:10">
      <c r="A2" s="2"/>
      <c r="B2" s="2"/>
      <c r="C2" s="2"/>
      <c r="D2" s="2"/>
      <c r="E2" s="260"/>
    </row>
    <row r="3" spans="1:10">
      <c r="A3" s="3" t="s">
        <v>11</v>
      </c>
      <c r="B3" s="83"/>
      <c r="C3" s="4"/>
      <c r="D3" s="4"/>
      <c r="E3" s="4"/>
    </row>
    <row r="4" spans="1:10">
      <c r="A4" s="3" t="s">
        <v>0</v>
      </c>
      <c r="B4" s="84"/>
      <c r="C4" s="5"/>
      <c r="D4" s="5"/>
      <c r="E4" s="5"/>
    </row>
    <row r="5" spans="1:10">
      <c r="A5" s="4" t="s">
        <v>160</v>
      </c>
      <c r="B5" s="257"/>
      <c r="C5" s="258"/>
      <c r="D5" s="258"/>
      <c r="E5" s="258"/>
    </row>
    <row r="6" spans="1:10">
      <c r="A6" s="3" t="s">
        <v>161</v>
      </c>
      <c r="B6" s="83"/>
      <c r="C6" s="4"/>
      <c r="D6" s="4"/>
      <c r="E6" s="4"/>
    </row>
    <row r="7" spans="1:10">
      <c r="A7" s="6"/>
      <c r="B7" s="6"/>
      <c r="C7" s="6"/>
      <c r="D7" s="6"/>
      <c r="E7" s="6"/>
    </row>
    <row r="8" spans="1:10">
      <c r="A8" s="7" t="s">
        <v>1</v>
      </c>
      <c r="B8" s="6"/>
      <c r="C8" s="6"/>
      <c r="D8" s="6"/>
      <c r="E8" s="6"/>
    </row>
    <row r="9" spans="1:10">
      <c r="A9" s="8" t="s">
        <v>2</v>
      </c>
      <c r="B9" s="9" t="s">
        <v>3</v>
      </c>
      <c r="C9" s="10" t="s">
        <v>4</v>
      </c>
      <c r="D9" s="10" t="s">
        <v>117</v>
      </c>
      <c r="E9" s="10" t="s">
        <v>5</v>
      </c>
    </row>
    <row r="10" spans="1:10">
      <c r="A10" s="1"/>
      <c r="B10" s="1"/>
      <c r="C10" s="1"/>
      <c r="D10" s="1"/>
      <c r="E10" s="1"/>
    </row>
    <row r="11" spans="1:10">
      <c r="A11" s="12">
        <v>1</v>
      </c>
      <c r="B11" s="1" t="s">
        <v>6</v>
      </c>
      <c r="C11" s="35">
        <f ca="1">'Summary Prop &amp; Liab Ins'!G16</f>
        <v>4178643.7106927508</v>
      </c>
      <c r="D11" s="35">
        <f ca="1">'Summary Prop &amp; Liab Ins'!K16</f>
        <v>4124900.1964649996</v>
      </c>
      <c r="E11" s="35">
        <f ca="1">+D11-C11</f>
        <v>-53743.514227751177</v>
      </c>
      <c r="F11" s="34"/>
      <c r="J11" s="34"/>
    </row>
    <row r="12" spans="1:10">
      <c r="A12" s="12">
        <f>A11+1</f>
        <v>2</v>
      </c>
      <c r="B12" s="1" t="s">
        <v>7</v>
      </c>
      <c r="C12" s="36">
        <f ca="1">'Summary Prop &amp; Liab Ins'!G42</f>
        <v>2006229.4154838233</v>
      </c>
      <c r="D12" s="36">
        <f ca="1">'Summary Prop &amp; Liab Ins'!K42</f>
        <v>1958207.9099557111</v>
      </c>
      <c r="E12" s="38">
        <f ca="1">+D12-C12</f>
        <v>-48021.505528112175</v>
      </c>
      <c r="F12" s="34"/>
      <c r="J12" s="34"/>
    </row>
    <row r="13" spans="1:10">
      <c r="A13" s="12">
        <f>A12+1</f>
        <v>3</v>
      </c>
      <c r="B13" s="13" t="s">
        <v>8</v>
      </c>
      <c r="C13" s="37">
        <f ca="1">SUM(C11:C12)</f>
        <v>6184873.1261765743</v>
      </c>
      <c r="D13" s="37">
        <f ca="1">SUM(D11:D12)</f>
        <v>6083108.1064207107</v>
      </c>
      <c r="E13" s="37">
        <f ca="1">SUM(E11:E12)</f>
        <v>-101765.01975586335</v>
      </c>
    </row>
    <row r="14" spans="1:10" ht="13.8">
      <c r="A14" s="12">
        <f>A13+1</f>
        <v>4</v>
      </c>
      <c r="B14" s="13"/>
      <c r="C14" s="1"/>
      <c r="D14" s="55"/>
      <c r="E14" s="56"/>
    </row>
    <row r="15" spans="1:10">
      <c r="A15" s="12">
        <f>A14+1</f>
        <v>5</v>
      </c>
      <c r="B15" s="13" t="s">
        <v>9</v>
      </c>
      <c r="C15" s="445">
        <v>0.21</v>
      </c>
      <c r="D15" s="446"/>
      <c r="E15" s="38">
        <f ca="1">-C15*E13</f>
        <v>21370.654148731304</v>
      </c>
    </row>
    <row r="16" spans="1:10" ht="13.8" thickBot="1">
      <c r="A16" s="12">
        <f>A15+1</f>
        <v>6</v>
      </c>
      <c r="B16" s="13" t="s">
        <v>10</v>
      </c>
      <c r="C16" s="1"/>
      <c r="D16" s="1"/>
      <c r="E16" s="447">
        <f ca="1">-E13-E15</f>
        <v>80394.365607132044</v>
      </c>
    </row>
    <row r="17" spans="1:5" ht="13.8" thickTop="1">
      <c r="A17" s="12"/>
      <c r="B17" s="13"/>
      <c r="C17" s="1"/>
      <c r="D17" s="1"/>
      <c r="E17" s="16"/>
    </row>
    <row r="18" spans="1:5">
      <c r="A18" s="90"/>
      <c r="B18" s="15"/>
      <c r="C18" s="15"/>
      <c r="D18" s="199"/>
      <c r="E18" s="15"/>
    </row>
    <row r="19" spans="1:5">
      <c r="A19" s="90"/>
      <c r="B19" s="1"/>
      <c r="C19" s="15"/>
      <c r="D19" s="199"/>
      <c r="E19" s="57"/>
    </row>
    <row r="20" spans="1:5">
      <c r="A20" s="259"/>
      <c r="B20" s="24"/>
      <c r="C20" s="15"/>
      <c r="D20" s="24"/>
      <c r="E20" s="24"/>
    </row>
    <row r="21" spans="1:5">
      <c r="A21" s="24"/>
      <c r="B21" s="24"/>
      <c r="C21" s="24"/>
      <c r="D21" s="24"/>
      <c r="E21" s="180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3"/>
  <sheetViews>
    <sheetView topLeftCell="A19" zoomScaleNormal="100" workbookViewId="0">
      <selection activeCell="M25" sqref="M25"/>
    </sheetView>
  </sheetViews>
  <sheetFormatPr defaultColWidth="9.109375" defaultRowHeight="15" customHeight="1"/>
  <cols>
    <col min="1" max="1" width="6.109375" style="92" customWidth="1"/>
    <col min="2" max="2" width="1.5546875" style="92" customWidth="1"/>
    <col min="3" max="3" width="45" style="92" bestFit="1" customWidth="1"/>
    <col min="4" max="4" width="9.109375" style="93" customWidth="1"/>
    <col min="5" max="7" width="14.5546875" style="92" bestFit="1" customWidth="1"/>
    <col min="8" max="8" width="9.109375" style="59"/>
    <col min="9" max="9" width="9" style="59" hidden="1" customWidth="1"/>
    <col min="10" max="11" width="9.109375" style="59"/>
    <col min="12" max="12" width="12.44140625" style="59" bestFit="1" customWidth="1"/>
    <col min="13" max="13" width="12.6640625" style="59" customWidth="1"/>
    <col min="14" max="14" width="12.5546875" style="59" bestFit="1" customWidth="1"/>
    <col min="15" max="16384" width="9.109375" style="59"/>
  </cols>
  <sheetData>
    <row r="1" spans="1:9" ht="15" customHeight="1">
      <c r="G1" s="94"/>
    </row>
    <row r="2" spans="1:9" ht="14.25" customHeight="1">
      <c r="A2" s="95" t="s">
        <v>60</v>
      </c>
      <c r="B2" s="95"/>
      <c r="C2" s="95"/>
      <c r="D2" s="95"/>
      <c r="E2" s="95"/>
      <c r="F2" s="95"/>
      <c r="G2" s="95"/>
    </row>
    <row r="3" spans="1:9" ht="15" customHeight="1">
      <c r="A3" s="95" t="s">
        <v>160</v>
      </c>
      <c r="B3" s="95"/>
      <c r="C3" s="95"/>
      <c r="D3" s="95"/>
      <c r="E3" s="95"/>
      <c r="F3" s="95"/>
      <c r="G3" s="95"/>
    </row>
    <row r="4" spans="1:9" ht="15" customHeight="1">
      <c r="A4" s="95" t="s">
        <v>61</v>
      </c>
      <c r="B4" s="95"/>
      <c r="C4" s="95"/>
      <c r="D4" s="95"/>
      <c r="E4" s="95"/>
      <c r="F4" s="95"/>
      <c r="G4" s="95"/>
    </row>
    <row r="5" spans="1:9" ht="15" customHeight="1">
      <c r="A5" s="96"/>
      <c r="B5" s="96"/>
      <c r="C5" s="97"/>
      <c r="D5" s="97"/>
      <c r="E5" s="96"/>
      <c r="F5" s="96"/>
      <c r="G5" s="96"/>
    </row>
    <row r="6" spans="1:9" s="60" customFormat="1" ht="15" customHeight="1">
      <c r="A6" s="98" t="s">
        <v>62</v>
      </c>
      <c r="B6" s="98"/>
      <c r="C6" s="98" t="s">
        <v>63</v>
      </c>
      <c r="D6" s="98"/>
      <c r="E6" s="98" t="s">
        <v>20</v>
      </c>
      <c r="F6" s="98" t="s">
        <v>21</v>
      </c>
      <c r="G6" s="98" t="s">
        <v>44</v>
      </c>
    </row>
    <row r="7" spans="1:9" s="60" customFormat="1" ht="15" customHeight="1">
      <c r="A7" s="96"/>
      <c r="B7" s="96"/>
      <c r="C7" s="96"/>
      <c r="D7" s="97"/>
      <c r="E7" s="96"/>
      <c r="F7" s="96"/>
      <c r="G7" s="96"/>
    </row>
    <row r="8" spans="1:9" s="60" customFormat="1" ht="29.25" customHeight="1">
      <c r="A8" s="99">
        <v>1</v>
      </c>
      <c r="B8" s="99" t="s">
        <v>58</v>
      </c>
      <c r="C8" s="100" t="s">
        <v>64</v>
      </c>
      <c r="D8" s="101">
        <v>42643</v>
      </c>
      <c r="E8" s="41">
        <f ca="1">'[2]3.04 &amp; 4.04 Lead'!E8</f>
        <v>1115041</v>
      </c>
      <c r="F8" s="41">
        <f ca="1">'[2]3.04 &amp; 4.04 Lead'!F8</f>
        <v>803909</v>
      </c>
      <c r="G8" s="41">
        <f ca="1">SUM(E8:F8)</f>
        <v>1918950</v>
      </c>
    </row>
    <row r="9" spans="1:9" s="60" customFormat="1" ht="15" customHeight="1" thickBot="1">
      <c r="A9" s="96"/>
      <c r="B9" s="97"/>
      <c r="C9" s="102" t="s">
        <v>65</v>
      </c>
      <c r="D9" s="97"/>
      <c r="E9" s="61">
        <f ca="1">ROUND(+E8/G8,4)</f>
        <v>0.58109999999999995</v>
      </c>
      <c r="F9" s="61">
        <f ca="1">ROUND(+F8/G8,4)</f>
        <v>0.41889999999999999</v>
      </c>
      <c r="G9" s="62">
        <f ca="1">SUM(E9:F9)</f>
        <v>1</v>
      </c>
      <c r="I9" s="60" t="s">
        <v>103</v>
      </c>
    </row>
    <row r="10" spans="1:9" s="60" customFormat="1" ht="18.899999999999999" customHeight="1" thickTop="1">
      <c r="A10" s="97"/>
      <c r="B10" s="97"/>
      <c r="C10" s="96"/>
      <c r="D10" s="101"/>
      <c r="E10" s="96"/>
      <c r="F10" s="96"/>
      <c r="G10" s="96"/>
    </row>
    <row r="11" spans="1:9" s="60" customFormat="1" ht="15" customHeight="1">
      <c r="A11" s="99">
        <v>2</v>
      </c>
      <c r="B11" s="99" t="s">
        <v>58</v>
      </c>
      <c r="C11" s="100" t="s">
        <v>66</v>
      </c>
      <c r="D11" s="101">
        <v>42643</v>
      </c>
      <c r="E11" s="42">
        <f ca="1">'[2]3.04 &amp; 4.04 Lead'!E11</f>
        <v>755880</v>
      </c>
      <c r="F11" s="42">
        <f ca="1">'[2]3.04 &amp; 4.04 Lead'!F11</f>
        <v>449176</v>
      </c>
      <c r="G11" s="42">
        <f ca="1">SUM(E11:F11)</f>
        <v>1205056</v>
      </c>
    </row>
    <row r="12" spans="1:9" s="60" customFormat="1" ht="15" customHeight="1" thickBot="1">
      <c r="A12" s="96"/>
      <c r="B12" s="97"/>
      <c r="C12" s="102" t="s">
        <v>65</v>
      </c>
      <c r="D12" s="97"/>
      <c r="E12" s="61">
        <f ca="1">ROUND(+E11/G11,4)</f>
        <v>0.62729999999999997</v>
      </c>
      <c r="F12" s="61">
        <f ca="1">ROUND(+F11/G11,4)</f>
        <v>0.37269999999999998</v>
      </c>
      <c r="G12" s="62">
        <f ca="1">SUM(E12:F12)</f>
        <v>1</v>
      </c>
      <c r="H12" s="63"/>
    </row>
    <row r="13" spans="1:9" s="60" customFormat="1" ht="18.899999999999999" customHeight="1" thickTop="1">
      <c r="A13" s="97"/>
      <c r="B13" s="97"/>
      <c r="C13" s="96"/>
      <c r="D13" s="97"/>
      <c r="E13" s="96"/>
      <c r="F13" s="96"/>
      <c r="G13" s="96"/>
    </row>
    <row r="14" spans="1:9" s="60" customFormat="1" ht="15" customHeight="1">
      <c r="A14" s="99">
        <v>3</v>
      </c>
      <c r="B14" s="99" t="s">
        <v>58</v>
      </c>
      <c r="C14" s="100" t="s">
        <v>67</v>
      </c>
      <c r="D14" s="97"/>
      <c r="E14" s="96"/>
      <c r="F14" s="96"/>
      <c r="G14" s="96"/>
    </row>
    <row r="15" spans="1:9" s="60" customFormat="1" ht="15" customHeight="1">
      <c r="A15" s="97"/>
      <c r="B15" s="97"/>
      <c r="C15" s="103" t="s">
        <v>68</v>
      </c>
      <c r="D15" s="101">
        <v>42643</v>
      </c>
      <c r="E15" s="43">
        <f ca="1">'[2]3.04 &amp; 4.04 Lead'!E15</f>
        <v>3525057125</v>
      </c>
      <c r="F15" s="43">
        <f ca="1">'[2]3.04 &amp; 4.04 Lead'!F15</f>
        <v>3276390620</v>
      </c>
      <c r="G15" s="43">
        <f ca="1">SUM(E15:F15)</f>
        <v>6801447745</v>
      </c>
    </row>
    <row r="16" spans="1:9" s="60" customFormat="1" ht="15" customHeight="1">
      <c r="A16" s="97"/>
      <c r="B16" s="97"/>
      <c r="C16" s="103" t="s">
        <v>69</v>
      </c>
      <c r="D16" s="101">
        <v>42643</v>
      </c>
      <c r="E16" s="43">
        <f ca="1">'[2]3.04 &amp; 4.04 Lead'!E16</f>
        <v>1389050214</v>
      </c>
      <c r="F16" s="43">
        <f ca="1">'[2]3.04 &amp; 4.04 Lead'!F16</f>
        <v>0</v>
      </c>
      <c r="G16" s="44">
        <f ca="1">SUM(E16:F16)</f>
        <v>1389050214</v>
      </c>
    </row>
    <row r="17" spans="1:7" s="60" customFormat="1" ht="15" customHeight="1">
      <c r="A17" s="97"/>
      <c r="B17" s="97"/>
      <c r="C17" s="103" t="s">
        <v>70</v>
      </c>
      <c r="D17" s="101">
        <v>42643</v>
      </c>
      <c r="E17" s="43">
        <f ca="1">'[2]3.04 &amp; 4.04 Lead'!E17</f>
        <v>219791580</v>
      </c>
      <c r="F17" s="43">
        <f ca="1">'[2]3.04 &amp; 4.04 Lead'!F17</f>
        <v>32844304</v>
      </c>
      <c r="G17" s="44">
        <f ca="1">SUM(E17:F17)</f>
        <v>252635884</v>
      </c>
    </row>
    <row r="18" spans="1:7" s="60" customFormat="1" ht="15" customHeight="1">
      <c r="A18" s="97"/>
      <c r="B18" s="97"/>
      <c r="C18" s="103" t="s">
        <v>44</v>
      </c>
      <c r="D18" s="104"/>
      <c r="E18" s="45">
        <f ca="1">SUM(E15:E17)</f>
        <v>5133898919</v>
      </c>
      <c r="F18" s="45">
        <f ca="1">SUM(F15:F17)</f>
        <v>3309234924</v>
      </c>
      <c r="G18" s="45">
        <f ca="1">SUM(E18:F18)</f>
        <v>8443133843</v>
      </c>
    </row>
    <row r="19" spans="1:7" s="60" customFormat="1" ht="15" customHeight="1" thickBot="1">
      <c r="A19" s="96"/>
      <c r="B19" s="97"/>
      <c r="C19" s="102" t="s">
        <v>65</v>
      </c>
      <c r="D19" s="97"/>
      <c r="E19" s="61">
        <f ca="1">ROUND(+E18/G18,4)</f>
        <v>0.60809999999999997</v>
      </c>
      <c r="F19" s="61">
        <f ca="1">ROUND(+F18/G18,4)</f>
        <v>0.39190000000000003</v>
      </c>
      <c r="G19" s="62">
        <f ca="1">SUM(E19:F19)</f>
        <v>1</v>
      </c>
    </row>
    <row r="20" spans="1:7" s="60" customFormat="1" ht="18.899999999999999" customHeight="1" thickTop="1">
      <c r="A20" s="97"/>
      <c r="B20" s="97"/>
      <c r="C20" s="96"/>
      <c r="D20" s="97"/>
      <c r="E20" s="96"/>
      <c r="F20" s="96"/>
      <c r="G20" s="96"/>
    </row>
    <row r="21" spans="1:7" s="60" customFormat="1" ht="15" customHeight="1">
      <c r="A21" s="99">
        <v>4</v>
      </c>
      <c r="B21" s="99" t="s">
        <v>58</v>
      </c>
      <c r="C21" s="100" t="s">
        <v>71</v>
      </c>
      <c r="D21" s="97" t="s">
        <v>72</v>
      </c>
      <c r="E21" s="96"/>
      <c r="F21" s="96"/>
      <c r="G21" s="96"/>
    </row>
    <row r="22" spans="1:7" s="60" customFormat="1" ht="15" customHeight="1">
      <c r="A22" s="97"/>
      <c r="B22" s="97"/>
      <c r="C22" s="103" t="s">
        <v>73</v>
      </c>
      <c r="D22" s="101">
        <v>42643</v>
      </c>
      <c r="E22" s="41">
        <f ca="1">'[2]3.04 &amp; 4.04 Lead'!E22</f>
        <v>1115041</v>
      </c>
      <c r="F22" s="41">
        <f ca="1">'[2]3.04 &amp; 4.04 Lead'!F22</f>
        <v>803909</v>
      </c>
      <c r="G22" s="41">
        <f ca="1">SUM(E22:F22)</f>
        <v>1918950</v>
      </c>
    </row>
    <row r="23" spans="1:7" s="60" customFormat="1" ht="15" customHeight="1">
      <c r="A23" s="97"/>
      <c r="B23" s="97"/>
      <c r="C23" s="102" t="s">
        <v>74</v>
      </c>
      <c r="D23" s="97"/>
      <c r="E23" s="64">
        <f ca="1">+E22/G22</f>
        <v>0.58106829255582482</v>
      </c>
      <c r="F23" s="64">
        <f ca="1">+F22/G22</f>
        <v>0.41893170744417518</v>
      </c>
      <c r="G23" s="105">
        <f ca="1">SUM(E23:F23)</f>
        <v>1</v>
      </c>
    </row>
    <row r="24" spans="1:7" s="60" customFormat="1" ht="15" customHeight="1">
      <c r="A24" s="97"/>
      <c r="B24" s="97"/>
      <c r="C24" s="96"/>
      <c r="D24" s="97"/>
      <c r="E24" s="96"/>
      <c r="F24" s="96"/>
      <c r="G24" s="96"/>
    </row>
    <row r="25" spans="1:7" s="60" customFormat="1" ht="15" customHeight="1">
      <c r="A25" s="97"/>
      <c r="B25" s="97"/>
      <c r="C25" s="96" t="s">
        <v>75</v>
      </c>
      <c r="D25" s="101">
        <v>42643</v>
      </c>
      <c r="E25" s="41">
        <f ca="1">'[2]3.04 &amp; 4.04 Lead'!E25</f>
        <v>50692855.399999999</v>
      </c>
      <c r="F25" s="41">
        <f ca="1">'[2]3.04 &amp; 4.04 Lead'!F25</f>
        <v>24077925.619999997</v>
      </c>
      <c r="G25" s="106">
        <f ca="1">SUM(E25:F25)</f>
        <v>74770781.019999996</v>
      </c>
    </row>
    <row r="26" spans="1:7" s="60" customFormat="1" ht="15" customHeight="1">
      <c r="A26" s="97"/>
      <c r="B26" s="97"/>
      <c r="C26" s="102" t="s">
        <v>74</v>
      </c>
      <c r="D26" s="97"/>
      <c r="E26" s="64">
        <f ca="1">+E25/G25</f>
        <v>0.67797680736329968</v>
      </c>
      <c r="F26" s="64">
        <f ca="1">+F25/G25</f>
        <v>0.32202319263670037</v>
      </c>
      <c r="G26" s="105">
        <f ca="1">SUM(E26:F26)</f>
        <v>1</v>
      </c>
    </row>
    <row r="27" spans="1:7" s="60" customFormat="1" ht="15" customHeight="1">
      <c r="A27" s="97"/>
      <c r="B27" s="97"/>
      <c r="C27" s="96"/>
      <c r="D27" s="97"/>
      <c r="E27" s="96"/>
      <c r="F27" s="96"/>
      <c r="G27" s="96"/>
    </row>
    <row r="28" spans="1:7" s="60" customFormat="1" ht="15" customHeight="1">
      <c r="A28" s="97"/>
      <c r="B28" s="97"/>
      <c r="C28" s="96" t="s">
        <v>76</v>
      </c>
      <c r="D28" s="101">
        <v>42643</v>
      </c>
      <c r="E28" s="41">
        <f ca="1">'[2]3.04 &amp; 4.04 Lead'!E28</f>
        <v>74663501.429999799</v>
      </c>
      <c r="F28" s="41">
        <f ca="1">'[2]3.04 &amp; 4.04 Lead'!F28</f>
        <v>32511062.219999999</v>
      </c>
      <c r="G28" s="46">
        <f ca="1">SUM(E28:F28)</f>
        <v>107174563.6499998</v>
      </c>
    </row>
    <row r="29" spans="1:7" s="60" customFormat="1" ht="15" customHeight="1">
      <c r="A29" s="97"/>
      <c r="B29" s="97"/>
      <c r="C29" s="102" t="s">
        <v>74</v>
      </c>
      <c r="D29" s="101"/>
      <c r="E29" s="64">
        <f ca="1">+E28/G28</f>
        <v>0.69665318791339848</v>
      </c>
      <c r="F29" s="64">
        <f ca="1">+F28/G28</f>
        <v>0.30334681208660147</v>
      </c>
      <c r="G29" s="105">
        <f ca="1">SUM(E29:F29)</f>
        <v>1</v>
      </c>
    </row>
    <row r="30" spans="1:7" s="60" customFormat="1" ht="15" customHeight="1">
      <c r="A30" s="97"/>
      <c r="B30" s="97"/>
      <c r="C30" s="96"/>
      <c r="D30" s="97"/>
      <c r="E30" s="96"/>
      <c r="F30" s="96"/>
      <c r="G30" s="96"/>
    </row>
    <row r="31" spans="1:7" s="60" customFormat="1" ht="15" customHeight="1">
      <c r="A31" s="97"/>
      <c r="B31" s="97"/>
      <c r="C31" s="96" t="s">
        <v>104</v>
      </c>
      <c r="D31" s="101">
        <v>42643</v>
      </c>
      <c r="E31" s="41">
        <f ca="1">'[2]3.04 &amp; 4.04 Lead'!E31</f>
        <v>5574577973.7149992</v>
      </c>
      <c r="F31" s="41">
        <f ca="1">'[2]3.04 &amp; 4.04 Lead'!F31</f>
        <v>2044228678.2845836</v>
      </c>
      <c r="G31" s="41">
        <f ca="1">SUM(E31:F31)</f>
        <v>7618806651.9995823</v>
      </c>
    </row>
    <row r="32" spans="1:7" s="60" customFormat="1" ht="15" customHeight="1">
      <c r="A32" s="97"/>
      <c r="B32" s="97"/>
      <c r="C32" s="102" t="s">
        <v>74</v>
      </c>
      <c r="D32" s="97"/>
      <c r="E32" s="64">
        <f ca="1">+E31/G31</f>
        <v>0.73168650004419422</v>
      </c>
      <c r="F32" s="64">
        <f ca="1">+F31/G31</f>
        <v>0.26831349995580589</v>
      </c>
      <c r="G32" s="105">
        <f ca="1">SUM(E32:F32)</f>
        <v>1</v>
      </c>
    </row>
    <row r="33" spans="1:13" s="60" customFormat="1" ht="15" customHeight="1">
      <c r="A33" s="97"/>
      <c r="B33" s="96"/>
      <c r="C33" s="96"/>
      <c r="D33" s="97"/>
      <c r="E33" s="107"/>
      <c r="F33" s="107"/>
      <c r="G33" s="107"/>
    </row>
    <row r="34" spans="1:13" s="60" customFormat="1" ht="15" customHeight="1">
      <c r="A34" s="97"/>
      <c r="B34" s="96"/>
      <c r="C34" s="96" t="s">
        <v>77</v>
      </c>
      <c r="D34" s="97"/>
      <c r="E34" s="65">
        <f ca="1">+E32+E29+E26+E23</f>
        <v>2.6873847878767174</v>
      </c>
      <c r="F34" s="65">
        <f ca="1">+F32+F29+F26+F23</f>
        <v>1.3126152121232828</v>
      </c>
      <c r="G34" s="65">
        <f ca="1">+G32+G29+G26+G23</f>
        <v>4</v>
      </c>
    </row>
    <row r="35" spans="1:13" s="60" customFormat="1" ht="15" customHeight="1" thickBot="1">
      <c r="A35" s="96"/>
      <c r="B35" s="96"/>
      <c r="C35" s="96" t="s">
        <v>65</v>
      </c>
      <c r="D35" s="97"/>
      <c r="E35" s="61">
        <f ca="1">ROUND(+E34/4,4)</f>
        <v>0.67179999999999995</v>
      </c>
      <c r="F35" s="61">
        <f ca="1">ROUND(+F34/4,4)</f>
        <v>0.32819999999999999</v>
      </c>
      <c r="G35" s="62">
        <f ca="1">+G34/4</f>
        <v>1</v>
      </c>
      <c r="L35" s="47"/>
    </row>
    <row r="36" spans="1:13" s="60" customFormat="1" ht="18.899999999999999" customHeight="1" thickTop="1">
      <c r="A36" s="96"/>
      <c r="B36" s="96"/>
      <c r="C36" s="96"/>
      <c r="D36" s="97"/>
      <c r="E36" s="96"/>
      <c r="F36" s="96"/>
      <c r="G36" s="96"/>
      <c r="L36" s="47"/>
    </row>
    <row r="37" spans="1:13" s="60" customFormat="1" ht="15" customHeight="1">
      <c r="A37" s="99">
        <v>5</v>
      </c>
      <c r="B37" s="99" t="s">
        <v>58</v>
      </c>
      <c r="C37" s="100" t="s">
        <v>255</v>
      </c>
      <c r="D37" s="97"/>
      <c r="E37" s="96"/>
      <c r="F37" s="96"/>
      <c r="G37" s="96"/>
      <c r="L37" s="47"/>
    </row>
    <row r="38" spans="1:13" s="60" customFormat="1" ht="15" customHeight="1">
      <c r="A38" s="96"/>
      <c r="B38" s="96"/>
      <c r="C38" s="102" t="s">
        <v>105</v>
      </c>
      <c r="D38" s="101">
        <v>42643</v>
      </c>
      <c r="E38" s="41">
        <f ca="1">'[2]3.04 &amp; 4.04 Lead'!E38</f>
        <v>56256422.469999999</v>
      </c>
      <c r="F38" s="41">
        <f ca="1">'[2]3.04 &amp; 4.04 Lead'!F38</f>
        <v>27160090.619999997</v>
      </c>
      <c r="G38" s="41">
        <f ca="1">SUM(E38:F38)</f>
        <v>83416513.090000004</v>
      </c>
      <c r="L38" s="47"/>
      <c r="M38" s="47"/>
    </row>
    <row r="39" spans="1:13" s="60" customFormat="1" ht="15" customHeight="1">
      <c r="A39" s="96"/>
      <c r="B39" s="96"/>
      <c r="C39" s="96" t="s">
        <v>44</v>
      </c>
      <c r="D39" s="97"/>
      <c r="E39" s="48">
        <f ca="1">SUM(E38:E38)</f>
        <v>56256422.469999999</v>
      </c>
      <c r="F39" s="48">
        <f ca="1">SUM(F38:F38)</f>
        <v>27160090.619999997</v>
      </c>
      <c r="G39" s="48">
        <f ca="1">SUM(G38:G38)</f>
        <v>83416513.090000004</v>
      </c>
      <c r="L39" s="47"/>
    </row>
    <row r="40" spans="1:13" s="60" customFormat="1" ht="15" customHeight="1" thickBot="1">
      <c r="A40" s="96"/>
      <c r="B40" s="96"/>
      <c r="C40" s="96" t="s">
        <v>65</v>
      </c>
      <c r="D40" s="97"/>
      <c r="E40" s="61">
        <f ca="1">ROUND(+E39/G39,4)</f>
        <v>0.6744</v>
      </c>
      <c r="F40" s="61">
        <f ca="1">ROUND(+F39/G39,4)</f>
        <v>0.3256</v>
      </c>
      <c r="G40" s="108">
        <f ca="1">SUM(E40:F40)</f>
        <v>1</v>
      </c>
      <c r="L40" s="47"/>
      <c r="M40" s="47"/>
    </row>
    <row r="41" spans="1:13" s="60" customFormat="1" ht="18.899999999999999" customHeight="1" thickTop="1">
      <c r="A41" s="96"/>
      <c r="B41" s="96"/>
      <c r="C41" s="96"/>
      <c r="D41" s="97"/>
      <c r="E41" s="92"/>
      <c r="F41" s="92"/>
      <c r="G41" s="92"/>
      <c r="L41" s="47"/>
      <c r="M41" s="66"/>
    </row>
    <row r="42" spans="1:13" s="60" customFormat="1" ht="15" customHeight="1">
      <c r="A42" s="96"/>
      <c r="B42" s="96"/>
      <c r="C42" s="96"/>
      <c r="D42" s="97"/>
      <c r="E42" s="92"/>
      <c r="F42" s="92"/>
      <c r="G42" s="92"/>
    </row>
    <row r="43" spans="1:13" s="60" customFormat="1" ht="15" customHeight="1">
      <c r="A43" s="92"/>
      <c r="B43" s="92"/>
      <c r="C43" s="92"/>
      <c r="D43" s="93"/>
      <c r="E43" s="92"/>
      <c r="F43" s="92"/>
      <c r="G43" s="92"/>
    </row>
  </sheetData>
  <printOptions horizontalCentered="1"/>
  <pageMargins left="0.5" right="0.41" top="0.75" bottom="0.75" header="0.5" footer="0.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Normal="100" workbookViewId="0">
      <selection activeCell="F20" sqref="F20"/>
    </sheetView>
  </sheetViews>
  <sheetFormatPr defaultRowHeight="13.2"/>
  <cols>
    <col min="1" max="1" width="6" customWidth="1"/>
    <col min="2" max="2" width="38.6640625" bestFit="1" customWidth="1"/>
    <col min="3" max="3" width="13.6640625" customWidth="1"/>
    <col min="4" max="4" width="12" bestFit="1" customWidth="1"/>
    <col min="5" max="5" width="13.109375" bestFit="1" customWidth="1"/>
    <col min="6" max="6" width="6.33203125" customWidth="1"/>
    <col min="7" max="7" width="11.33203125" bestFit="1" customWidth="1"/>
    <col min="8" max="8" width="12.5546875" bestFit="1" customWidth="1"/>
    <col min="9" max="9" width="13.5546875" bestFit="1" customWidth="1"/>
    <col min="10" max="10" width="6.33203125" customWidth="1"/>
    <col min="11" max="11" width="11.33203125" bestFit="1" customWidth="1"/>
    <col min="12" max="12" width="12.5546875" bestFit="1" customWidth="1"/>
    <col min="13" max="13" width="13.5546875" bestFit="1" customWidth="1"/>
  </cols>
  <sheetData>
    <row r="2" spans="1:10">
      <c r="A2" s="2"/>
      <c r="B2" s="2"/>
      <c r="C2" s="2"/>
      <c r="D2" s="2"/>
      <c r="E2" s="261"/>
    </row>
    <row r="3" spans="1:10">
      <c r="A3" s="3" t="s">
        <v>78</v>
      </c>
      <c r="B3" s="83"/>
      <c r="C3" s="4"/>
      <c r="D3" s="4"/>
      <c r="E3" s="4"/>
    </row>
    <row r="4" spans="1:10">
      <c r="A4" s="3" t="s">
        <v>0</v>
      </c>
      <c r="B4" s="84"/>
      <c r="C4" s="5"/>
      <c r="D4" s="5"/>
      <c r="E4" s="5"/>
    </row>
    <row r="5" spans="1:10">
      <c r="A5" s="4" t="s">
        <v>160</v>
      </c>
      <c r="B5" s="257"/>
      <c r="C5" s="258"/>
      <c r="D5" s="258"/>
      <c r="E5" s="258"/>
    </row>
    <row r="6" spans="1:10">
      <c r="A6" s="3" t="s">
        <v>161</v>
      </c>
      <c r="B6" s="83"/>
      <c r="C6" s="4"/>
      <c r="D6" s="4"/>
      <c r="E6" s="4"/>
    </row>
    <row r="7" spans="1:10">
      <c r="A7" s="6"/>
      <c r="B7" s="6"/>
      <c r="C7" s="6"/>
      <c r="D7" s="6"/>
      <c r="E7" s="6"/>
    </row>
    <row r="8" spans="1:10">
      <c r="A8" s="7" t="s">
        <v>1</v>
      </c>
      <c r="B8" s="6"/>
      <c r="C8" s="6"/>
      <c r="D8" s="6"/>
      <c r="E8" s="6"/>
    </row>
    <row r="9" spans="1:10">
      <c r="A9" s="8" t="s">
        <v>2</v>
      </c>
      <c r="B9" s="9" t="s">
        <v>3</v>
      </c>
      <c r="C9" s="10" t="s">
        <v>4</v>
      </c>
      <c r="D9" s="11" t="s">
        <v>117</v>
      </c>
      <c r="E9" s="10" t="s">
        <v>5</v>
      </c>
    </row>
    <row r="10" spans="1:10">
      <c r="A10" s="1"/>
      <c r="B10" s="1"/>
      <c r="C10" s="1"/>
      <c r="D10" s="1"/>
      <c r="E10" s="1"/>
      <c r="F10" s="24"/>
    </row>
    <row r="11" spans="1:10">
      <c r="A11" s="12">
        <v>1</v>
      </c>
      <c r="B11" s="1" t="s">
        <v>6</v>
      </c>
      <c r="C11" s="35">
        <f ca="1">'Summary Prop &amp; Liab Ins'!H16</f>
        <v>243605.91699100003</v>
      </c>
      <c r="D11" s="35">
        <f ca="1">'Summary Prop &amp; Liab Ins'!L16</f>
        <v>218735.503535</v>
      </c>
      <c r="E11" s="38">
        <f ca="1">+D11-C11</f>
        <v>-24870.413456000038</v>
      </c>
      <c r="F11" s="176"/>
      <c r="J11" s="34"/>
    </row>
    <row r="12" spans="1:10">
      <c r="A12" s="12">
        <f>A11+1</f>
        <v>2</v>
      </c>
      <c r="B12" s="1" t="s">
        <v>7</v>
      </c>
      <c r="C12" s="36">
        <f ca="1">'Summary Prop &amp; Liab Ins'!H42</f>
        <v>1270902.5643805922</v>
      </c>
      <c r="D12" s="36">
        <f ca="1">'Summary Prop &amp; Liab Ins'!L42</f>
        <v>1226273.9901362888</v>
      </c>
      <c r="E12" s="38">
        <f ca="1">+D12-C12</f>
        <v>-44628.574244303396</v>
      </c>
      <c r="F12" s="176"/>
      <c r="J12" s="34"/>
    </row>
    <row r="13" spans="1:10">
      <c r="A13" s="12">
        <f>A12+1</f>
        <v>3</v>
      </c>
      <c r="B13" s="13" t="s">
        <v>8</v>
      </c>
      <c r="C13" s="37">
        <f ca="1">SUM(C11:C12)</f>
        <v>1514508.4813715923</v>
      </c>
      <c r="D13" s="37">
        <f ca="1">SUM(D11:D12)</f>
        <v>1445009.4936712887</v>
      </c>
      <c r="E13" s="37">
        <f ca="1">SUM(E11:E12)</f>
        <v>-69498.987700303434</v>
      </c>
      <c r="F13" s="24"/>
    </row>
    <row r="14" spans="1:10">
      <c r="A14" s="12">
        <f>A13+1</f>
        <v>4</v>
      </c>
      <c r="B14" s="13"/>
      <c r="C14" s="1"/>
      <c r="D14" s="1"/>
      <c r="E14" s="14"/>
      <c r="F14" s="24"/>
    </row>
    <row r="15" spans="1:10" s="386" customFormat="1">
      <c r="A15" s="12">
        <f>A14+1</f>
        <v>5</v>
      </c>
      <c r="B15" s="13" t="s">
        <v>9</v>
      </c>
      <c r="C15" s="445">
        <v>0.21</v>
      </c>
      <c r="D15" s="446"/>
      <c r="E15" s="38">
        <f ca="1">-C15*E13</f>
        <v>14594.787417063721</v>
      </c>
      <c r="F15" s="256"/>
    </row>
    <row r="16" spans="1:10" s="386" customFormat="1" ht="13.8" thickBot="1">
      <c r="A16" s="12">
        <f>A15+1</f>
        <v>6</v>
      </c>
      <c r="B16" s="13" t="s">
        <v>10</v>
      </c>
      <c r="C16" s="1"/>
      <c r="D16" s="1"/>
      <c r="E16" s="447">
        <f ca="1">-E13-E15</f>
        <v>54904.200283239712</v>
      </c>
      <c r="F16" s="256"/>
    </row>
    <row r="17" spans="1:6" ht="14.4" thickTop="1">
      <c r="A17" s="12"/>
      <c r="B17" s="13"/>
      <c r="C17" s="443"/>
      <c r="D17" s="443"/>
      <c r="E17" s="444"/>
      <c r="F17" s="24"/>
    </row>
    <row r="18" spans="1:6">
      <c r="A18" s="39"/>
      <c r="B18" s="15"/>
      <c r="C18" s="15"/>
      <c r="D18" s="15"/>
      <c r="E18" s="15"/>
      <c r="F18" s="24"/>
    </row>
    <row r="19" spans="1:6">
      <c r="A19" s="39"/>
      <c r="B19" s="1"/>
      <c r="C19" s="1"/>
      <c r="D19" s="1"/>
      <c r="E19" s="1"/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7"/>
  <sheetViews>
    <sheetView topLeftCell="A10" zoomScale="85" zoomScaleNormal="85" workbookViewId="0">
      <selection activeCell="J14" sqref="J14"/>
    </sheetView>
  </sheetViews>
  <sheetFormatPr defaultColWidth="8.88671875" defaultRowHeight="13.2"/>
  <cols>
    <col min="1" max="1" width="2.6640625" style="19" customWidth="1"/>
    <col min="2" max="2" width="18.5546875" style="19" customWidth="1"/>
    <col min="3" max="3" width="76.33203125" style="19" customWidth="1"/>
    <col min="4" max="4" width="8.33203125" style="19" bestFit="1" customWidth="1"/>
    <col min="5" max="5" width="17" style="19" bestFit="1" customWidth="1"/>
    <col min="6" max="6" width="10.5546875" style="17" bestFit="1" customWidth="1"/>
    <col min="7" max="7" width="11.6640625" style="17" bestFit="1" customWidth="1"/>
    <col min="8" max="8" width="11.6640625" style="19" bestFit="1" customWidth="1"/>
    <col min="9" max="9" width="2.33203125" style="19" customWidth="1"/>
    <col min="10" max="10" width="10.5546875" style="19" bestFit="1" customWidth="1"/>
    <col min="11" max="11" width="12.6640625" style="19" bestFit="1" customWidth="1"/>
    <col min="12" max="12" width="10.5546875" style="19" bestFit="1" customWidth="1"/>
    <col min="13" max="13" width="1.5546875" style="19" customWidth="1"/>
    <col min="14" max="15" width="9.6640625" style="19" bestFit="1" customWidth="1"/>
    <col min="16" max="16" width="8.5546875" style="19" bestFit="1" customWidth="1"/>
    <col min="17" max="16384" width="8.88671875" style="19"/>
  </cols>
  <sheetData>
    <row r="2" spans="1:16" s="31" customFormat="1">
      <c r="B2" s="191" t="s">
        <v>19</v>
      </c>
      <c r="F2" s="25"/>
      <c r="G2" s="25"/>
      <c r="H2" s="67"/>
      <c r="I2" s="67"/>
      <c r="J2" s="67"/>
      <c r="K2" s="67"/>
      <c r="L2" s="33"/>
      <c r="M2" s="33"/>
      <c r="N2" s="33"/>
    </row>
    <row r="3" spans="1:16" s="31" customFormat="1">
      <c r="B3" s="191" t="s">
        <v>37</v>
      </c>
      <c r="F3" s="25"/>
      <c r="G3" s="25"/>
      <c r="H3" s="67"/>
      <c r="I3" s="67"/>
      <c r="J3" s="67"/>
      <c r="K3" s="67"/>
      <c r="L3" s="33"/>
      <c r="M3" s="33"/>
      <c r="N3" s="33"/>
    </row>
    <row r="4" spans="1:16" s="31" customFormat="1">
      <c r="B4" s="191" t="s">
        <v>163</v>
      </c>
      <c r="F4" s="25"/>
      <c r="G4" s="25"/>
      <c r="H4" s="67"/>
      <c r="I4" s="67"/>
      <c r="J4" s="67"/>
      <c r="K4" s="67"/>
      <c r="L4" s="33"/>
      <c r="M4" s="33"/>
      <c r="N4" s="33"/>
    </row>
    <row r="5" spans="1:16" ht="13.8" thickBot="1">
      <c r="A5" s="31"/>
      <c r="B5" s="31"/>
      <c r="C5" s="33"/>
      <c r="D5" s="33"/>
      <c r="E5" s="33"/>
      <c r="F5" s="40"/>
      <c r="G5" s="40"/>
      <c r="H5" s="33"/>
      <c r="I5" s="20"/>
      <c r="J5" s="20"/>
      <c r="K5" s="20"/>
      <c r="L5" s="20"/>
      <c r="M5" s="20"/>
      <c r="N5" s="20"/>
    </row>
    <row r="6" spans="1:16" ht="20.399999999999999" customHeight="1">
      <c r="A6" s="31"/>
      <c r="B6" s="448" t="s">
        <v>244</v>
      </c>
      <c r="C6" s="449"/>
      <c r="D6" s="449"/>
      <c r="E6" s="449"/>
      <c r="F6" s="449"/>
      <c r="G6" s="449"/>
      <c r="H6" s="450"/>
      <c r="I6" s="31"/>
      <c r="J6" s="350"/>
      <c r="K6" s="382" t="s">
        <v>246</v>
      </c>
      <c r="L6" s="351"/>
      <c r="N6" s="405" t="s">
        <v>230</v>
      </c>
      <c r="O6" s="406"/>
      <c r="P6" s="407"/>
    </row>
    <row r="7" spans="1:16">
      <c r="A7" s="31"/>
      <c r="B7" s="119" t="s">
        <v>33</v>
      </c>
      <c r="C7" s="120" t="s">
        <v>32</v>
      </c>
      <c r="D7" s="120" t="s">
        <v>31</v>
      </c>
      <c r="E7" s="156"/>
      <c r="F7" s="156" t="s">
        <v>30</v>
      </c>
      <c r="G7" s="120" t="s">
        <v>20</v>
      </c>
      <c r="H7" s="121" t="s">
        <v>21</v>
      </c>
      <c r="I7" s="31"/>
      <c r="J7" s="387" t="s">
        <v>30</v>
      </c>
      <c r="K7" s="143" t="s">
        <v>20</v>
      </c>
      <c r="L7" s="388" t="s">
        <v>21</v>
      </c>
      <c r="N7" s="352" t="s">
        <v>30</v>
      </c>
      <c r="O7" s="68" t="s">
        <v>20</v>
      </c>
      <c r="P7" s="353" t="s">
        <v>21</v>
      </c>
    </row>
    <row r="8" spans="1:16">
      <c r="A8" s="31"/>
      <c r="B8" s="122"/>
      <c r="C8" s="123"/>
      <c r="D8" s="123"/>
      <c r="E8" s="123"/>
      <c r="F8" s="123"/>
      <c r="G8" s="124">
        <f ca="1">'Alloc Factors for calc'!E19</f>
        <v>0.60809999999999997</v>
      </c>
      <c r="H8" s="125">
        <f ca="1">'Alloc Factors for calc'!F19</f>
        <v>0.39190000000000003</v>
      </c>
      <c r="I8" s="31"/>
      <c r="J8" s="397"/>
      <c r="K8" s="389">
        <f ca="1">G8</f>
        <v>0.60809999999999997</v>
      </c>
      <c r="L8" s="390">
        <f ca="1">H8</f>
        <v>0.39190000000000003</v>
      </c>
      <c r="M8" s="31"/>
      <c r="N8" s="354"/>
      <c r="O8" s="330"/>
      <c r="P8" s="355"/>
    </row>
    <row r="9" spans="1:16" s="31" customFormat="1">
      <c r="B9" s="269" t="s">
        <v>121</v>
      </c>
      <c r="C9" s="270" t="s">
        <v>114</v>
      </c>
      <c r="D9" s="271" t="s">
        <v>21</v>
      </c>
      <c r="E9" s="144">
        <f>'SAP Download'!B5+'SAP Download'!B6</f>
        <v>136194.40000000002</v>
      </c>
      <c r="F9" s="157"/>
      <c r="G9" s="158">
        <v>0</v>
      </c>
      <c r="H9" s="159">
        <f>E9</f>
        <v>136194.40000000002</v>
      </c>
      <c r="J9" s="356">
        <f>Proposal!E38</f>
        <v>138296.99</v>
      </c>
      <c r="K9" s="327"/>
      <c r="L9" s="357">
        <f>J9</f>
        <v>138296.99</v>
      </c>
      <c r="M9" s="326"/>
      <c r="N9" s="356">
        <f>J9-SUM(E9:F9)</f>
        <v>2102.5899999999674</v>
      </c>
      <c r="O9" s="400">
        <f>K9-G9</f>
        <v>0</v>
      </c>
      <c r="P9" s="357">
        <f>L9-H9</f>
        <v>2102.5899999999674</v>
      </c>
    </row>
    <row r="10" spans="1:16" s="31" customFormat="1">
      <c r="B10" s="126">
        <v>92400013</v>
      </c>
      <c r="C10" s="127" t="s">
        <v>113</v>
      </c>
      <c r="D10" s="128" t="s">
        <v>20</v>
      </c>
      <c r="E10" s="144">
        <f>'SAP Download'!B7</f>
        <v>3237779.9500000007</v>
      </c>
      <c r="F10" s="157"/>
      <c r="G10" s="158">
        <f>E10</f>
        <v>3237779.9500000007</v>
      </c>
      <c r="H10" s="159">
        <v>0</v>
      </c>
      <c r="J10" s="358">
        <f>Proposal!E29+Proposal!E33</f>
        <v>3204872</v>
      </c>
      <c r="K10" s="328">
        <f>J10</f>
        <v>3204872</v>
      </c>
      <c r="L10" s="359"/>
      <c r="M10" s="326"/>
      <c r="N10" s="358">
        <f t="shared" ref="N10:N13" si="0">J10-SUM(E10:F10)</f>
        <v>-32907.950000000652</v>
      </c>
      <c r="O10" s="328">
        <f t="shared" ref="O10:O14" si="1">K10-G10</f>
        <v>-32907.950000000652</v>
      </c>
      <c r="P10" s="359">
        <f t="shared" ref="P10:P14" si="2">L10-H10</f>
        <v>0</v>
      </c>
    </row>
    <row r="11" spans="1:16" s="31" customFormat="1">
      <c r="B11" s="126">
        <v>92400005</v>
      </c>
      <c r="C11" s="127" t="s">
        <v>150</v>
      </c>
      <c r="D11" s="128" t="s">
        <v>20</v>
      </c>
      <c r="E11" s="144">
        <f>'Colstrip Ins '!O9+'Colstrip Ins '!O33</f>
        <v>542579.64</v>
      </c>
      <c r="F11" s="157"/>
      <c r="G11" s="158">
        <f>E11</f>
        <v>542579.64</v>
      </c>
      <c r="H11" s="159">
        <v>0</v>
      </c>
      <c r="J11" s="358">
        <f>Proposal!E30+Proposal!E31</f>
        <v>549706.80000000005</v>
      </c>
      <c r="K11" s="328">
        <f>J11</f>
        <v>549706.80000000005</v>
      </c>
      <c r="L11" s="359"/>
      <c r="M11" s="326"/>
      <c r="N11" s="358">
        <f t="shared" si="0"/>
        <v>7127.1600000000326</v>
      </c>
      <c r="O11" s="328">
        <f t="shared" si="1"/>
        <v>7127.1600000000326</v>
      </c>
      <c r="P11" s="359">
        <f t="shared" si="2"/>
        <v>0</v>
      </c>
    </row>
    <row r="12" spans="1:16" s="31" customFormat="1">
      <c r="B12" s="126">
        <v>92400005</v>
      </c>
      <c r="C12" s="127" t="s">
        <v>215</v>
      </c>
      <c r="D12" s="128" t="s">
        <v>20</v>
      </c>
      <c r="E12" s="144">
        <f>'Freddy1 Ins'!O5</f>
        <v>231616.74768374994</v>
      </c>
      <c r="F12" s="157"/>
      <c r="G12" s="158">
        <f>E12</f>
        <v>231616.74768374994</v>
      </c>
      <c r="H12" s="159">
        <v>0</v>
      </c>
      <c r="J12" s="358">
        <f>Proposal!E32</f>
        <v>245507.26</v>
      </c>
      <c r="K12" s="328">
        <f>J12</f>
        <v>245507.26</v>
      </c>
      <c r="L12" s="359"/>
      <c r="M12" s="326"/>
      <c r="N12" s="358">
        <f t="shared" si="0"/>
        <v>13890.512316250068</v>
      </c>
      <c r="O12" s="328">
        <f t="shared" si="1"/>
        <v>13890.512316250068</v>
      </c>
      <c r="P12" s="359">
        <f t="shared" si="2"/>
        <v>0</v>
      </c>
    </row>
    <row r="13" spans="1:16" s="31" customFormat="1">
      <c r="B13" s="126">
        <v>92400634</v>
      </c>
      <c r="C13" s="127" t="s">
        <v>42</v>
      </c>
      <c r="D13" s="128" t="s">
        <v>34</v>
      </c>
      <c r="E13" s="158"/>
      <c r="F13" s="144">
        <f>'SAP Download'!B8</f>
        <v>240693.87000000002</v>
      </c>
      <c r="G13" s="158">
        <f ca="1">F13*G8</f>
        <v>146365.942347</v>
      </c>
      <c r="H13" s="159">
        <f ca="1">F13*H8</f>
        <v>94327.927653000021</v>
      </c>
      <c r="J13" s="358">
        <f>Proposal!E40</f>
        <v>174136.65</v>
      </c>
      <c r="K13" s="328">
        <f ca="1">$J13*K$8</f>
        <v>105892.49686499999</v>
      </c>
      <c r="L13" s="359">
        <f ca="1">$J13*L$8</f>
        <v>68244.153135</v>
      </c>
      <c r="M13" s="326"/>
      <c r="N13" s="358">
        <f t="shared" si="0"/>
        <v>-66557.22000000003</v>
      </c>
      <c r="O13" s="328">
        <f t="shared" ca="1" si="1"/>
        <v>-40473.44548200001</v>
      </c>
      <c r="P13" s="359">
        <f t="shared" ca="1" si="2"/>
        <v>-26083.77451800002</v>
      </c>
    </row>
    <row r="14" spans="1:16" s="22" customFormat="1">
      <c r="A14" s="52"/>
      <c r="B14" s="126">
        <v>92400635</v>
      </c>
      <c r="C14" s="127" t="s">
        <v>26</v>
      </c>
      <c r="D14" s="128" t="s">
        <v>34</v>
      </c>
      <c r="E14" s="158"/>
      <c r="F14" s="144">
        <f>'SAP Download'!B9</f>
        <v>33385.01999999999</v>
      </c>
      <c r="G14" s="158">
        <f ca="1">F14*$G$8</f>
        <v>20301.430661999992</v>
      </c>
      <c r="H14" s="159">
        <f ca="1">F14*$H$8</f>
        <v>13083.589337999996</v>
      </c>
      <c r="I14" s="52"/>
      <c r="J14" s="358">
        <f>Proposal!E41</f>
        <v>31116</v>
      </c>
      <c r="K14" s="328">
        <f ca="1">$J14*K$8</f>
        <v>18921.639599999999</v>
      </c>
      <c r="L14" s="359">
        <f ca="1">$J14*L$8</f>
        <v>12194.360400000001</v>
      </c>
      <c r="M14" s="327"/>
      <c r="N14" s="358">
        <f t="shared" ref="N14" si="3">J14-SUM(E14:F14)</f>
        <v>-2269.0199999999895</v>
      </c>
      <c r="O14" s="328">
        <f t="shared" ca="1" si="1"/>
        <v>-1379.791061999993</v>
      </c>
      <c r="P14" s="359">
        <f t="shared" ca="1" si="2"/>
        <v>-889.22893799999474</v>
      </c>
    </row>
    <row r="15" spans="1:16">
      <c r="A15" s="31"/>
      <c r="B15" s="134"/>
      <c r="C15" s="127"/>
      <c r="D15" s="128"/>
      <c r="E15" s="131"/>
      <c r="F15" s="144"/>
      <c r="G15" s="158"/>
      <c r="H15" s="159"/>
      <c r="I15" s="31"/>
      <c r="J15" s="358"/>
      <c r="K15" s="328"/>
      <c r="L15" s="359"/>
      <c r="M15" s="326"/>
      <c r="N15" s="358"/>
      <c r="O15" s="328"/>
      <c r="P15" s="359"/>
    </row>
    <row r="16" spans="1:16" ht="13.8" thickBot="1">
      <c r="A16" s="31"/>
      <c r="B16" s="134"/>
      <c r="C16" s="135" t="s">
        <v>41</v>
      </c>
      <c r="D16" s="128"/>
      <c r="E16" s="160">
        <f>SUM(E9:E15)</f>
        <v>4148170.7376837507</v>
      </c>
      <c r="F16" s="391">
        <f>SUM(F9:F15)</f>
        <v>274078.89</v>
      </c>
      <c r="G16" s="161">
        <f ca="1">SUM(G9:G15)</f>
        <v>4178643.7106927508</v>
      </c>
      <c r="H16" s="162">
        <f ca="1">SUM(H9:H15)</f>
        <v>243605.91699100003</v>
      </c>
      <c r="I16" s="31"/>
      <c r="J16" s="360">
        <f>SUM(J9:J15)</f>
        <v>4343635.7</v>
      </c>
      <c r="K16" s="329">
        <f ca="1">SUM(K9:K15)</f>
        <v>4124900.1964649996</v>
      </c>
      <c r="L16" s="361">
        <f ca="1">SUM(L9:L15)</f>
        <v>218735.503535</v>
      </c>
      <c r="M16" s="326"/>
      <c r="N16" s="360">
        <f>SUM(N9:N15)</f>
        <v>-78613.927683750604</v>
      </c>
      <c r="O16" s="329">
        <f ca="1">SUM(O9:O15)</f>
        <v>-53743.514227750551</v>
      </c>
      <c r="P16" s="361">
        <f ca="1">SUM(P9:P15)</f>
        <v>-24870.413456000046</v>
      </c>
    </row>
    <row r="17" spans="1:16" ht="14.4" thickTop="1" thickBot="1">
      <c r="B17" s="72"/>
      <c r="C17" s="73"/>
      <c r="D17" s="74"/>
      <c r="E17" s="74"/>
      <c r="F17" s="81"/>
      <c r="G17" s="336"/>
      <c r="H17" s="337"/>
      <c r="I17" s="31"/>
      <c r="J17" s="190"/>
      <c r="K17" s="342"/>
      <c r="L17" s="362"/>
      <c r="M17" s="326"/>
      <c r="N17" s="190"/>
      <c r="O17" s="342"/>
      <c r="P17" s="362"/>
    </row>
    <row r="18" spans="1:16" ht="13.8" thickBot="1">
      <c r="B18" s="75"/>
      <c r="C18" s="76"/>
      <c r="D18" s="76"/>
      <c r="E18" s="91"/>
      <c r="F18" s="91"/>
      <c r="G18" s="91"/>
      <c r="H18" s="91"/>
      <c r="I18" s="32"/>
      <c r="J18" s="363"/>
      <c r="K18" s="364"/>
      <c r="L18" s="365"/>
      <c r="M18" s="326"/>
      <c r="N18" s="352"/>
      <c r="O18" s="364"/>
      <c r="P18" s="365"/>
    </row>
    <row r="19" spans="1:16" ht="19.2" customHeight="1">
      <c r="B19" s="448" t="s">
        <v>245</v>
      </c>
      <c r="C19" s="449"/>
      <c r="D19" s="449"/>
      <c r="E19" s="449"/>
      <c r="F19" s="449"/>
      <c r="G19" s="449"/>
      <c r="H19" s="450"/>
      <c r="I19" s="32"/>
      <c r="J19" s="366"/>
      <c r="K19" s="399" t="s">
        <v>246</v>
      </c>
      <c r="L19" s="367"/>
      <c r="N19" s="401"/>
      <c r="O19" s="402"/>
      <c r="P19" s="403"/>
    </row>
    <row r="20" spans="1:16">
      <c r="A20" s="31"/>
      <c r="B20" s="119" t="s">
        <v>33</v>
      </c>
      <c r="C20" s="120" t="s">
        <v>32</v>
      </c>
      <c r="D20" s="120" t="s">
        <v>31</v>
      </c>
      <c r="E20" s="120"/>
      <c r="F20" s="120" t="s">
        <v>30</v>
      </c>
      <c r="G20" s="120" t="s">
        <v>20</v>
      </c>
      <c r="H20" s="121" t="s">
        <v>21</v>
      </c>
      <c r="I20" s="32"/>
      <c r="J20" s="352" t="s">
        <v>30</v>
      </c>
      <c r="K20" s="68" t="s">
        <v>20</v>
      </c>
      <c r="L20" s="353" t="s">
        <v>21</v>
      </c>
      <c r="N20" s="401"/>
      <c r="O20" s="402"/>
      <c r="P20" s="403"/>
    </row>
    <row r="21" spans="1:16">
      <c r="A21" s="31"/>
      <c r="B21" s="122"/>
      <c r="C21" s="123"/>
      <c r="D21" s="123"/>
      <c r="E21" s="123"/>
      <c r="F21" s="123"/>
      <c r="G21" s="412">
        <f ca="1">ROUND('Alloc Factors for calc'!E23,4)</f>
        <v>0.58109999999999995</v>
      </c>
      <c r="H21" s="413">
        <f ca="1">ROUND('Alloc Factors for calc'!F23,4)</f>
        <v>0.41889999999999999</v>
      </c>
      <c r="I21" s="32"/>
      <c r="J21" s="354"/>
      <c r="K21" s="330">
        <v>0.58109999999999995</v>
      </c>
      <c r="L21" s="355">
        <v>0.41889999999999999</v>
      </c>
      <c r="M21" s="31"/>
      <c r="N21" s="401"/>
      <c r="O21" s="402"/>
      <c r="P21" s="403"/>
    </row>
    <row r="22" spans="1:16" s="31" customFormat="1">
      <c r="B22" s="126">
        <v>92500602</v>
      </c>
      <c r="C22" s="127" t="s">
        <v>23</v>
      </c>
      <c r="D22" s="128" t="s">
        <v>34</v>
      </c>
      <c r="E22" s="130"/>
      <c r="F22" s="131">
        <f>'SAP Download'!B13</f>
        <v>12843</v>
      </c>
      <c r="G22" s="131">
        <f ca="1">$G$21*F22</f>
        <v>7463.0672999999997</v>
      </c>
      <c r="H22" s="132">
        <f ca="1">$H$21*F22</f>
        <v>5379.9327000000003</v>
      </c>
      <c r="I22" s="32"/>
      <c r="J22" s="358"/>
      <c r="K22" s="328"/>
      <c r="L22" s="359"/>
      <c r="M22" s="326"/>
      <c r="N22" s="401"/>
      <c r="O22" s="402"/>
      <c r="P22" s="403"/>
    </row>
    <row r="23" spans="1:16" s="31" customFormat="1">
      <c r="B23" s="126">
        <v>92500636</v>
      </c>
      <c r="C23" s="127" t="s">
        <v>125</v>
      </c>
      <c r="D23" s="128" t="s">
        <v>34</v>
      </c>
      <c r="E23" s="130"/>
      <c r="F23" s="131">
        <f>'SAP Download'!B14</f>
        <v>0</v>
      </c>
      <c r="G23" s="131">
        <f ca="1">$G$21*F23</f>
        <v>0</v>
      </c>
      <c r="H23" s="132">
        <f ca="1">$H$21*F23</f>
        <v>0</v>
      </c>
      <c r="I23" s="32"/>
      <c r="J23" s="358"/>
      <c r="K23" s="328"/>
      <c r="L23" s="359"/>
      <c r="M23" s="326"/>
      <c r="N23" s="373"/>
      <c r="O23" s="188"/>
      <c r="P23" s="189"/>
    </row>
    <row r="24" spans="1:16" s="31" customFormat="1">
      <c r="B24" s="126">
        <v>92500637</v>
      </c>
      <c r="C24" s="127" t="s">
        <v>35</v>
      </c>
      <c r="D24" s="128" t="s">
        <v>34</v>
      </c>
      <c r="E24" s="130"/>
      <c r="F24" s="131">
        <f>'SAP Download'!B15</f>
        <v>4347323.5799999991</v>
      </c>
      <c r="G24" s="131">
        <f ca="1">$G$21*F24</f>
        <v>2526229.7323379992</v>
      </c>
      <c r="H24" s="132">
        <f ca="1">$H$21*F24</f>
        <v>1821093.8476619995</v>
      </c>
      <c r="I24" s="32"/>
      <c r="J24" s="358"/>
      <c r="K24" s="328"/>
      <c r="L24" s="359"/>
      <c r="M24" s="326"/>
      <c r="N24" s="373"/>
      <c r="O24" s="188"/>
      <c r="P24" s="189"/>
    </row>
    <row r="25" spans="1:16" s="31" customFormat="1">
      <c r="B25" s="126">
        <v>92500638</v>
      </c>
      <c r="C25" s="127" t="s">
        <v>25</v>
      </c>
      <c r="D25" s="128" t="s">
        <v>34</v>
      </c>
      <c r="E25" s="130"/>
      <c r="F25" s="131">
        <f>'SAP Download'!B16</f>
        <v>120292.95</v>
      </c>
      <c r="G25" s="131">
        <f ca="1">$G$21*F25</f>
        <v>69902.233244999996</v>
      </c>
      <c r="H25" s="132">
        <f ca="1">$H$21*F25</f>
        <v>50390.716755000001</v>
      </c>
      <c r="I25" s="32"/>
      <c r="J25" s="358"/>
      <c r="K25" s="328"/>
      <c r="L25" s="359"/>
      <c r="M25" s="326"/>
      <c r="N25" s="373"/>
      <c r="O25" s="188"/>
      <c r="P25" s="189"/>
    </row>
    <row r="26" spans="1:16" s="31" customFormat="1">
      <c r="B26" s="126">
        <v>92500702</v>
      </c>
      <c r="C26" s="127" t="s">
        <v>43</v>
      </c>
      <c r="D26" s="128" t="s">
        <v>34</v>
      </c>
      <c r="E26" s="133"/>
      <c r="F26" s="131">
        <f>'SAP Download'!B17</f>
        <v>840535.46</v>
      </c>
      <c r="G26" s="131">
        <f ca="1">$G$21*F26</f>
        <v>488435.15580599994</v>
      </c>
      <c r="H26" s="132">
        <f ca="1">$H$21*F26</f>
        <v>352100.30419399997</v>
      </c>
      <c r="I26" s="32"/>
      <c r="J26" s="358"/>
      <c r="K26" s="328"/>
      <c r="L26" s="359"/>
      <c r="M26" s="326"/>
      <c r="N26" s="373"/>
      <c r="O26" s="188"/>
      <c r="P26" s="189"/>
    </row>
    <row r="27" spans="1:16" s="31" customFormat="1">
      <c r="B27" s="134"/>
      <c r="C27" s="135" t="s">
        <v>92</v>
      </c>
      <c r="D27" s="128"/>
      <c r="E27" s="136">
        <f>SUM(E22:E26)</f>
        <v>0</v>
      </c>
      <c r="F27" s="137">
        <f>SUM(F22:F26)</f>
        <v>5320994.9899999993</v>
      </c>
      <c r="G27" s="137">
        <f ca="1">SUM(G22:G26)</f>
        <v>3092030.188688999</v>
      </c>
      <c r="H27" s="138">
        <f ca="1">SUM(H22:H26)</f>
        <v>2228964.8013109993</v>
      </c>
      <c r="I27" s="80"/>
      <c r="J27" s="368">
        <f>SUM('Liability Ins - RY'!D11:D30)</f>
        <v>5124270.12</v>
      </c>
      <c r="K27" s="332">
        <f>$J27*K$21</f>
        <v>2977713.3667319999</v>
      </c>
      <c r="L27" s="369">
        <f>$J27*L$21</f>
        <v>2146556.7532680002</v>
      </c>
      <c r="M27" s="326"/>
      <c r="N27" s="368">
        <f t="shared" ref="N27" si="4">J27-SUM(E27:F27)</f>
        <v>-196724.86999999918</v>
      </c>
      <c r="O27" s="332">
        <f t="shared" ref="O27" ca="1" si="5">K27-G27</f>
        <v>-114316.82195699913</v>
      </c>
      <c r="P27" s="369">
        <f t="shared" ref="P27" ca="1" si="6">L27-H27</f>
        <v>-82408.048042999115</v>
      </c>
    </row>
    <row r="28" spans="1:16" s="31" customFormat="1">
      <c r="B28" s="410" t="s">
        <v>253</v>
      </c>
      <c r="C28" s="68"/>
      <c r="D28" s="68"/>
      <c r="E28" s="139" t="s">
        <v>36</v>
      </c>
      <c r="F28" s="411">
        <f ca="1">G28</f>
        <v>0.54659999999999997</v>
      </c>
      <c r="G28" s="140">
        <f ca="1">ROUND('[2]SAP DL Downld'!H15,4)</f>
        <v>0.54659999999999997</v>
      </c>
      <c r="H28" s="141">
        <f ca="1">G28</f>
        <v>0.54659999999999997</v>
      </c>
      <c r="I28" s="32"/>
      <c r="J28" s="370">
        <f ca="1">G28</f>
        <v>0.54659999999999997</v>
      </c>
      <c r="K28" s="371">
        <f ca="1">J28</f>
        <v>0.54659999999999997</v>
      </c>
      <c r="L28" s="372">
        <f ca="1">K28</f>
        <v>0.54659999999999997</v>
      </c>
      <c r="M28" s="326"/>
      <c r="N28" s="370">
        <f ca="1">J28</f>
        <v>0.54659999999999997</v>
      </c>
      <c r="O28" s="371">
        <f ca="1">K28</f>
        <v>0.54659999999999997</v>
      </c>
      <c r="P28" s="372">
        <f ca="1">L28</f>
        <v>0.54659999999999997</v>
      </c>
    </row>
    <row r="29" spans="1:16" s="31" customFormat="1">
      <c r="B29" s="126"/>
      <c r="C29" s="135" t="s">
        <v>93</v>
      </c>
      <c r="D29" s="128"/>
      <c r="E29" s="68"/>
      <c r="F29" s="334">
        <f ca="1">F27*F28</f>
        <v>2908455.8615339994</v>
      </c>
      <c r="G29" s="136">
        <f ca="1">G27*G28</f>
        <v>1690103.7011374068</v>
      </c>
      <c r="H29" s="142">
        <f ca="1">H27*H28</f>
        <v>1218352.1603965922</v>
      </c>
      <c r="I29" s="32"/>
      <c r="J29" s="368">
        <f ca="1">J27*J28</f>
        <v>2800926.0475920001</v>
      </c>
      <c r="K29" s="332">
        <f ca="1">K27*K28</f>
        <v>1627618.1262557111</v>
      </c>
      <c r="L29" s="369">
        <f ca="1">L27*L28</f>
        <v>1173307.9213362888</v>
      </c>
      <c r="M29" s="326"/>
      <c r="N29" s="368">
        <f t="shared" ref="N29" ca="1" si="7">J29-SUM(E29:F29)</f>
        <v>-107529.81394199934</v>
      </c>
      <c r="O29" s="332">
        <f t="shared" ref="O29" ca="1" si="8">K29-G29</f>
        <v>-62485.574881695677</v>
      </c>
      <c r="P29" s="369">
        <f t="shared" ref="P29" ca="1" si="9">L29-H29</f>
        <v>-45044.239060303429</v>
      </c>
    </row>
    <row r="30" spans="1:16" s="31" customFormat="1">
      <c r="B30" s="126"/>
      <c r="C30" s="135"/>
      <c r="D30" s="128"/>
      <c r="E30" s="68"/>
      <c r="F30" s="129"/>
      <c r="G30" s="338"/>
      <c r="H30" s="339"/>
      <c r="I30" s="32"/>
      <c r="J30" s="358"/>
      <c r="K30" s="340"/>
      <c r="L30" s="341"/>
      <c r="M30" s="326"/>
      <c r="N30" s="373"/>
      <c r="O30" s="340"/>
      <c r="P30" s="341"/>
    </row>
    <row r="31" spans="1:16" s="31" customFormat="1">
      <c r="B31" s="119" t="s">
        <v>33</v>
      </c>
      <c r="C31" s="120" t="s">
        <v>32</v>
      </c>
      <c r="D31" s="120" t="s">
        <v>31</v>
      </c>
      <c r="E31" s="143"/>
      <c r="F31" s="143" t="s">
        <v>30</v>
      </c>
      <c r="G31" s="120" t="s">
        <v>20</v>
      </c>
      <c r="H31" s="121" t="s">
        <v>21</v>
      </c>
      <c r="I31" s="32"/>
      <c r="J31" s="352" t="s">
        <v>30</v>
      </c>
      <c r="K31" s="68" t="s">
        <v>20</v>
      </c>
      <c r="L31" s="353" t="s">
        <v>21</v>
      </c>
      <c r="M31" s="19"/>
      <c r="N31" s="352" t="s">
        <v>30</v>
      </c>
      <c r="O31" s="68" t="s">
        <v>20</v>
      </c>
      <c r="P31" s="353" t="s">
        <v>21</v>
      </c>
    </row>
    <row r="32" spans="1:16" s="31" customFormat="1">
      <c r="B32" s="122"/>
      <c r="C32" s="123"/>
      <c r="D32" s="123"/>
      <c r="E32" s="123"/>
      <c r="F32" s="123"/>
      <c r="G32" s="124">
        <f ca="1">G8</f>
        <v>0.60809999999999997</v>
      </c>
      <c r="H32" s="125">
        <f ca="1">H8</f>
        <v>0.39190000000000003</v>
      </c>
      <c r="I32" s="32"/>
      <c r="J32" s="398"/>
      <c r="K32" s="414">
        <v>0.60809999999999997</v>
      </c>
      <c r="L32" s="415">
        <v>0.39190000000000003</v>
      </c>
      <c r="N32" s="354"/>
      <c r="O32" s="330"/>
      <c r="P32" s="355"/>
    </row>
    <row r="33" spans="1:16" s="31" customFormat="1">
      <c r="B33" s="126">
        <v>92400605</v>
      </c>
      <c r="C33" s="127" t="s">
        <v>22</v>
      </c>
      <c r="D33" s="128" t="s">
        <v>34</v>
      </c>
      <c r="E33" s="128"/>
      <c r="F33" s="144">
        <v>0</v>
      </c>
      <c r="G33" s="131">
        <f ca="1">$G$32*F33</f>
        <v>0</v>
      </c>
      <c r="H33" s="132">
        <f ca="1">$H$32*F33</f>
        <v>0</v>
      </c>
      <c r="I33" s="79"/>
      <c r="J33" s="358"/>
      <c r="K33" s="328"/>
      <c r="L33" s="359"/>
      <c r="M33" s="326"/>
      <c r="N33" s="187"/>
      <c r="O33" s="188"/>
      <c r="P33" s="189"/>
    </row>
    <row r="34" spans="1:16" s="31" customFormat="1">
      <c r="B34" s="126">
        <v>92400631</v>
      </c>
      <c r="C34" s="127" t="s">
        <v>27</v>
      </c>
      <c r="D34" s="128" t="s">
        <v>34</v>
      </c>
      <c r="E34" s="128"/>
      <c r="F34" s="144">
        <f>'SAP Download'!B18</f>
        <v>14091.36</v>
      </c>
      <c r="G34" s="131">
        <f ca="1">$G$32*F34</f>
        <v>8568.9560160000001</v>
      </c>
      <c r="H34" s="132">
        <f ca="1">$H$32*F34</f>
        <v>5522.4039840000005</v>
      </c>
      <c r="I34" s="79"/>
      <c r="J34" s="358">
        <f>'Liability Ins - RY'!D33</f>
        <v>15152</v>
      </c>
      <c r="K34" s="328">
        <f>$J34*K$32</f>
        <v>9213.9311999999991</v>
      </c>
      <c r="L34" s="359">
        <f>$J34*L$32</f>
        <v>5938.0688</v>
      </c>
      <c r="M34" s="326"/>
      <c r="N34" s="358">
        <f t="shared" ref="N34" si="10">J34-SUM(E34:F34)</f>
        <v>1060.6399999999994</v>
      </c>
      <c r="O34" s="328">
        <f t="shared" ref="O34" ca="1" si="11">K34-G34</f>
        <v>644.97518399999899</v>
      </c>
      <c r="P34" s="359">
        <f t="shared" ref="P34" ca="1" si="12">L34-H34</f>
        <v>415.66481599999952</v>
      </c>
    </row>
    <row r="35" spans="1:16" s="31" customFormat="1">
      <c r="B35" s="126">
        <v>92400632</v>
      </c>
      <c r="C35" s="127" t="s">
        <v>24</v>
      </c>
      <c r="D35" s="128" t="s">
        <v>34</v>
      </c>
      <c r="E35" s="128"/>
      <c r="F35" s="145">
        <f>'SAP Download'!B19</f>
        <v>120000</v>
      </c>
      <c r="G35" s="146">
        <f ca="1">$G$32*F35</f>
        <v>72972</v>
      </c>
      <c r="H35" s="147">
        <f ca="1">$H$32*F35</f>
        <v>47028</v>
      </c>
      <c r="I35" s="79"/>
      <c r="J35" s="358">
        <f>'Liability Ins - RY'!D31</f>
        <v>120000</v>
      </c>
      <c r="K35" s="328">
        <f>$J35*K$32</f>
        <v>72972</v>
      </c>
      <c r="L35" s="359">
        <f>$J35*L$32</f>
        <v>47028</v>
      </c>
      <c r="M35" s="326"/>
      <c r="N35" s="358">
        <f t="shared" ref="N35" si="13">J35-SUM(E35:F35)</f>
        <v>0</v>
      </c>
      <c r="O35" s="328">
        <f t="shared" ref="O35" ca="1" si="14">K35-G35</f>
        <v>0</v>
      </c>
      <c r="P35" s="359">
        <f t="shared" ref="P35" ca="1" si="15">L35-H35</f>
        <v>0</v>
      </c>
    </row>
    <row r="36" spans="1:16" s="31" customFormat="1">
      <c r="B36" s="126"/>
      <c r="C36" s="135" t="s">
        <v>94</v>
      </c>
      <c r="D36" s="128"/>
      <c r="E36" s="148"/>
      <c r="F36" s="149">
        <f>SUM(F33:F35)</f>
        <v>134091.35999999999</v>
      </c>
      <c r="G36" s="137">
        <f ca="1">SUM(G33:G35)</f>
        <v>81540.956015999996</v>
      </c>
      <c r="H36" s="138">
        <f ca="1">SUM(H33:H35)</f>
        <v>52550.403984000004</v>
      </c>
      <c r="I36" s="79"/>
      <c r="J36" s="368">
        <f>SUM(J34:J35)</f>
        <v>135152</v>
      </c>
      <c r="K36" s="332">
        <f>SUM(K34:K35)</f>
        <v>82185.931199999992</v>
      </c>
      <c r="L36" s="369">
        <f>SUM(L34:L35)</f>
        <v>52966.068800000001</v>
      </c>
      <c r="M36" s="326"/>
      <c r="N36" s="368">
        <f>SUM(N34:N35)</f>
        <v>1060.6399999999994</v>
      </c>
      <c r="O36" s="332">
        <f ca="1">SUM(O34:O35)</f>
        <v>644.97518399999899</v>
      </c>
      <c r="P36" s="369">
        <f ca="1">SUM(P34:P35)</f>
        <v>415.66481599999952</v>
      </c>
    </row>
    <row r="37" spans="1:16" s="31" customFormat="1">
      <c r="B37" s="126"/>
      <c r="C37" s="135"/>
      <c r="D37" s="128"/>
      <c r="E37" s="148"/>
      <c r="F37" s="149"/>
      <c r="G37" s="148"/>
      <c r="H37" s="287"/>
      <c r="I37" s="79"/>
      <c r="J37" s="373"/>
      <c r="K37" s="327"/>
      <c r="L37" s="374"/>
      <c r="M37" s="326"/>
      <c r="N37" s="187"/>
      <c r="O37" s="188"/>
      <c r="P37" s="189"/>
    </row>
    <row r="38" spans="1:16" s="31" customFormat="1" ht="14.4">
      <c r="B38" s="126">
        <v>92400005</v>
      </c>
      <c r="C38" s="392" t="s">
        <v>198</v>
      </c>
      <c r="D38" s="128" t="s">
        <v>190</v>
      </c>
      <c r="E38" s="148"/>
      <c r="F38" s="149">
        <f>+'Colstrip Ins '!$E$59</f>
        <v>173009.345</v>
      </c>
      <c r="G38" s="393">
        <f>F38</f>
        <v>173009.345</v>
      </c>
      <c r="H38" s="142">
        <v>0</v>
      </c>
      <c r="I38" s="79"/>
      <c r="J38" s="358">
        <f>SUM('Liability Ins - RY'!D37:D47)</f>
        <v>186707</v>
      </c>
      <c r="K38" s="328">
        <f>J38</f>
        <v>186707</v>
      </c>
      <c r="L38" s="359">
        <v>0</v>
      </c>
      <c r="M38" s="326"/>
      <c r="N38" s="358">
        <f t="shared" ref="N38:N39" si="16">J38-SUM(E38:F38)</f>
        <v>13697.654999999999</v>
      </c>
      <c r="O38" s="328">
        <f t="shared" ref="O38:O39" si="17">K38-G38</f>
        <v>13697.654999999999</v>
      </c>
      <c r="P38" s="359">
        <f t="shared" ref="P38:P39" si="18">L38-H38</f>
        <v>0</v>
      </c>
    </row>
    <row r="39" spans="1:16" s="31" customFormat="1" ht="14.4">
      <c r="B39" s="126">
        <v>92400005</v>
      </c>
      <c r="C39" s="392" t="s">
        <v>213</v>
      </c>
      <c r="D39" s="128" t="s">
        <v>190</v>
      </c>
      <c r="E39" s="148"/>
      <c r="F39" s="438">
        <f>'Freddy1 Ins'!O13</f>
        <v>61575.413330416661</v>
      </c>
      <c r="G39" s="394">
        <f>F39</f>
        <v>61575.413330416661</v>
      </c>
      <c r="H39" s="395">
        <v>0</v>
      </c>
      <c r="I39" s="79"/>
      <c r="J39" s="358">
        <f>SUM('Liability Ins - RY'!D51)</f>
        <v>61696.852500000001</v>
      </c>
      <c r="K39" s="328">
        <f>J39</f>
        <v>61696.852500000001</v>
      </c>
      <c r="L39" s="359">
        <v>0</v>
      </c>
      <c r="M39" s="326"/>
      <c r="N39" s="358">
        <f t="shared" si="16"/>
        <v>121.43916958334012</v>
      </c>
      <c r="O39" s="328">
        <f t="shared" si="17"/>
        <v>121.43916958334012</v>
      </c>
      <c r="P39" s="359">
        <f t="shared" si="18"/>
        <v>0</v>
      </c>
    </row>
    <row r="40" spans="1:16" s="31" customFormat="1">
      <c r="B40" s="126"/>
      <c r="C40" s="135" t="s">
        <v>214</v>
      </c>
      <c r="D40" s="128"/>
      <c r="E40" s="148"/>
      <c r="F40" s="393">
        <f>SUM(F38:F39)</f>
        <v>234584.75833041666</v>
      </c>
      <c r="G40" s="393">
        <f>SUM(G38:G39)</f>
        <v>234584.75833041666</v>
      </c>
      <c r="H40" s="142">
        <f>SUM(H38:H39)</f>
        <v>0</v>
      </c>
      <c r="I40" s="79"/>
      <c r="J40" s="368">
        <f>SUM(J38:J39)</f>
        <v>248403.85250000001</v>
      </c>
      <c r="K40" s="332">
        <f>SUM(K38:K39)</f>
        <v>248403.85250000001</v>
      </c>
      <c r="L40" s="369">
        <f>SUM(L38:L39)</f>
        <v>0</v>
      </c>
      <c r="M40" s="326"/>
      <c r="N40" s="368">
        <f>SUM(N38:N39)</f>
        <v>13819.094169583339</v>
      </c>
      <c r="O40" s="332">
        <f>SUM(O38:O39)</f>
        <v>13819.094169583339</v>
      </c>
      <c r="P40" s="369">
        <f>SUM(P38:P39)</f>
        <v>0</v>
      </c>
    </row>
    <row r="41" spans="1:16" s="31" customFormat="1" ht="13.8" thickBot="1">
      <c r="B41" s="126"/>
      <c r="C41" s="135"/>
      <c r="D41" s="128"/>
      <c r="E41" s="150"/>
      <c r="F41" s="52"/>
      <c r="G41" s="340"/>
      <c r="H41" s="341"/>
      <c r="J41" s="375"/>
      <c r="K41" s="343"/>
      <c r="L41" s="376"/>
      <c r="M41" s="326"/>
      <c r="N41" s="375"/>
      <c r="O41" s="343"/>
      <c r="P41" s="376"/>
    </row>
    <row r="42" spans="1:16" ht="13.8" thickBot="1">
      <c r="A42" s="31"/>
      <c r="B42" s="134"/>
      <c r="C42" s="135" t="s">
        <v>79</v>
      </c>
      <c r="D42" s="128"/>
      <c r="E42" s="128"/>
      <c r="F42" s="439">
        <f ca="1">F29+F36+F40</f>
        <v>3277131.9798644162</v>
      </c>
      <c r="G42" s="151">
        <f ca="1">G29+G36+G40</f>
        <v>2006229.4154838233</v>
      </c>
      <c r="H42" s="152">
        <f ca="1">H29+H36+H40</f>
        <v>1270902.5643805922</v>
      </c>
      <c r="I42" s="82"/>
      <c r="J42" s="377">
        <f ca="1">J29+J36+J40</f>
        <v>3184481.9000920001</v>
      </c>
      <c r="K42" s="333">
        <f ca="1">K29+K36+K40</f>
        <v>1958207.9099557111</v>
      </c>
      <c r="L42" s="378">
        <f ca="1">L29+L36+L40</f>
        <v>1226273.9901362888</v>
      </c>
      <c r="M42" s="326"/>
      <c r="N42" s="377">
        <f t="shared" ref="N42:P42" ca="1" si="19">N29+N36+N40</f>
        <v>-92650.079772416007</v>
      </c>
      <c r="O42" s="333">
        <f t="shared" ca="1" si="19"/>
        <v>-48021.505528112342</v>
      </c>
      <c r="P42" s="378">
        <f t="shared" ca="1" si="19"/>
        <v>-44628.574244303432</v>
      </c>
    </row>
    <row r="43" spans="1:16" ht="14.4" thickTop="1" thickBot="1">
      <c r="A43" s="31"/>
      <c r="B43" s="153"/>
      <c r="C43" s="154"/>
      <c r="D43" s="154"/>
      <c r="E43" s="154"/>
      <c r="F43" s="74"/>
      <c r="G43" s="74"/>
      <c r="H43" s="155"/>
      <c r="I43" s="33"/>
      <c r="J43" s="379"/>
      <c r="K43" s="380"/>
      <c r="L43" s="381"/>
      <c r="M43" s="326"/>
      <c r="N43" s="404"/>
      <c r="O43" s="380"/>
      <c r="P43" s="381"/>
    </row>
    <row r="44" spans="1:16">
      <c r="A44" s="31"/>
      <c r="B44" s="33"/>
      <c r="C44" s="33"/>
      <c r="D44" s="33"/>
      <c r="E44" s="33"/>
      <c r="F44" s="40"/>
      <c r="G44" s="40"/>
      <c r="H44" s="33"/>
      <c r="I44" s="33"/>
      <c r="J44" s="326"/>
      <c r="K44" s="326"/>
      <c r="L44" s="326"/>
      <c r="M44" s="326"/>
      <c r="N44" s="326"/>
      <c r="O44" s="331"/>
      <c r="P44" s="331"/>
    </row>
    <row r="45" spans="1:16">
      <c r="A45" s="31"/>
      <c r="B45" s="33"/>
      <c r="C45" s="33"/>
      <c r="D45" s="33"/>
      <c r="E45" s="33"/>
      <c r="F45" s="40"/>
      <c r="G45" s="40"/>
      <c r="H45" s="33"/>
      <c r="I45" s="33"/>
      <c r="J45" s="326"/>
      <c r="K45" s="326"/>
      <c r="L45" s="326"/>
      <c r="M45" s="326"/>
      <c r="N45" s="326"/>
      <c r="O45" s="331"/>
      <c r="P45" s="331"/>
    </row>
    <row r="46" spans="1:16">
      <c r="A46" s="31"/>
      <c r="B46" s="33"/>
      <c r="C46" s="33"/>
      <c r="D46" s="33"/>
      <c r="E46" s="33"/>
      <c r="F46" s="40"/>
      <c r="G46" s="40"/>
      <c r="H46" s="33"/>
      <c r="I46" s="33"/>
      <c r="J46" s="326"/>
      <c r="K46" s="326"/>
      <c r="L46" s="326"/>
      <c r="M46" s="326"/>
      <c r="N46" s="326"/>
      <c r="O46" s="331"/>
      <c r="P46" s="331"/>
    </row>
    <row r="47" spans="1:16">
      <c r="A47" s="31"/>
      <c r="B47" s="33"/>
      <c r="C47" s="33"/>
      <c r="D47" s="33"/>
      <c r="E47" s="33"/>
      <c r="F47" s="40"/>
      <c r="G47" s="40"/>
      <c r="H47" s="33"/>
      <c r="I47" s="20"/>
      <c r="J47" s="20"/>
      <c r="K47" s="20"/>
      <c r="L47" s="20"/>
      <c r="M47" s="20"/>
      <c r="N47" s="20"/>
    </row>
    <row r="48" spans="1:16">
      <c r="A48" s="31"/>
      <c r="B48" s="33"/>
      <c r="C48" s="33"/>
      <c r="D48" s="33"/>
      <c r="E48" s="33"/>
      <c r="F48" s="40"/>
      <c r="G48" s="40"/>
      <c r="H48" s="33"/>
      <c r="I48" s="20"/>
      <c r="J48" s="20"/>
      <c r="K48" s="20"/>
      <c r="L48" s="20"/>
      <c r="M48" s="20"/>
      <c r="N48" s="20"/>
    </row>
    <row r="49" spans="1:14">
      <c r="A49" s="31"/>
      <c r="B49" s="33"/>
      <c r="C49" s="33"/>
      <c r="D49" s="33"/>
      <c r="E49" s="33"/>
      <c r="F49" s="40"/>
      <c r="G49" s="40"/>
      <c r="H49" s="33"/>
      <c r="I49" s="20"/>
      <c r="J49" s="20"/>
      <c r="K49" s="20"/>
      <c r="L49" s="20"/>
      <c r="M49" s="20"/>
      <c r="N49" s="20"/>
    </row>
    <row r="50" spans="1:14">
      <c r="A50" s="31"/>
      <c r="B50" s="33"/>
      <c r="C50" s="33"/>
      <c r="D50" s="33"/>
      <c r="E50" s="33"/>
      <c r="F50" s="40"/>
      <c r="G50" s="40"/>
      <c r="H50" s="33"/>
      <c r="I50" s="20"/>
      <c r="J50" s="20"/>
      <c r="K50" s="20"/>
      <c r="L50" s="20"/>
      <c r="M50" s="20"/>
      <c r="N50" s="20"/>
    </row>
    <row r="51" spans="1:14">
      <c r="A51" s="31"/>
      <c r="B51" s="33"/>
      <c r="C51" s="33"/>
      <c r="D51" s="33"/>
      <c r="E51" s="33"/>
      <c r="F51" s="40"/>
      <c r="G51" s="40"/>
      <c r="H51" s="33"/>
      <c r="I51" s="20"/>
      <c r="J51" s="20"/>
      <c r="K51" s="20"/>
      <c r="L51" s="20"/>
      <c r="M51" s="20"/>
      <c r="N51" s="20"/>
    </row>
    <row r="52" spans="1:14">
      <c r="A52" s="31"/>
      <c r="B52" s="33"/>
      <c r="C52" s="33"/>
      <c r="D52" s="33"/>
      <c r="E52" s="33"/>
      <c r="F52" s="40"/>
      <c r="G52" s="40"/>
      <c r="H52" s="33"/>
      <c r="I52" s="20"/>
      <c r="J52" s="20"/>
      <c r="K52" s="20"/>
      <c r="L52" s="20"/>
      <c r="M52" s="20"/>
      <c r="N52" s="20"/>
    </row>
    <row r="53" spans="1:14">
      <c r="A53" s="31"/>
      <c r="B53" s="33"/>
      <c r="C53" s="33"/>
      <c r="D53" s="33"/>
      <c r="E53" s="33"/>
      <c r="F53" s="40"/>
      <c r="G53" s="40"/>
      <c r="H53" s="33"/>
      <c r="I53" s="20"/>
      <c r="J53" s="20"/>
      <c r="K53" s="20"/>
      <c r="L53" s="20"/>
      <c r="M53" s="20"/>
      <c r="N53" s="20"/>
    </row>
    <row r="54" spans="1:14">
      <c r="B54" s="20"/>
      <c r="C54" s="20"/>
      <c r="D54" s="20"/>
      <c r="E54" s="20"/>
      <c r="F54" s="21"/>
      <c r="G54" s="21"/>
      <c r="H54" s="20"/>
      <c r="I54" s="20"/>
      <c r="J54" s="20"/>
      <c r="K54" s="20"/>
      <c r="L54" s="20"/>
      <c r="M54" s="20"/>
      <c r="N54" s="20"/>
    </row>
    <row r="55" spans="1:14">
      <c r="B55" s="20"/>
      <c r="C55" s="20"/>
      <c r="D55" s="20"/>
      <c r="E55" s="20"/>
      <c r="F55" s="21"/>
      <c r="G55" s="21"/>
      <c r="H55" s="20"/>
      <c r="I55" s="20"/>
      <c r="J55" s="20"/>
      <c r="K55" s="20"/>
      <c r="L55" s="20"/>
      <c r="M55" s="20"/>
      <c r="N55" s="20"/>
    </row>
    <row r="56" spans="1:14">
      <c r="B56" s="20"/>
      <c r="C56" s="20"/>
      <c r="D56" s="20"/>
      <c r="E56" s="20"/>
      <c r="F56" s="21"/>
      <c r="G56" s="21"/>
      <c r="H56" s="20"/>
      <c r="I56" s="20"/>
      <c r="J56" s="20"/>
      <c r="K56" s="20"/>
      <c r="L56" s="20"/>
      <c r="M56" s="20"/>
      <c r="N56" s="20"/>
    </row>
    <row r="57" spans="1:14">
      <c r="B57" s="20"/>
      <c r="C57" s="20"/>
      <c r="D57" s="20"/>
      <c r="E57" s="20"/>
      <c r="F57" s="21"/>
      <c r="G57" s="21"/>
      <c r="H57" s="20"/>
      <c r="I57" s="20"/>
      <c r="J57" s="20"/>
      <c r="K57" s="20"/>
      <c r="L57" s="20"/>
      <c r="M57" s="20"/>
      <c r="N57" s="20"/>
    </row>
  </sheetData>
  <mergeCells count="2">
    <mergeCell ref="B6:H6"/>
    <mergeCell ref="B19:H19"/>
  </mergeCells>
  <phoneticPr fontId="9" type="noConversion"/>
  <printOptions horizontalCentered="1"/>
  <pageMargins left="0.2" right="0.21" top="0.52" bottom="0.42" header="0.39" footer="0.41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zoomScaleNormal="100" workbookViewId="0">
      <selection activeCell="C38" sqref="C38"/>
    </sheetView>
  </sheetViews>
  <sheetFormatPr defaultRowHeight="13.2"/>
  <cols>
    <col min="1" max="1" width="54.33203125" customWidth="1"/>
    <col min="2" max="2" width="11.6640625" bestFit="1" customWidth="1"/>
    <col min="3" max="5" width="8.88671875" bestFit="1" customWidth="1"/>
    <col min="6" max="6" width="9.33203125" customWidth="1"/>
    <col min="7" max="7" width="9.6640625" customWidth="1"/>
    <col min="8" max="8" width="9.44140625" customWidth="1"/>
    <col min="9" max="9" width="9.6640625" customWidth="1"/>
    <col min="10" max="10" width="9.5546875" customWidth="1"/>
    <col min="11" max="11" width="8.88671875" bestFit="1" customWidth="1"/>
    <col min="12" max="12" width="9" bestFit="1" customWidth="1"/>
    <col min="13" max="13" width="8.88671875" bestFit="1" customWidth="1"/>
    <col min="14" max="14" width="9" bestFit="1" customWidth="1"/>
    <col min="15" max="15" width="10.44140625" bestFit="1" customWidth="1"/>
  </cols>
  <sheetData>
    <row r="1" spans="1:26" ht="14.4">
      <c r="A1" s="215" t="s">
        <v>169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26" ht="14.4">
      <c r="A2" s="215" t="s">
        <v>168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26" ht="13.8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26" s="18" customFormat="1" ht="14.4">
      <c r="A4" s="217" t="s">
        <v>140</v>
      </c>
      <c r="B4" s="218" t="s">
        <v>106</v>
      </c>
      <c r="C4" s="219">
        <v>42614</v>
      </c>
      <c r="D4" s="219">
        <v>42583</v>
      </c>
      <c r="E4" s="219">
        <v>42552</v>
      </c>
      <c r="F4" s="219">
        <v>42522</v>
      </c>
      <c r="G4" s="219">
        <v>42491</v>
      </c>
      <c r="H4" s="219">
        <v>42461</v>
      </c>
      <c r="I4" s="219">
        <v>42430</v>
      </c>
      <c r="J4" s="219">
        <v>42401</v>
      </c>
      <c r="K4" s="219">
        <v>42370</v>
      </c>
      <c r="L4" s="219">
        <v>42339</v>
      </c>
      <c r="M4" s="219">
        <v>42309</v>
      </c>
      <c r="N4" s="220">
        <v>42278</v>
      </c>
      <c r="W4"/>
      <c r="X4"/>
      <c r="Y4"/>
      <c r="Z4"/>
    </row>
    <row r="5" spans="1:26" ht="14.4">
      <c r="A5" s="321" t="s">
        <v>136</v>
      </c>
      <c r="B5" s="221">
        <f>SUM(C5:N5)</f>
        <v>11273.92</v>
      </c>
      <c r="C5" s="222">
        <v>0</v>
      </c>
      <c r="D5" s="222">
        <v>0</v>
      </c>
      <c r="E5" s="222">
        <v>0</v>
      </c>
      <c r="F5" s="222">
        <v>0</v>
      </c>
      <c r="G5" s="222">
        <v>0</v>
      </c>
      <c r="H5" s="223">
        <v>11273.92</v>
      </c>
      <c r="I5" s="222">
        <v>0</v>
      </c>
      <c r="J5" s="222">
        <v>0</v>
      </c>
      <c r="K5" s="222">
        <v>0</v>
      </c>
      <c r="L5" s="222">
        <v>0</v>
      </c>
      <c r="M5" s="222">
        <v>0</v>
      </c>
      <c r="N5" s="224">
        <v>0</v>
      </c>
      <c r="O5" s="195"/>
      <c r="P5" s="78"/>
      <c r="Q5" s="78"/>
      <c r="R5" s="78"/>
      <c r="S5" s="78"/>
      <c r="T5" s="78"/>
      <c r="U5" s="78"/>
    </row>
    <row r="6" spans="1:26" ht="14.4">
      <c r="A6" s="321" t="s">
        <v>115</v>
      </c>
      <c r="B6" s="221">
        <f>SUM(C6:N6)</f>
        <v>124920.48000000001</v>
      </c>
      <c r="C6" s="223">
        <v>8706.83</v>
      </c>
      <c r="D6" s="223">
        <v>8706.83</v>
      </c>
      <c r="E6" s="223">
        <v>8706.83</v>
      </c>
      <c r="F6" s="223">
        <v>8706.83</v>
      </c>
      <c r="G6" s="223">
        <v>8706.83</v>
      </c>
      <c r="H6" s="223">
        <v>8706.83</v>
      </c>
      <c r="I6" s="223">
        <v>12113.25</v>
      </c>
      <c r="J6" s="223">
        <v>12113.25</v>
      </c>
      <c r="K6" s="223">
        <v>12113.25</v>
      </c>
      <c r="L6" s="223">
        <v>12113.25</v>
      </c>
      <c r="M6" s="223">
        <v>12113.25</v>
      </c>
      <c r="N6" s="225">
        <v>12113.25</v>
      </c>
      <c r="O6" s="195"/>
      <c r="P6" s="78"/>
      <c r="Q6" s="78"/>
      <c r="R6" s="78"/>
      <c r="S6" s="78"/>
      <c r="T6" s="78"/>
      <c r="U6" s="78"/>
    </row>
    <row r="7" spans="1:26" ht="14.4">
      <c r="A7" s="321" t="s">
        <v>116</v>
      </c>
      <c r="B7" s="221">
        <f t="shared" ref="B7:B18" si="0">SUM(C7:N7)</f>
        <v>3237779.9500000007</v>
      </c>
      <c r="C7" s="223">
        <v>267009.03000000003</v>
      </c>
      <c r="D7" s="223">
        <v>267009.03000000003</v>
      </c>
      <c r="E7" s="223">
        <v>267009.03000000003</v>
      </c>
      <c r="F7" s="223">
        <v>267010</v>
      </c>
      <c r="G7" s="223">
        <v>267010</v>
      </c>
      <c r="H7" s="223">
        <v>267443.86</v>
      </c>
      <c r="I7" s="223">
        <v>272548.2</v>
      </c>
      <c r="J7" s="223">
        <v>272548.2</v>
      </c>
      <c r="K7" s="223">
        <v>272548.2</v>
      </c>
      <c r="L7" s="223">
        <v>272548.2</v>
      </c>
      <c r="M7" s="223">
        <v>272548.2</v>
      </c>
      <c r="N7" s="225">
        <v>272548</v>
      </c>
      <c r="O7" s="195"/>
      <c r="P7" s="78"/>
      <c r="Q7" s="78"/>
      <c r="R7" s="78"/>
      <c r="S7" s="78"/>
      <c r="T7" s="78"/>
      <c r="U7" s="78"/>
    </row>
    <row r="8" spans="1:26" ht="14.4">
      <c r="A8" s="321" t="s">
        <v>107</v>
      </c>
      <c r="B8" s="221">
        <f t="shared" si="0"/>
        <v>240693.87000000002</v>
      </c>
      <c r="C8" s="223">
        <v>14511.39</v>
      </c>
      <c r="D8" s="223">
        <v>14511.39</v>
      </c>
      <c r="E8" s="223">
        <v>14511.39</v>
      </c>
      <c r="F8" s="223">
        <v>59117.64</v>
      </c>
      <c r="G8" s="223">
        <v>14511.39</v>
      </c>
      <c r="H8" s="223">
        <v>14511.39</v>
      </c>
      <c r="I8" s="223">
        <v>18169.88</v>
      </c>
      <c r="J8" s="223">
        <v>18169.88</v>
      </c>
      <c r="K8" s="223">
        <v>18169.88</v>
      </c>
      <c r="L8" s="223">
        <v>18169.88</v>
      </c>
      <c r="M8" s="223">
        <v>18169.88</v>
      </c>
      <c r="N8" s="225">
        <v>18169.88</v>
      </c>
      <c r="O8" s="195"/>
      <c r="P8" s="78"/>
      <c r="Q8" s="78"/>
      <c r="R8" s="78"/>
      <c r="S8" s="78"/>
      <c r="T8" s="78"/>
      <c r="U8" s="78"/>
    </row>
    <row r="9" spans="1:26" ht="14.4">
      <c r="A9" s="321" t="s">
        <v>108</v>
      </c>
      <c r="B9" s="226">
        <f t="shared" si="0"/>
        <v>33385.01999999999</v>
      </c>
      <c r="C9" s="227">
        <v>2593</v>
      </c>
      <c r="D9" s="227">
        <v>2593</v>
      </c>
      <c r="E9" s="227">
        <v>2593</v>
      </c>
      <c r="F9" s="227">
        <v>2593</v>
      </c>
      <c r="G9" s="227">
        <v>2593</v>
      </c>
      <c r="H9" s="227">
        <v>2593</v>
      </c>
      <c r="I9" s="227">
        <v>2971.17</v>
      </c>
      <c r="J9" s="227">
        <v>2971.17</v>
      </c>
      <c r="K9" s="227">
        <v>2971.17</v>
      </c>
      <c r="L9" s="227">
        <v>2971.17</v>
      </c>
      <c r="M9" s="227">
        <v>2971.17</v>
      </c>
      <c r="N9" s="228">
        <v>2971.17</v>
      </c>
      <c r="O9" s="195"/>
      <c r="P9" s="78"/>
      <c r="Q9" s="78"/>
      <c r="R9" s="78"/>
      <c r="S9" s="78"/>
      <c r="T9" s="78"/>
      <c r="U9" s="78"/>
    </row>
    <row r="10" spans="1:26" ht="15" thickBot="1">
      <c r="A10" s="229" t="s">
        <v>137</v>
      </c>
      <c r="B10" s="230">
        <f>SUM(B5:B9)</f>
        <v>3648053.2400000007</v>
      </c>
      <c r="C10" s="231">
        <f>SUM(C5:C9)</f>
        <v>292820.25000000006</v>
      </c>
      <c r="D10" s="231">
        <f t="shared" ref="D10:N10" si="1">SUM(D5:D9)</f>
        <v>292820.25000000006</v>
      </c>
      <c r="E10" s="231">
        <f t="shared" si="1"/>
        <v>292820.25000000006</v>
      </c>
      <c r="F10" s="231">
        <f t="shared" si="1"/>
        <v>337427.47000000003</v>
      </c>
      <c r="G10" s="231">
        <f t="shared" si="1"/>
        <v>292821.22000000003</v>
      </c>
      <c r="H10" s="231">
        <f t="shared" si="1"/>
        <v>304529</v>
      </c>
      <c r="I10" s="231">
        <f t="shared" si="1"/>
        <v>305802.5</v>
      </c>
      <c r="J10" s="231">
        <f t="shared" si="1"/>
        <v>305802.5</v>
      </c>
      <c r="K10" s="231">
        <f t="shared" si="1"/>
        <v>305802.5</v>
      </c>
      <c r="L10" s="231">
        <f t="shared" si="1"/>
        <v>305802.5</v>
      </c>
      <c r="M10" s="231">
        <f t="shared" si="1"/>
        <v>305802.5</v>
      </c>
      <c r="N10" s="232">
        <f t="shared" si="1"/>
        <v>305802.3</v>
      </c>
      <c r="O10" s="195"/>
      <c r="P10" s="78"/>
      <c r="Q10" s="78"/>
      <c r="R10" s="78"/>
      <c r="S10" s="78"/>
      <c r="T10" s="78"/>
      <c r="U10" s="78"/>
    </row>
    <row r="11" spans="1:26" ht="8.4" customHeight="1" thickBot="1">
      <c r="A11" s="265"/>
      <c r="B11" s="266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8"/>
      <c r="O11" s="195"/>
      <c r="P11" s="78"/>
      <c r="Q11" s="78"/>
      <c r="R11" s="78"/>
      <c r="S11" s="78"/>
      <c r="T11" s="78"/>
      <c r="U11" s="78"/>
    </row>
    <row r="12" spans="1:26" s="24" customFormat="1" ht="13.2" customHeight="1">
      <c r="A12" s="217" t="s">
        <v>141</v>
      </c>
      <c r="B12" s="218" t="s">
        <v>106</v>
      </c>
      <c r="C12" s="219">
        <v>42614</v>
      </c>
      <c r="D12" s="219">
        <v>42583</v>
      </c>
      <c r="E12" s="219">
        <v>42552</v>
      </c>
      <c r="F12" s="219">
        <v>42522</v>
      </c>
      <c r="G12" s="219">
        <v>42491</v>
      </c>
      <c r="H12" s="219">
        <v>42461</v>
      </c>
      <c r="I12" s="219">
        <v>42430</v>
      </c>
      <c r="J12" s="219">
        <v>42401</v>
      </c>
      <c r="K12" s="219">
        <v>42370</v>
      </c>
      <c r="L12" s="219">
        <v>42339</v>
      </c>
      <c r="M12" s="219">
        <v>42309</v>
      </c>
      <c r="N12" s="220">
        <v>42278</v>
      </c>
      <c r="O12" s="195"/>
      <c r="P12" s="195"/>
      <c r="Q12" s="195"/>
      <c r="R12" s="195"/>
      <c r="S12" s="195"/>
      <c r="T12" s="195"/>
      <c r="U12" s="195"/>
    </row>
    <row r="13" spans="1:26" ht="14.4">
      <c r="A13" s="321" t="s">
        <v>109</v>
      </c>
      <c r="B13" s="221">
        <f t="shared" si="0"/>
        <v>12843</v>
      </c>
      <c r="C13" s="223">
        <v>0</v>
      </c>
      <c r="D13" s="223">
        <v>0</v>
      </c>
      <c r="E13" s="223">
        <v>0</v>
      </c>
      <c r="F13" s="223"/>
      <c r="G13" s="223">
        <v>0</v>
      </c>
      <c r="H13" s="223"/>
      <c r="I13" s="223">
        <v>12843</v>
      </c>
      <c r="J13" s="223">
        <v>0</v>
      </c>
      <c r="K13" s="223">
        <v>0</v>
      </c>
      <c r="L13" s="223">
        <v>0</v>
      </c>
      <c r="M13" s="223">
        <v>0</v>
      </c>
      <c r="N13" s="224">
        <v>0</v>
      </c>
      <c r="O13" s="195"/>
      <c r="P13" s="195"/>
      <c r="Q13" s="78"/>
      <c r="R13" s="78"/>
      <c r="S13" s="78"/>
      <c r="T13" s="78"/>
      <c r="U13" s="78"/>
    </row>
    <row r="14" spans="1:26" ht="14.4">
      <c r="A14" s="321" t="s">
        <v>128</v>
      </c>
      <c r="B14" s="221">
        <f t="shared" si="0"/>
        <v>0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3">
        <v>0</v>
      </c>
      <c r="N14" s="224">
        <v>0</v>
      </c>
      <c r="O14" s="195"/>
      <c r="P14" s="195"/>
      <c r="Q14" s="78"/>
      <c r="R14" s="78"/>
      <c r="S14" s="78"/>
      <c r="T14" s="78"/>
      <c r="U14" s="78"/>
    </row>
    <row r="15" spans="1:26" ht="14.4">
      <c r="A15" s="321" t="s">
        <v>126</v>
      </c>
      <c r="B15" s="221">
        <f>SUM(C15:N15)</f>
        <v>4347323.5799999991</v>
      </c>
      <c r="C15" s="223">
        <v>388682</v>
      </c>
      <c r="D15" s="223">
        <v>375898</v>
      </c>
      <c r="E15" s="223">
        <v>370046.67</v>
      </c>
      <c r="F15" s="223">
        <v>370046.67</v>
      </c>
      <c r="G15" s="223">
        <v>370046.67</v>
      </c>
      <c r="H15" s="223">
        <v>283052.67</v>
      </c>
      <c r="I15" s="223">
        <v>370046.67</v>
      </c>
      <c r="J15" s="223">
        <v>370046.67</v>
      </c>
      <c r="K15" s="223">
        <v>370046.67</v>
      </c>
      <c r="L15" s="223">
        <v>370046.67</v>
      </c>
      <c r="M15" s="223">
        <v>354682.09</v>
      </c>
      <c r="N15" s="225">
        <v>354682.13</v>
      </c>
      <c r="O15" s="195"/>
      <c r="P15" s="195"/>
      <c r="Q15" s="78"/>
      <c r="R15" s="78"/>
      <c r="S15" s="78"/>
      <c r="T15" s="78"/>
      <c r="U15" s="78"/>
    </row>
    <row r="16" spans="1:26" ht="14.4">
      <c r="A16" s="321" t="s">
        <v>127</v>
      </c>
      <c r="B16" s="221">
        <f t="shared" si="0"/>
        <v>120292.95</v>
      </c>
      <c r="C16" s="223">
        <v>-50000</v>
      </c>
      <c r="D16" s="223">
        <v>10000</v>
      </c>
      <c r="E16" s="223">
        <v>10000</v>
      </c>
      <c r="F16" s="223">
        <v>70000</v>
      </c>
      <c r="G16" s="223">
        <v>10000</v>
      </c>
      <c r="H16" s="223">
        <v>10292.950000000001</v>
      </c>
      <c r="I16" s="223">
        <v>10000</v>
      </c>
      <c r="J16" s="223">
        <v>10000</v>
      </c>
      <c r="K16" s="223">
        <v>10000</v>
      </c>
      <c r="L16" s="223">
        <v>10000</v>
      </c>
      <c r="M16" s="223">
        <v>10000</v>
      </c>
      <c r="N16" s="225">
        <v>10000</v>
      </c>
      <c r="O16" s="195"/>
      <c r="P16" s="195"/>
      <c r="Q16" s="78"/>
      <c r="R16" s="78"/>
      <c r="S16" s="78"/>
      <c r="T16" s="78"/>
      <c r="U16" s="78"/>
    </row>
    <row r="17" spans="1:25" ht="14.4">
      <c r="A17" s="321" t="s">
        <v>110</v>
      </c>
      <c r="B17" s="221">
        <f>SUM(C17:N17)</f>
        <v>840535.46</v>
      </c>
      <c r="C17" s="223">
        <v>64968.81</v>
      </c>
      <c r="D17" s="223">
        <v>77488.59</v>
      </c>
      <c r="E17" s="223">
        <v>62392.18</v>
      </c>
      <c r="F17" s="223">
        <v>160243.87</v>
      </c>
      <c r="G17" s="223">
        <v>59376.67</v>
      </c>
      <c r="H17" s="223">
        <v>69320.13</v>
      </c>
      <c r="I17" s="223">
        <v>70244.3</v>
      </c>
      <c r="J17" s="223">
        <v>62774.32</v>
      </c>
      <c r="K17" s="223">
        <v>59776.17</v>
      </c>
      <c r="L17" s="223">
        <v>68386.27</v>
      </c>
      <c r="M17" s="223">
        <v>24762.41</v>
      </c>
      <c r="N17" s="225">
        <v>60801.74</v>
      </c>
      <c r="O17" s="195"/>
      <c r="P17" s="195"/>
      <c r="Q17" s="78"/>
      <c r="R17" s="78"/>
      <c r="S17" s="78"/>
      <c r="T17" s="78"/>
      <c r="U17" s="78"/>
    </row>
    <row r="18" spans="1:25" ht="14.4">
      <c r="A18" s="321" t="s">
        <v>111</v>
      </c>
      <c r="B18" s="221">
        <f t="shared" si="0"/>
        <v>14091.36</v>
      </c>
      <c r="C18" s="223">
        <v>0</v>
      </c>
      <c r="D18" s="223">
        <v>0</v>
      </c>
      <c r="E18" s="223">
        <v>0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14091.36</v>
      </c>
      <c r="M18" s="223">
        <v>0</v>
      </c>
      <c r="N18" s="224">
        <v>0</v>
      </c>
      <c r="O18" s="195"/>
      <c r="P18" s="195"/>
      <c r="Q18" s="78"/>
      <c r="R18" s="78"/>
      <c r="S18" s="78"/>
      <c r="T18" s="78"/>
      <c r="U18" s="78"/>
      <c r="Y18" s="111"/>
    </row>
    <row r="19" spans="1:25" ht="17.399999999999999" customHeight="1">
      <c r="A19" s="321" t="s">
        <v>112</v>
      </c>
      <c r="B19" s="226">
        <f>SUM(C19:N19)</f>
        <v>120000</v>
      </c>
      <c r="C19" s="233">
        <v>10000</v>
      </c>
      <c r="D19" s="233">
        <v>10000</v>
      </c>
      <c r="E19" s="233">
        <v>10000</v>
      </c>
      <c r="F19" s="233">
        <v>10000</v>
      </c>
      <c r="G19" s="233">
        <v>10000</v>
      </c>
      <c r="H19" s="233">
        <v>10000</v>
      </c>
      <c r="I19" s="233">
        <v>10000</v>
      </c>
      <c r="J19" s="233">
        <v>10000</v>
      </c>
      <c r="K19" s="233">
        <v>10000</v>
      </c>
      <c r="L19" s="233">
        <v>10000</v>
      </c>
      <c r="M19" s="233">
        <v>10000</v>
      </c>
      <c r="N19" s="228">
        <v>10000</v>
      </c>
      <c r="O19" s="195"/>
      <c r="P19" s="195"/>
      <c r="Q19" s="78"/>
      <c r="R19" s="78"/>
      <c r="S19" s="78"/>
      <c r="T19" s="78"/>
      <c r="U19" s="78"/>
      <c r="Y19" s="111"/>
    </row>
    <row r="20" spans="1:25" ht="14.4">
      <c r="A20" s="234" t="s">
        <v>138</v>
      </c>
      <c r="B20" s="221">
        <f t="shared" ref="B20:N20" si="2">SUM(B13:B19)</f>
        <v>5455086.3499999996</v>
      </c>
      <c r="C20" s="222">
        <f t="shared" si="2"/>
        <v>413650.81</v>
      </c>
      <c r="D20" s="222">
        <f t="shared" si="2"/>
        <v>473386.58999999997</v>
      </c>
      <c r="E20" s="222">
        <f t="shared" si="2"/>
        <v>452438.85</v>
      </c>
      <c r="F20" s="222">
        <f t="shared" si="2"/>
        <v>610290.54</v>
      </c>
      <c r="G20" s="222">
        <f t="shared" si="2"/>
        <v>449423.33999999997</v>
      </c>
      <c r="H20" s="222">
        <f t="shared" si="2"/>
        <v>372665.75</v>
      </c>
      <c r="I20" s="222">
        <f t="shared" si="2"/>
        <v>473133.97</v>
      </c>
      <c r="J20" s="222">
        <f t="shared" si="2"/>
        <v>452820.99</v>
      </c>
      <c r="K20" s="222">
        <f t="shared" si="2"/>
        <v>449822.83999999997</v>
      </c>
      <c r="L20" s="222">
        <f t="shared" si="2"/>
        <v>472524.3</v>
      </c>
      <c r="M20" s="222">
        <f t="shared" si="2"/>
        <v>399444.5</v>
      </c>
      <c r="N20" s="224">
        <f t="shared" si="2"/>
        <v>435483.87</v>
      </c>
      <c r="O20" s="195"/>
      <c r="P20" s="195"/>
      <c r="Q20" s="78"/>
      <c r="R20" s="78"/>
      <c r="S20" s="78"/>
      <c r="T20" s="78"/>
      <c r="U20" s="78"/>
      <c r="Y20" s="111"/>
    </row>
    <row r="21" spans="1:25" s="18" customFormat="1" ht="15" thickBot="1">
      <c r="A21" s="235" t="s">
        <v>139</v>
      </c>
      <c r="B21" s="236">
        <f t="shared" ref="B21:N21" si="3">B10+B20</f>
        <v>9103139.5899999999</v>
      </c>
      <c r="C21" s="236">
        <f t="shared" si="3"/>
        <v>706471.06</v>
      </c>
      <c r="D21" s="236">
        <f t="shared" si="3"/>
        <v>766206.84000000008</v>
      </c>
      <c r="E21" s="236">
        <f t="shared" si="3"/>
        <v>745259.10000000009</v>
      </c>
      <c r="F21" s="236">
        <f t="shared" si="3"/>
        <v>947718.01</v>
      </c>
      <c r="G21" s="236">
        <f t="shared" si="3"/>
        <v>742244.56</v>
      </c>
      <c r="H21" s="236">
        <f t="shared" si="3"/>
        <v>677194.75</v>
      </c>
      <c r="I21" s="236">
        <f t="shared" si="3"/>
        <v>778936.47</v>
      </c>
      <c r="J21" s="236">
        <f t="shared" si="3"/>
        <v>758623.49</v>
      </c>
      <c r="K21" s="236">
        <f t="shared" si="3"/>
        <v>755625.34</v>
      </c>
      <c r="L21" s="236">
        <f t="shared" si="3"/>
        <v>778326.8</v>
      </c>
      <c r="M21" s="236">
        <f t="shared" si="3"/>
        <v>705247</v>
      </c>
      <c r="N21" s="237">
        <f t="shared" si="3"/>
        <v>741286.16999999993</v>
      </c>
      <c r="O21" s="238"/>
      <c r="P21" s="238"/>
      <c r="Q21" s="77"/>
      <c r="R21" s="77"/>
      <c r="S21" s="77"/>
      <c r="T21" s="77"/>
      <c r="U21" s="77"/>
    </row>
    <row r="22" spans="1:25" ht="14.4" thickTop="1" thickBot="1">
      <c r="A22" s="70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O22" s="195"/>
      <c r="P22" s="195"/>
      <c r="Q22" s="78"/>
      <c r="R22" s="78"/>
      <c r="S22" s="78"/>
      <c r="T22" s="78"/>
      <c r="U22" s="78"/>
    </row>
    <row r="23" spans="1:25" ht="4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25">
      <c r="K24" s="111"/>
    </row>
  </sheetData>
  <pageMargins left="0.7" right="0.7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zoomScaleNormal="100" workbookViewId="0">
      <pane xSplit="1" ySplit="8" topLeftCell="B33" activePane="bottomRight" state="frozen"/>
      <selection activeCell="D33" sqref="D33"/>
      <selection pane="topRight" activeCell="D33" sqref="D33"/>
      <selection pane="bottomLeft" activeCell="D33" sqref="D33"/>
      <selection pane="bottomRight" activeCell="G19" sqref="G19"/>
    </sheetView>
  </sheetViews>
  <sheetFormatPr defaultRowHeight="13.2"/>
  <cols>
    <col min="1" max="1" width="27" style="24" customWidth="1"/>
    <col min="2" max="2" width="17.33203125" style="24" bestFit="1" customWidth="1"/>
    <col min="3" max="3" width="6.5546875" style="24" bestFit="1" customWidth="1"/>
    <col min="4" max="4" width="11.44140625" style="24" bestFit="1" customWidth="1"/>
    <col min="5" max="5" width="10.6640625" style="24" bestFit="1" customWidth="1"/>
    <col min="6" max="6" width="13.109375" style="24" bestFit="1" customWidth="1"/>
    <col min="7" max="7" width="14.6640625" style="24" bestFit="1" customWidth="1"/>
    <col min="8" max="8" width="11.44140625" style="24" bestFit="1" customWidth="1"/>
    <col min="9" max="9" width="6.5546875" bestFit="1" customWidth="1"/>
    <col min="10" max="10" width="8.33203125" bestFit="1" customWidth="1"/>
    <col min="11" max="13" width="10.33203125" bestFit="1" customWidth="1"/>
    <col min="14" max="14" width="6.44140625" bestFit="1" customWidth="1"/>
    <col min="15" max="16" width="8" bestFit="1" customWidth="1"/>
    <col min="17" max="17" width="6.6640625" bestFit="1" customWidth="1"/>
  </cols>
  <sheetData>
    <row r="1" spans="1:18" ht="4.95" customHeight="1">
      <c r="A1" s="89"/>
    </row>
    <row r="2" spans="1:18" ht="17.399999999999999">
      <c r="A2" s="163" t="s">
        <v>19</v>
      </c>
    </row>
    <row r="3" spans="1:18" ht="17.399999999999999">
      <c r="A3" s="163" t="s">
        <v>40</v>
      </c>
      <c r="B3" s="27"/>
      <c r="C3" s="27"/>
      <c r="D3" s="30"/>
    </row>
    <row r="4" spans="1:18" s="24" customFormat="1" ht="17.399999999999999">
      <c r="A4" s="163" t="s">
        <v>162</v>
      </c>
      <c r="B4" s="27"/>
      <c r="C4" s="27"/>
      <c r="D4" s="30"/>
      <c r="I4"/>
      <c r="J4"/>
      <c r="K4"/>
      <c r="L4"/>
      <c r="M4"/>
      <c r="N4"/>
      <c r="O4"/>
      <c r="P4"/>
      <c r="Q4"/>
      <c r="R4"/>
    </row>
    <row r="5" spans="1:18" ht="4.95" customHeight="1" thickBot="1">
      <c r="A5" s="164"/>
    </row>
    <row r="6" spans="1:18">
      <c r="A6" s="165" t="s">
        <v>14</v>
      </c>
      <c r="B6" s="166" t="s">
        <v>15</v>
      </c>
      <c r="C6" s="168" t="s">
        <v>91</v>
      </c>
      <c r="D6" s="166" t="s">
        <v>12</v>
      </c>
      <c r="E6" s="167" t="s">
        <v>83</v>
      </c>
      <c r="F6" s="167" t="s">
        <v>84</v>
      </c>
      <c r="G6" s="167" t="s">
        <v>88</v>
      </c>
      <c r="H6" s="167" t="s">
        <v>90</v>
      </c>
    </row>
    <row r="7" spans="1:18">
      <c r="A7" s="169"/>
      <c r="B7" s="170"/>
      <c r="C7" s="171" t="s">
        <v>29</v>
      </c>
      <c r="D7" s="170"/>
      <c r="E7" s="170" t="s">
        <v>82</v>
      </c>
      <c r="F7" s="170" t="s">
        <v>82</v>
      </c>
      <c r="G7" s="170" t="s">
        <v>89</v>
      </c>
      <c r="H7" s="170" t="s">
        <v>89</v>
      </c>
    </row>
    <row r="8" spans="1:18" ht="13.8" thickBot="1">
      <c r="A8" s="172"/>
      <c r="B8" s="173"/>
      <c r="C8" s="175" t="s">
        <v>80</v>
      </c>
      <c r="D8" s="173" t="s">
        <v>85</v>
      </c>
      <c r="E8" s="173" t="s">
        <v>86</v>
      </c>
      <c r="F8" s="173" t="s">
        <v>87</v>
      </c>
      <c r="G8" s="174"/>
      <c r="H8" s="174"/>
    </row>
    <row r="10" spans="1:18">
      <c r="A10" s="186" t="s">
        <v>13</v>
      </c>
      <c r="B10" s="33"/>
      <c r="C10" s="33"/>
      <c r="D10" s="33"/>
    </row>
    <row r="11" spans="1:18" s="24" customFormat="1">
      <c r="A11" s="24" t="s">
        <v>152</v>
      </c>
      <c r="B11" s="23" t="s">
        <v>156</v>
      </c>
      <c r="C11" s="178">
        <v>925</v>
      </c>
      <c r="D11" s="205">
        <v>3437717.21</v>
      </c>
      <c r="E11" s="176">
        <f ca="1">'[2]SAP DL Downld'!$H$15</f>
        <v>0.54659120593235488</v>
      </c>
      <c r="F11" s="177">
        <f ca="1">D11*E11</f>
        <v>1879025.9954683105</v>
      </c>
      <c r="G11" s="177">
        <f ca="1">$F$11*F58</f>
        <v>1091842.4268547802</v>
      </c>
      <c r="H11" s="177">
        <f ca="1">$F$11*G58</f>
        <v>787183.56861353037</v>
      </c>
      <c r="I11"/>
      <c r="J11"/>
      <c r="K11"/>
      <c r="L11"/>
      <c r="M11"/>
      <c r="N11"/>
      <c r="O11"/>
      <c r="P11"/>
      <c r="Q11"/>
      <c r="R11"/>
    </row>
    <row r="12" spans="1:18" s="24" customFormat="1">
      <c r="B12" s="23"/>
      <c r="C12" s="178"/>
      <c r="D12" s="205"/>
      <c r="E12" s="176"/>
      <c r="F12" s="177"/>
      <c r="G12" s="177"/>
      <c r="H12" s="177"/>
      <c r="I12"/>
      <c r="J12"/>
      <c r="K12"/>
      <c r="L12"/>
      <c r="M12"/>
      <c r="N12"/>
      <c r="O12"/>
      <c r="P12"/>
      <c r="Q12"/>
      <c r="R12"/>
    </row>
    <row r="13" spans="1:18" s="24" customFormat="1">
      <c r="A13" s="24" t="s">
        <v>153</v>
      </c>
      <c r="B13" s="23" t="s">
        <v>156</v>
      </c>
      <c r="C13" s="178">
        <v>925</v>
      </c>
      <c r="D13" s="205">
        <v>658491.91</v>
      </c>
      <c r="E13" s="176">
        <f ca="1">E11</f>
        <v>0.54659120593235488</v>
      </c>
      <c r="F13" s="177">
        <f ca="1">D13*E13</f>
        <v>359925.8871835997</v>
      </c>
      <c r="G13" s="177">
        <f ca="1">$F13*$F$58</f>
        <v>209141.5207124147</v>
      </c>
      <c r="H13" s="177">
        <f ca="1">$F13*$G$58</f>
        <v>150784.366471185</v>
      </c>
      <c r="I13"/>
      <c r="J13"/>
      <c r="K13"/>
      <c r="L13"/>
      <c r="M13"/>
      <c r="N13"/>
      <c r="O13"/>
      <c r="P13"/>
      <c r="Q13"/>
      <c r="R13"/>
    </row>
    <row r="14" spans="1:18" s="24" customFormat="1">
      <c r="B14" s="23"/>
      <c r="C14" s="178"/>
      <c r="D14" s="205"/>
      <c r="E14" s="176"/>
      <c r="F14" s="177"/>
      <c r="G14" s="177"/>
      <c r="H14" s="177"/>
      <c r="I14"/>
      <c r="J14"/>
      <c r="K14"/>
      <c r="L14"/>
      <c r="M14"/>
      <c r="N14"/>
      <c r="O14"/>
      <c r="P14"/>
      <c r="Q14"/>
      <c r="R14"/>
    </row>
    <row r="15" spans="1:18" s="24" customFormat="1">
      <c r="A15" s="24" t="s">
        <v>154</v>
      </c>
      <c r="B15" s="23" t="s">
        <v>156</v>
      </c>
      <c r="C15" s="178">
        <v>925</v>
      </c>
      <c r="D15" s="205">
        <v>298700</v>
      </c>
      <c r="E15" s="176">
        <f ca="1">E13</f>
        <v>0.54659120593235488</v>
      </c>
      <c r="F15" s="177">
        <f ca="1">D15*E15</f>
        <v>163266.7932119944</v>
      </c>
      <c r="G15" s="177">
        <f ca="1">$F15*$F$58</f>
        <v>94869.156762758517</v>
      </c>
      <c r="H15" s="177">
        <f ca="1">$F15*$G$58</f>
        <v>68397.636449235884</v>
      </c>
      <c r="I15"/>
      <c r="J15"/>
      <c r="K15"/>
      <c r="L15"/>
      <c r="M15"/>
      <c r="N15"/>
      <c r="O15"/>
      <c r="P15"/>
      <c r="Q15"/>
      <c r="R15"/>
    </row>
    <row r="16" spans="1:18" s="24" customFormat="1">
      <c r="B16" s="23"/>
      <c r="C16" s="178"/>
      <c r="D16" s="205"/>
      <c r="E16" s="176"/>
      <c r="F16" s="177"/>
      <c r="G16" s="177"/>
      <c r="H16" s="177"/>
      <c r="I16"/>
      <c r="J16"/>
      <c r="K16"/>
      <c r="L16"/>
      <c r="M16"/>
      <c r="N16"/>
      <c r="O16"/>
      <c r="P16"/>
      <c r="Q16"/>
      <c r="R16"/>
    </row>
    <row r="17" spans="1:18" s="24" customFormat="1">
      <c r="A17" s="24" t="s">
        <v>28</v>
      </c>
      <c r="B17" s="23" t="s">
        <v>156</v>
      </c>
      <c r="C17" s="178">
        <v>925</v>
      </c>
      <c r="D17" s="205">
        <v>45650.95</v>
      </c>
      <c r="E17" s="176">
        <f ca="1">E15</f>
        <v>0.54659120593235488</v>
      </c>
      <c r="F17" s="177">
        <f ca="1">D17*E17</f>
        <v>24952.407812457634</v>
      </c>
      <c r="G17" s="177">
        <f ca="1">$F17*$F$58</f>
        <v>14499.053002741381</v>
      </c>
      <c r="H17" s="177">
        <f ca="1">$F17*$G$58</f>
        <v>10453.354809716253</v>
      </c>
      <c r="I17"/>
      <c r="J17"/>
      <c r="K17"/>
      <c r="L17"/>
      <c r="M17"/>
      <c r="N17"/>
      <c r="O17"/>
      <c r="P17"/>
      <c r="Q17"/>
      <c r="R17"/>
    </row>
    <row r="18" spans="1:18" s="24" customFormat="1">
      <c r="B18" s="23"/>
      <c r="C18" s="23"/>
      <c r="D18" s="205"/>
      <c r="E18" s="176"/>
      <c r="F18" s="177"/>
      <c r="G18" s="177"/>
      <c r="H18" s="177"/>
      <c r="I18"/>
      <c r="J18"/>
      <c r="K18"/>
      <c r="L18"/>
      <c r="M18"/>
      <c r="N18"/>
      <c r="O18"/>
      <c r="P18"/>
      <c r="Q18"/>
      <c r="R18"/>
    </row>
    <row r="19" spans="1:18" s="24" customFormat="1">
      <c r="A19" s="24" t="s">
        <v>16</v>
      </c>
      <c r="B19" s="23" t="s">
        <v>165</v>
      </c>
      <c r="C19" s="178">
        <v>925</v>
      </c>
      <c r="D19" s="205">
        <v>31270</v>
      </c>
      <c r="E19" s="176">
        <v>1</v>
      </c>
      <c r="F19" s="177">
        <f>D19*E19</f>
        <v>31270</v>
      </c>
      <c r="G19" s="177">
        <f ca="1">F$19*$F$57</f>
        <v>19015.287</v>
      </c>
      <c r="H19" s="177">
        <f ca="1">F$19*$G$57</f>
        <v>12254.713000000002</v>
      </c>
      <c r="I19"/>
      <c r="J19"/>
      <c r="K19"/>
      <c r="L19"/>
      <c r="M19"/>
      <c r="N19"/>
      <c r="O19"/>
      <c r="P19"/>
      <c r="Q19"/>
      <c r="R19"/>
    </row>
    <row r="20" spans="1:18" s="24" customFormat="1">
      <c r="B20" s="23"/>
      <c r="C20" s="178"/>
      <c r="D20" s="205"/>
      <c r="E20" s="176"/>
      <c r="F20" s="177"/>
      <c r="G20" s="177"/>
      <c r="H20" s="177"/>
      <c r="I20"/>
      <c r="J20"/>
      <c r="K20"/>
      <c r="L20"/>
      <c r="M20"/>
      <c r="N20"/>
      <c r="O20"/>
      <c r="P20"/>
      <c r="Q20"/>
      <c r="R20"/>
    </row>
    <row r="21" spans="1:18" s="24" customFormat="1">
      <c r="A21" s="24" t="s">
        <v>96</v>
      </c>
      <c r="B21" s="178" t="s">
        <v>166</v>
      </c>
      <c r="C21" s="178">
        <v>925</v>
      </c>
      <c r="D21" s="205">
        <v>58178</v>
      </c>
      <c r="E21" s="176">
        <f ca="1">E17</f>
        <v>0.54659120593235488</v>
      </c>
      <c r="F21" s="177">
        <f ca="1">D21*E21</f>
        <v>31799.583178732544</v>
      </c>
      <c r="G21" s="177">
        <f ca="1">$F21*$F$58</f>
        <v>18477.729501653048</v>
      </c>
      <c r="H21" s="177">
        <f ca="1">$F21*$G$58</f>
        <v>13321.853677079496</v>
      </c>
      <c r="I21"/>
      <c r="J21"/>
      <c r="K21"/>
      <c r="L21"/>
      <c r="M21"/>
      <c r="N21"/>
      <c r="O21"/>
      <c r="P21"/>
      <c r="Q21"/>
      <c r="R21"/>
    </row>
    <row r="22" spans="1:18" s="24" customFormat="1">
      <c r="B22" s="23"/>
      <c r="C22" s="178"/>
      <c r="D22" s="205"/>
      <c r="E22" s="176"/>
      <c r="F22" s="177"/>
      <c r="G22" s="177"/>
      <c r="H22" s="177"/>
      <c r="I22"/>
      <c r="J22"/>
      <c r="K22"/>
      <c r="L22"/>
      <c r="M22"/>
      <c r="N22"/>
      <c r="O22"/>
      <c r="P22"/>
      <c r="Q22"/>
      <c r="R22"/>
    </row>
    <row r="23" spans="1:18" s="24" customFormat="1">
      <c r="A23" s="24" t="s">
        <v>129</v>
      </c>
      <c r="B23" s="178" t="s">
        <v>157</v>
      </c>
      <c r="C23" s="178">
        <v>925</v>
      </c>
      <c r="D23" s="205">
        <v>22462</v>
      </c>
      <c r="E23" s="176">
        <f ca="1">E21</f>
        <v>0.54659120593235488</v>
      </c>
      <c r="F23" s="177">
        <f ca="1">D23*E23</f>
        <v>12277.531667652556</v>
      </c>
      <c r="G23" s="177">
        <f ca="1">$F23*$F$58</f>
        <v>7134.0843629229394</v>
      </c>
      <c r="H23" s="177">
        <f ca="1">$F23*$G$58</f>
        <v>5143.4473047296169</v>
      </c>
      <c r="I23"/>
      <c r="J23"/>
      <c r="K23"/>
      <c r="L23"/>
      <c r="M23"/>
      <c r="N23"/>
      <c r="O23"/>
      <c r="P23"/>
      <c r="Q23"/>
      <c r="R23"/>
    </row>
    <row r="24" spans="1:18" s="24" customFormat="1">
      <c r="B24" s="23"/>
      <c r="C24" s="178"/>
      <c r="D24" s="205"/>
      <c r="E24" s="176"/>
      <c r="F24" s="177"/>
      <c r="G24" s="177"/>
      <c r="H24" s="177"/>
      <c r="I24"/>
      <c r="J24"/>
      <c r="K24"/>
      <c r="L24"/>
      <c r="M24"/>
      <c r="N24"/>
      <c r="O24"/>
      <c r="P24"/>
      <c r="Q24"/>
      <c r="R24"/>
    </row>
    <row r="25" spans="1:18" s="24" customFormat="1">
      <c r="A25" s="31" t="s">
        <v>155</v>
      </c>
      <c r="B25" s="23" t="s">
        <v>156</v>
      </c>
      <c r="C25" s="178">
        <v>925</v>
      </c>
      <c r="D25" s="205">
        <v>449842</v>
      </c>
      <c r="E25" s="176">
        <f ca="1">E23</f>
        <v>0.54659120593235488</v>
      </c>
      <c r="F25" s="177">
        <f ca="1">D25*E25</f>
        <v>245879.68125902239</v>
      </c>
      <c r="G25" s="177">
        <f ca="1">$F25*$F$58</f>
        <v>142872.88656335056</v>
      </c>
      <c r="H25" s="177">
        <f ca="1">$F25*$G$58</f>
        <v>103006.79469567181</v>
      </c>
      <c r="I25"/>
      <c r="J25"/>
      <c r="K25"/>
      <c r="L25"/>
      <c r="M25"/>
      <c r="N25"/>
      <c r="O25"/>
      <c r="P25"/>
      <c r="Q25"/>
      <c r="R25"/>
    </row>
    <row r="26" spans="1:18" s="24" customFormat="1">
      <c r="B26" s="23"/>
      <c r="C26" s="178"/>
      <c r="D26" s="205"/>
      <c r="E26" s="176"/>
      <c r="F26" s="177"/>
      <c r="G26" s="177"/>
      <c r="H26" s="177"/>
      <c r="I26"/>
      <c r="J26"/>
      <c r="K26"/>
      <c r="L26"/>
      <c r="M26"/>
      <c r="N26"/>
      <c r="O26"/>
      <c r="P26"/>
      <c r="Q26"/>
      <c r="R26"/>
    </row>
    <row r="27" spans="1:18" s="24" customFormat="1">
      <c r="A27" s="24" t="s">
        <v>39</v>
      </c>
      <c r="B27" s="23" t="s">
        <v>156</v>
      </c>
      <c r="C27" s="178">
        <v>925</v>
      </c>
      <c r="D27" s="205">
        <v>1958.05</v>
      </c>
      <c r="E27" s="176">
        <f ca="1">E25</f>
        <v>0.54659120593235488</v>
      </c>
      <c r="F27" s="177">
        <f ca="1">D27*E27</f>
        <v>1070.2529107758476</v>
      </c>
      <c r="G27" s="177">
        <f ca="1">$F27*$F$58</f>
        <v>621.89003146742323</v>
      </c>
      <c r="H27" s="177">
        <f ca="1">$F27*$G$58</f>
        <v>448.36287930842428</v>
      </c>
      <c r="I27"/>
      <c r="J27"/>
      <c r="K27"/>
      <c r="L27"/>
      <c r="M27"/>
      <c r="N27"/>
      <c r="O27"/>
      <c r="P27"/>
      <c r="Q27"/>
      <c r="R27"/>
    </row>
    <row r="28" spans="1:18" s="24" customFormat="1">
      <c r="B28" s="23"/>
      <c r="C28" s="178"/>
      <c r="D28" s="205"/>
      <c r="E28" s="176"/>
      <c r="F28" s="177"/>
      <c r="G28" s="177"/>
      <c r="H28" s="177"/>
      <c r="I28"/>
      <c r="J28"/>
      <c r="K28"/>
      <c r="L28"/>
      <c r="M28"/>
      <c r="N28"/>
      <c r="O28"/>
      <c r="P28"/>
      <c r="Q28"/>
      <c r="R28"/>
    </row>
    <row r="29" spans="1:18" s="24" customFormat="1">
      <c r="A29" s="31" t="s">
        <v>17</v>
      </c>
      <c r="B29" s="23" t="s">
        <v>157</v>
      </c>
      <c r="C29" s="178">
        <v>925</v>
      </c>
      <c r="D29" s="205">
        <v>120000</v>
      </c>
      <c r="E29" s="176">
        <f ca="1">E27</f>
        <v>0.54659120593235488</v>
      </c>
      <c r="F29" s="177">
        <f ca="1">D29*E29</f>
        <v>65590.944711882592</v>
      </c>
      <c r="G29" s="177">
        <f ca="1">$F29*$F$58</f>
        <v>38112.818250857126</v>
      </c>
      <c r="H29" s="177">
        <f ca="1">$F29*$G$58</f>
        <v>27478.126461025466</v>
      </c>
      <c r="I29"/>
      <c r="J29"/>
      <c r="K29"/>
      <c r="L29"/>
      <c r="M29"/>
      <c r="N29"/>
      <c r="O29"/>
      <c r="P29"/>
      <c r="Q29"/>
      <c r="R29"/>
    </row>
    <row r="30" spans="1:18" s="24" customFormat="1">
      <c r="A30" s="31"/>
      <c r="B30" s="23"/>
      <c r="C30" s="178"/>
      <c r="D30" s="205"/>
      <c r="E30" s="176"/>
      <c r="F30" s="177"/>
      <c r="G30" s="177"/>
      <c r="H30" s="177"/>
      <c r="I30"/>
      <c r="J30"/>
      <c r="K30"/>
      <c r="L30"/>
      <c r="M30"/>
      <c r="N30"/>
      <c r="O30"/>
      <c r="P30"/>
      <c r="Q30"/>
      <c r="R30"/>
    </row>
    <row r="31" spans="1:18" s="24" customFormat="1">
      <c r="A31" s="31" t="s">
        <v>17</v>
      </c>
      <c r="B31" s="23" t="s">
        <v>157</v>
      </c>
      <c r="C31" s="178">
        <v>924</v>
      </c>
      <c r="D31" s="205">
        <v>120000</v>
      </c>
      <c r="E31" s="176">
        <v>1</v>
      </c>
      <c r="F31" s="177">
        <f>D31*E31</f>
        <v>120000</v>
      </c>
      <c r="G31" s="177">
        <f ca="1">F$31*$F$57</f>
        <v>72972</v>
      </c>
      <c r="H31" s="177">
        <f ca="1">F$31*$G$57</f>
        <v>47028</v>
      </c>
      <c r="I31"/>
      <c r="J31"/>
      <c r="K31"/>
      <c r="L31"/>
      <c r="M31"/>
      <c r="N31"/>
      <c r="O31"/>
      <c r="P31"/>
      <c r="Q31"/>
      <c r="R31"/>
    </row>
    <row r="32" spans="1:18" s="24" customFormat="1">
      <c r="B32" s="23"/>
      <c r="C32" s="178"/>
      <c r="D32" s="205"/>
      <c r="E32" s="176"/>
      <c r="F32" s="177"/>
      <c r="G32" s="177"/>
      <c r="H32" s="177"/>
      <c r="I32"/>
      <c r="J32"/>
      <c r="K32"/>
      <c r="L32"/>
      <c r="M32"/>
      <c r="N32"/>
      <c r="O32"/>
      <c r="P32"/>
      <c r="Q32"/>
      <c r="R32"/>
    </row>
    <row r="33" spans="1:18" s="24" customFormat="1">
      <c r="A33" s="52" t="s">
        <v>18</v>
      </c>
      <c r="B33" s="23" t="s">
        <v>156</v>
      </c>
      <c r="C33" s="178">
        <v>924</v>
      </c>
      <c r="D33" s="205">
        <v>15152</v>
      </c>
      <c r="E33" s="176">
        <f ca="1">E29</f>
        <v>0.54659120593235488</v>
      </c>
      <c r="F33" s="177">
        <f ca="1">D33*E33</f>
        <v>8281.949952287041</v>
      </c>
      <c r="G33" s="177">
        <f ca="1">F$33*$F$57</f>
        <v>5036.2537659857499</v>
      </c>
      <c r="H33" s="177">
        <f ca="1">F$33*$G$57</f>
        <v>3245.6961863012916</v>
      </c>
      <c r="I33"/>
      <c r="J33"/>
      <c r="K33"/>
      <c r="L33"/>
      <c r="M33"/>
      <c r="N33"/>
      <c r="O33"/>
      <c r="P33"/>
      <c r="Q33"/>
      <c r="R33"/>
    </row>
    <row r="34" spans="1:18" s="24" customFormat="1">
      <c r="A34" s="29"/>
      <c r="B34" s="29"/>
      <c r="C34" s="23"/>
      <c r="D34" s="179"/>
      <c r="E34" s="176"/>
      <c r="F34" s="180"/>
      <c r="G34" s="180"/>
      <c r="H34" s="180"/>
      <c r="I34"/>
      <c r="J34"/>
      <c r="K34"/>
      <c r="L34"/>
      <c r="M34"/>
      <c r="N34"/>
      <c r="O34"/>
      <c r="P34"/>
      <c r="Q34"/>
      <c r="R34"/>
    </row>
    <row r="35" spans="1:18">
      <c r="A35" s="186" t="s">
        <v>81</v>
      </c>
      <c r="B35" s="33"/>
      <c r="C35" s="33"/>
      <c r="D35" s="33"/>
      <c r="E35" s="176"/>
      <c r="F35" s="180"/>
      <c r="G35" s="180"/>
      <c r="H35" s="180"/>
    </row>
    <row r="36" spans="1:18">
      <c r="A36" s="29"/>
      <c r="B36" s="29"/>
      <c r="C36" s="23"/>
      <c r="D36" s="335"/>
      <c r="E36" s="176"/>
      <c r="F36" s="180"/>
      <c r="G36" s="180"/>
      <c r="H36" s="180"/>
    </row>
    <row r="37" spans="1:18" s="24" customFormat="1">
      <c r="A37" s="344" t="s">
        <v>231</v>
      </c>
      <c r="B37" s="23" t="s">
        <v>159</v>
      </c>
      <c r="C37" s="178">
        <v>924</v>
      </c>
      <c r="D37" s="205">
        <v>97942</v>
      </c>
      <c r="E37" s="176">
        <v>1</v>
      </c>
      <c r="F37" s="177">
        <f>D37*E37</f>
        <v>97942</v>
      </c>
      <c r="G37" s="177">
        <f>F37</f>
        <v>97942</v>
      </c>
      <c r="H37" s="177">
        <v>0</v>
      </c>
      <c r="I37"/>
      <c r="J37"/>
      <c r="K37"/>
      <c r="L37"/>
      <c r="M37"/>
      <c r="N37"/>
      <c r="O37"/>
      <c r="P37"/>
      <c r="Q37"/>
      <c r="R37"/>
    </row>
    <row r="38" spans="1:18" s="24" customFormat="1">
      <c r="B38" s="23"/>
      <c r="C38" s="178"/>
      <c r="D38" s="345"/>
      <c r="E38" s="176"/>
      <c r="F38" s="177"/>
      <c r="G38" s="177"/>
      <c r="H38" s="177"/>
      <c r="I38"/>
      <c r="J38"/>
      <c r="K38"/>
      <c r="L38"/>
      <c r="M38"/>
      <c r="N38"/>
      <c r="O38"/>
      <c r="P38"/>
      <c r="Q38"/>
      <c r="R38"/>
    </row>
    <row r="39" spans="1:18" s="24" customFormat="1">
      <c r="A39" s="256" t="s">
        <v>232</v>
      </c>
      <c r="B39" s="23" t="s">
        <v>159</v>
      </c>
      <c r="C39" s="178">
        <v>924</v>
      </c>
      <c r="D39" s="408">
        <v>12324</v>
      </c>
      <c r="E39" s="176">
        <v>1</v>
      </c>
      <c r="F39" s="177">
        <f>D39*E39</f>
        <v>12324</v>
      </c>
      <c r="G39" s="177">
        <f>F39</f>
        <v>12324</v>
      </c>
      <c r="H39" s="177">
        <v>0</v>
      </c>
      <c r="I39"/>
      <c r="J39"/>
      <c r="K39"/>
      <c r="L39"/>
      <c r="M39"/>
      <c r="N39"/>
      <c r="O39"/>
      <c r="P39"/>
      <c r="Q39"/>
      <c r="R39"/>
    </row>
    <row r="40" spans="1:18" s="24" customFormat="1">
      <c r="B40" s="23"/>
      <c r="C40" s="178"/>
      <c r="D40" s="345"/>
      <c r="E40" s="176"/>
      <c r="F40" s="177"/>
      <c r="G40" s="177"/>
      <c r="H40" s="177"/>
      <c r="I40"/>
      <c r="J40"/>
      <c r="K40"/>
      <c r="L40"/>
      <c r="M40"/>
      <c r="N40"/>
      <c r="O40"/>
      <c r="P40"/>
      <c r="Q40"/>
      <c r="R40"/>
    </row>
    <row r="41" spans="1:18" s="24" customFormat="1">
      <c r="A41" s="256" t="s">
        <v>233</v>
      </c>
      <c r="B41" s="23" t="s">
        <v>167</v>
      </c>
      <c r="C41" s="206">
        <v>924</v>
      </c>
      <c r="D41" s="408">
        <v>11574</v>
      </c>
      <c r="E41" s="176">
        <v>1</v>
      </c>
      <c r="F41" s="177">
        <f>D41*E41</f>
        <v>11574</v>
      </c>
      <c r="G41" s="177">
        <f>F41</f>
        <v>11574</v>
      </c>
      <c r="H41" s="177">
        <v>0</v>
      </c>
      <c r="I41"/>
      <c r="J41"/>
      <c r="K41"/>
      <c r="L41"/>
      <c r="M41"/>
      <c r="N41"/>
      <c r="O41"/>
      <c r="P41"/>
      <c r="Q41"/>
      <c r="R41"/>
    </row>
    <row r="42" spans="1:18" s="24" customFormat="1">
      <c r="B42" s="23"/>
      <c r="C42" s="206"/>
      <c r="D42" s="345"/>
      <c r="E42" s="176"/>
      <c r="F42" s="177"/>
      <c r="G42" s="177"/>
      <c r="H42" s="177"/>
      <c r="I42"/>
      <c r="J42"/>
      <c r="K42"/>
      <c r="L42"/>
      <c r="M42"/>
      <c r="N42"/>
      <c r="O42"/>
      <c r="P42"/>
      <c r="Q42"/>
      <c r="R42"/>
    </row>
    <row r="43" spans="1:18" s="24" customFormat="1">
      <c r="A43" s="256" t="s">
        <v>234</v>
      </c>
      <c r="B43" s="23" t="s">
        <v>159</v>
      </c>
      <c r="C43" s="206">
        <v>924</v>
      </c>
      <c r="D43" s="408">
        <v>48971</v>
      </c>
      <c r="E43" s="176">
        <v>1</v>
      </c>
      <c r="F43" s="177">
        <f>D43*E43</f>
        <v>48971</v>
      </c>
      <c r="G43" s="177">
        <f>F43</f>
        <v>48971</v>
      </c>
      <c r="H43" s="177">
        <v>0</v>
      </c>
      <c r="I43"/>
      <c r="J43"/>
      <c r="K43"/>
      <c r="L43"/>
      <c r="M43"/>
      <c r="N43"/>
      <c r="O43"/>
      <c r="P43"/>
      <c r="Q43"/>
      <c r="R43"/>
    </row>
    <row r="44" spans="1:18" s="24" customFormat="1">
      <c r="B44" s="23"/>
      <c r="C44" s="206"/>
      <c r="D44" s="345"/>
      <c r="E44" s="176"/>
      <c r="F44" s="177"/>
      <c r="G44" s="177"/>
      <c r="H44" s="177"/>
      <c r="I44"/>
      <c r="J44"/>
      <c r="K44"/>
      <c r="L44"/>
      <c r="M44"/>
      <c r="N44"/>
      <c r="O44"/>
      <c r="P44"/>
      <c r="Q44"/>
      <c r="R44"/>
    </row>
    <row r="45" spans="1:18" s="24" customFormat="1">
      <c r="A45" s="256" t="s">
        <v>235</v>
      </c>
      <c r="B45" s="23" t="s">
        <v>159</v>
      </c>
      <c r="C45" s="206">
        <v>924</v>
      </c>
      <c r="D45" s="408">
        <v>7842</v>
      </c>
      <c r="E45" s="176">
        <v>1</v>
      </c>
      <c r="F45" s="177">
        <f>D45*E45</f>
        <v>7842</v>
      </c>
      <c r="G45" s="177">
        <f>F45</f>
        <v>7842</v>
      </c>
      <c r="H45" s="177">
        <v>0</v>
      </c>
      <c r="I45"/>
      <c r="J45"/>
      <c r="K45"/>
      <c r="L45"/>
      <c r="M45"/>
      <c r="N45"/>
      <c r="O45"/>
      <c r="P45"/>
      <c r="Q45"/>
      <c r="R45"/>
    </row>
    <row r="46" spans="1:18" s="24" customFormat="1">
      <c r="B46" s="23"/>
      <c r="C46" s="206"/>
      <c r="D46" s="345"/>
      <c r="E46" s="176"/>
      <c r="F46" s="177"/>
      <c r="G46" s="177"/>
      <c r="H46" s="177"/>
      <c r="I46"/>
      <c r="J46"/>
      <c r="K46"/>
      <c r="L46"/>
      <c r="M46"/>
      <c r="N46"/>
      <c r="O46"/>
      <c r="P46"/>
      <c r="Q46"/>
      <c r="R46"/>
    </row>
    <row r="47" spans="1:18" s="24" customFormat="1">
      <c r="A47" s="256" t="s">
        <v>236</v>
      </c>
      <c r="B47" s="23" t="s">
        <v>167</v>
      </c>
      <c r="C47" s="206">
        <v>924</v>
      </c>
      <c r="D47" s="408">
        <v>8054</v>
      </c>
      <c r="E47" s="176">
        <v>1</v>
      </c>
      <c r="F47" s="177">
        <f>D47*E47</f>
        <v>8054</v>
      </c>
      <c r="G47" s="177">
        <f>F47</f>
        <v>8054</v>
      </c>
      <c r="H47" s="177">
        <v>0</v>
      </c>
      <c r="I47"/>
      <c r="J47"/>
      <c r="K47"/>
      <c r="L47"/>
      <c r="M47"/>
      <c r="N47"/>
      <c r="O47"/>
      <c r="P47"/>
      <c r="Q47"/>
      <c r="R47"/>
    </row>
    <row r="48" spans="1:18" s="24" customFormat="1">
      <c r="B48" s="23"/>
      <c r="C48" s="206"/>
      <c r="D48" s="345"/>
      <c r="E48" s="176"/>
      <c r="F48" s="177"/>
      <c r="G48" s="177"/>
      <c r="H48" s="177"/>
      <c r="I48"/>
      <c r="J48"/>
      <c r="K48"/>
      <c r="L48"/>
      <c r="M48"/>
      <c r="N48"/>
      <c r="O48"/>
      <c r="P48"/>
      <c r="Q48"/>
      <c r="R48"/>
    </row>
    <row r="49" spans="1:18" s="24" customFormat="1">
      <c r="A49" s="256" t="s">
        <v>176</v>
      </c>
      <c r="B49" s="23" t="s">
        <v>158</v>
      </c>
      <c r="C49" s="206">
        <v>925</v>
      </c>
      <c r="D49" s="28">
        <v>0</v>
      </c>
      <c r="E49" s="176">
        <f ca="1">E33</f>
        <v>0.54659120593235488</v>
      </c>
      <c r="F49" s="177">
        <f ca="1">D49*E49</f>
        <v>0</v>
      </c>
      <c r="G49" s="177">
        <f ca="1">F49</f>
        <v>0</v>
      </c>
      <c r="H49" s="177">
        <v>0</v>
      </c>
      <c r="I49"/>
      <c r="J49"/>
      <c r="K49"/>
      <c r="L49"/>
      <c r="M49"/>
      <c r="N49"/>
      <c r="O49"/>
      <c r="P49"/>
      <c r="Q49"/>
      <c r="R49"/>
    </row>
    <row r="50" spans="1:18" s="24" customFormat="1">
      <c r="A50" s="256"/>
      <c r="B50" s="23"/>
      <c r="C50" s="206"/>
      <c r="D50" s="28"/>
      <c r="E50" s="176"/>
      <c r="F50" s="177"/>
      <c r="G50" s="177"/>
      <c r="H50" s="177"/>
      <c r="I50"/>
      <c r="J50"/>
      <c r="K50"/>
      <c r="L50"/>
      <c r="M50"/>
      <c r="N50"/>
      <c r="O50"/>
      <c r="P50"/>
      <c r="Q50"/>
      <c r="R50"/>
    </row>
    <row r="51" spans="1:18" s="24" customFormat="1">
      <c r="A51" s="256" t="s">
        <v>229</v>
      </c>
      <c r="B51" s="23" t="s">
        <v>228</v>
      </c>
      <c r="C51" s="206">
        <v>924</v>
      </c>
      <c r="D51" s="28">
        <f>SUM('Freddy1 Ins'!M8:M13)*12*0.4985</f>
        <v>61696.852500000001</v>
      </c>
      <c r="E51" s="176">
        <v>1</v>
      </c>
      <c r="F51" s="177">
        <f>D51*E51</f>
        <v>61696.852500000001</v>
      </c>
      <c r="G51" s="177">
        <f>F51</f>
        <v>61696.852500000001</v>
      </c>
      <c r="H51" s="177">
        <v>0</v>
      </c>
      <c r="I51"/>
      <c r="J51"/>
      <c r="K51"/>
      <c r="L51"/>
      <c r="M51"/>
      <c r="N51"/>
      <c r="O51"/>
      <c r="P51"/>
      <c r="Q51"/>
      <c r="R51"/>
    </row>
    <row r="52" spans="1:18" s="24" customFormat="1">
      <c r="A52" s="256"/>
      <c r="B52" s="23"/>
      <c r="C52" s="206"/>
      <c r="D52" s="28"/>
      <c r="E52" s="176"/>
      <c r="F52" s="177"/>
      <c r="G52" s="177"/>
      <c r="H52" s="177"/>
      <c r="I52"/>
      <c r="J52"/>
      <c r="K52"/>
      <c r="L52"/>
      <c r="M52"/>
      <c r="N52"/>
      <c r="O52"/>
      <c r="P52"/>
      <c r="Q52"/>
      <c r="R52"/>
    </row>
    <row r="53" spans="1:18" s="24" customFormat="1">
      <c r="B53" s="23"/>
      <c r="C53" s="23"/>
      <c r="D53" s="205"/>
      <c r="F53" s="29"/>
      <c r="G53" s="29"/>
      <c r="H53" s="29"/>
      <c r="I53"/>
      <c r="J53"/>
      <c r="K53"/>
      <c r="L53"/>
      <c r="M53"/>
      <c r="N53"/>
      <c r="O53"/>
      <c r="P53"/>
      <c r="Q53"/>
      <c r="R53"/>
    </row>
    <row r="54" spans="1:18" s="24" customFormat="1" ht="13.8" thickBot="1">
      <c r="B54" s="23"/>
      <c r="C54" s="23"/>
      <c r="D54" s="207">
        <f>SUM(D11:D51)</f>
        <v>5507825.9725000001</v>
      </c>
      <c r="F54" s="207">
        <f ca="1">SUM(F11:F51)</f>
        <v>3191744.8798567154</v>
      </c>
      <c r="G54" s="207">
        <f ca="1">SUM(G11:G51)</f>
        <v>1962998.9593089316</v>
      </c>
      <c r="H54" s="207">
        <f ca="1">SUM(H11:H51)</f>
        <v>1228745.9205477836</v>
      </c>
      <c r="I54"/>
      <c r="J54"/>
      <c r="K54"/>
      <c r="L54"/>
      <c r="M54"/>
      <c r="N54"/>
      <c r="O54"/>
      <c r="P54"/>
      <c r="Q54"/>
      <c r="R54"/>
    </row>
    <row r="55" spans="1:18" ht="14.4" thickTop="1" thickBot="1">
      <c r="D55" s="26"/>
    </row>
    <row r="56" spans="1:18">
      <c r="B56" s="181"/>
      <c r="C56" s="182"/>
      <c r="D56" s="183"/>
      <c r="E56" s="182"/>
      <c r="F56" s="184" t="s">
        <v>20</v>
      </c>
      <c r="G56" s="184" t="s">
        <v>21</v>
      </c>
      <c r="H56" s="185" t="s">
        <v>44</v>
      </c>
    </row>
    <row r="57" spans="1:18">
      <c r="B57" s="69" t="s">
        <v>95</v>
      </c>
      <c r="C57" s="29"/>
      <c r="D57" s="208">
        <v>924</v>
      </c>
      <c r="E57" s="23">
        <v>1</v>
      </c>
      <c r="F57" s="209">
        <f ca="1">'Alloc Factors for calc'!E19</f>
        <v>0.60809999999999997</v>
      </c>
      <c r="G57" s="209">
        <f ca="1">'Alloc Factors for calc'!F19</f>
        <v>0.39190000000000003</v>
      </c>
      <c r="H57" s="210">
        <f ca="1">SUM(F57:G57)</f>
        <v>1</v>
      </c>
    </row>
    <row r="58" spans="1:18" ht="13.8" thickBot="1">
      <c r="B58" s="70" t="s">
        <v>95</v>
      </c>
      <c r="C58" s="71"/>
      <c r="D58" s="211">
        <v>925</v>
      </c>
      <c r="E58" s="212">
        <v>2</v>
      </c>
      <c r="F58" s="213">
        <f ca="1">'Alloc Factors for calc'!E23</f>
        <v>0.58106829255582482</v>
      </c>
      <c r="G58" s="213">
        <f ca="1">'Alloc Factors for calc'!F23</f>
        <v>0.41893170744417518</v>
      </c>
      <c r="H58" s="214">
        <f ca="1">SUM(F58:G58)</f>
        <v>1</v>
      </c>
    </row>
    <row r="59" spans="1:18">
      <c r="D59" s="26"/>
    </row>
    <row r="60" spans="1:18">
      <c r="A60" s="273" t="s">
        <v>181</v>
      </c>
      <c r="D60" s="26"/>
    </row>
    <row r="61" spans="1:18">
      <c r="A61" s="273" t="s">
        <v>237</v>
      </c>
      <c r="D61" s="26"/>
    </row>
    <row r="62" spans="1:18">
      <c r="D62" s="26"/>
    </row>
    <row r="63" spans="1:18">
      <c r="D63" s="26"/>
    </row>
    <row r="64" spans="1:18">
      <c r="D64" s="26"/>
    </row>
    <row r="65" spans="3:4">
      <c r="C65" s="26"/>
    </row>
    <row r="66" spans="3:4">
      <c r="C66" s="26"/>
    </row>
    <row r="67" spans="3:4">
      <c r="D67" s="26"/>
    </row>
    <row r="68" spans="3:4">
      <c r="D68" s="26"/>
    </row>
    <row r="69" spans="3:4">
      <c r="D69" s="26"/>
    </row>
    <row r="70" spans="3:4">
      <c r="D70" s="26"/>
    </row>
    <row r="71" spans="3:4">
      <c r="D71" s="26"/>
    </row>
    <row r="72" spans="3:4">
      <c r="D72" s="26"/>
    </row>
    <row r="73" spans="3:4">
      <c r="D73" s="26"/>
    </row>
    <row r="74" spans="3:4">
      <c r="D74" s="26"/>
    </row>
    <row r="75" spans="3:4">
      <c r="D75" s="26"/>
    </row>
    <row r="76" spans="3:4">
      <c r="D76" s="26"/>
    </row>
    <row r="77" spans="3:4">
      <c r="D77" s="26"/>
    </row>
    <row r="78" spans="3:4">
      <c r="D78" s="26"/>
    </row>
  </sheetData>
  <phoneticPr fontId="9" type="noConversion"/>
  <pageMargins left="0.56999999999999995" right="0.37" top="0.3" bottom="0.39" header="0.17" footer="0.17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S57"/>
  <sheetViews>
    <sheetView topLeftCell="A34" zoomScaleNormal="100" workbookViewId="0">
      <selection activeCell="B32" sqref="B32"/>
    </sheetView>
  </sheetViews>
  <sheetFormatPr defaultRowHeight="13.2"/>
  <cols>
    <col min="1" max="1" width="16.6640625" customWidth="1"/>
    <col min="2" max="2" width="18" customWidth="1"/>
    <col min="3" max="3" width="19.88671875" customWidth="1"/>
    <col min="4" max="4" width="13.88671875" customWidth="1"/>
    <col min="5" max="5" width="17" customWidth="1"/>
    <col min="7" max="7" width="2.6640625" customWidth="1"/>
    <col min="8" max="8" width="13.44140625" customWidth="1"/>
    <col min="11" max="11" width="8.88671875" customWidth="1"/>
    <col min="12" max="12" width="1.88671875" customWidth="1"/>
    <col min="13" max="13" width="10.44140625" bestFit="1" customWidth="1"/>
    <col min="14" max="14" width="12.33203125" customWidth="1"/>
    <col min="15" max="15" width="13.6640625" customWidth="1"/>
    <col min="16" max="16" width="15" customWidth="1"/>
    <col min="17" max="17" width="11.33203125" bestFit="1" customWidth="1"/>
  </cols>
  <sheetData>
    <row r="14" spans="7:9">
      <c r="G14" t="s">
        <v>170</v>
      </c>
      <c r="H14" s="203">
        <v>3958422</v>
      </c>
      <c r="I14" s="204" t="s">
        <v>177</v>
      </c>
    </row>
    <row r="15" spans="7:9">
      <c r="H15" s="111"/>
    </row>
    <row r="16" spans="7:9">
      <c r="H16" s="203">
        <v>-410000</v>
      </c>
      <c r="I16" s="204" t="s">
        <v>178</v>
      </c>
    </row>
    <row r="17" spans="1:9">
      <c r="H17" s="111"/>
    </row>
    <row r="18" spans="1:9" ht="13.8" thickBot="1">
      <c r="H18" s="111"/>
    </row>
    <row r="19" spans="1:9" ht="13.8" thickBot="1">
      <c r="H19" s="272">
        <f>SUM(H14:H18)</f>
        <v>3548422</v>
      </c>
      <c r="I19" s="204" t="s">
        <v>171</v>
      </c>
    </row>
    <row r="27" spans="1:9" ht="13.8" thickBot="1"/>
    <row r="28" spans="1:9" ht="28.95" customHeight="1">
      <c r="A28" s="418"/>
      <c r="B28" s="419" t="s">
        <v>254</v>
      </c>
      <c r="C28" s="420" t="s">
        <v>247</v>
      </c>
      <c r="D28" s="420" t="s">
        <v>248</v>
      </c>
      <c r="E28" s="421" t="s">
        <v>44</v>
      </c>
      <c r="F28" s="422"/>
    </row>
    <row r="29" spans="1:9">
      <c r="A29" s="423">
        <v>92400113</v>
      </c>
      <c r="B29" s="196">
        <v>3204114</v>
      </c>
      <c r="C29" s="424">
        <f>'Prop Ins - RY'!D40-C30-C31-C32-C33</f>
        <v>1968108.9999999998</v>
      </c>
      <c r="D29" s="425">
        <f>B29-C29</f>
        <v>1236005.0000000002</v>
      </c>
      <c r="E29" s="424">
        <f>SUM(C29:D29)</f>
        <v>3204114</v>
      </c>
      <c r="F29" s="403"/>
    </row>
    <row r="30" spans="1:9">
      <c r="A30" s="401" t="s">
        <v>241</v>
      </c>
      <c r="B30" s="196">
        <v>266565.30000000005</v>
      </c>
      <c r="C30" s="424">
        <f>'Prop Ins - RY'!D37</f>
        <v>266565.33</v>
      </c>
      <c r="D30" s="425">
        <f>B30-C30</f>
        <v>-2.9999999969732016E-2</v>
      </c>
      <c r="E30" s="426">
        <f t="shared" ref="E30:E33" si="0">SUM(C30:D30)</f>
        <v>266565.30000000005</v>
      </c>
      <c r="F30" s="403"/>
    </row>
    <row r="31" spans="1:9">
      <c r="A31" s="401" t="s">
        <v>242</v>
      </c>
      <c r="B31" s="196">
        <v>283141.5</v>
      </c>
      <c r="C31" s="424">
        <f>'Prop Ins - RY'!D38</f>
        <v>283141.5</v>
      </c>
      <c r="D31" s="425">
        <f>B31-C31</f>
        <v>0</v>
      </c>
      <c r="E31" s="426">
        <f t="shared" si="0"/>
        <v>283141.5</v>
      </c>
      <c r="F31" s="403"/>
    </row>
    <row r="32" spans="1:9">
      <c r="A32" s="401" t="s">
        <v>215</v>
      </c>
      <c r="B32" s="196">
        <v>245507.26</v>
      </c>
      <c r="C32" s="424">
        <f>'Prop Ins - RY'!D39</f>
        <v>245507.26</v>
      </c>
      <c r="D32" s="425">
        <f>B32-C32</f>
        <v>0</v>
      </c>
      <c r="E32" s="426">
        <f t="shared" si="0"/>
        <v>245507.26</v>
      </c>
      <c r="F32" s="403"/>
    </row>
    <row r="33" spans="1:19" ht="15">
      <c r="A33" s="401" t="s">
        <v>243</v>
      </c>
      <c r="B33" s="197">
        <v>758</v>
      </c>
      <c r="C33" s="427">
        <f>'Prop Ins - RY'!D34</f>
        <v>454</v>
      </c>
      <c r="D33" s="428">
        <f>B33-C33</f>
        <v>304</v>
      </c>
      <c r="E33" s="427">
        <f t="shared" si="0"/>
        <v>758</v>
      </c>
      <c r="F33" s="403"/>
    </row>
    <row r="34" spans="1:19">
      <c r="A34" s="429" t="s">
        <v>20</v>
      </c>
      <c r="B34" s="430">
        <f>SUM(B29:B33)</f>
        <v>4000086.0599999996</v>
      </c>
      <c r="C34" s="430">
        <f>SUM(C29:C33)</f>
        <v>2763777.09</v>
      </c>
      <c r="D34" s="430">
        <f>SUM(D29:D33)</f>
        <v>1236308.9700000002</v>
      </c>
      <c r="E34" s="426">
        <f>SUM(E29:E33)</f>
        <v>4000086.0599999996</v>
      </c>
      <c r="F34" s="403"/>
    </row>
    <row r="35" spans="1:19">
      <c r="A35" s="401"/>
      <c r="B35" s="402"/>
      <c r="C35" s="402"/>
      <c r="D35" s="402"/>
      <c r="E35" s="424"/>
      <c r="F35" s="403"/>
    </row>
    <row r="36" spans="1:19">
      <c r="A36" s="423">
        <v>92400308</v>
      </c>
      <c r="B36" s="196">
        <v>104481.99</v>
      </c>
      <c r="C36" s="424">
        <f>'Prop Ins - RY'!D47</f>
        <v>7111.7581841175634</v>
      </c>
      <c r="D36" s="425">
        <f>B36-C36</f>
        <v>97370.231815882435</v>
      </c>
      <c r="E36" s="426">
        <f>SUM(C36:D36)</f>
        <v>104481.98999999999</v>
      </c>
      <c r="F36" s="403"/>
    </row>
    <row r="37" spans="1:19" ht="15">
      <c r="A37" s="423" t="s">
        <v>249</v>
      </c>
      <c r="B37" s="197">
        <v>33815</v>
      </c>
      <c r="C37" s="427">
        <f>'Prop Ins - RY'!D48+'Prop Ins - RY'!D46</f>
        <v>29026.59582683754</v>
      </c>
      <c r="D37" s="428">
        <f>B37-C37</f>
        <v>4788.4041731624602</v>
      </c>
      <c r="E37" s="427">
        <f t="shared" ref="E37" si="1">SUM(C37:D37)</f>
        <v>33815</v>
      </c>
      <c r="F37" s="403"/>
      <c r="R37" s="18"/>
      <c r="S37" s="18"/>
    </row>
    <row r="38" spans="1:19">
      <c r="A38" s="429" t="s">
        <v>21</v>
      </c>
      <c r="B38" s="431">
        <f>SUM(B36:B37)</f>
        <v>138296.99</v>
      </c>
      <c r="C38" s="430">
        <f>SUM(C36:C37)</f>
        <v>36138.354010955103</v>
      </c>
      <c r="D38" s="430">
        <f>SUM(D36:D37)</f>
        <v>102158.63598904489</v>
      </c>
      <c r="E38" s="430">
        <f>SUM(E36:E37)</f>
        <v>138296.99</v>
      </c>
      <c r="F38" s="403"/>
    </row>
    <row r="39" spans="1:19">
      <c r="A39" s="401"/>
      <c r="B39" s="402"/>
      <c r="C39" s="402"/>
      <c r="D39" s="402"/>
      <c r="E39" s="424"/>
      <c r="F39" s="403"/>
    </row>
    <row r="40" spans="1:19">
      <c r="A40" s="423">
        <v>92400634</v>
      </c>
      <c r="B40" s="196">
        <v>174136.65</v>
      </c>
      <c r="C40" s="424">
        <f>'Prop Ins - RY'!D52</f>
        <v>205253.00999999954</v>
      </c>
      <c r="D40" s="425">
        <f>B40-C40</f>
        <v>-31116.359999999549</v>
      </c>
      <c r="E40" s="426">
        <f>SUM(C40:D40)</f>
        <v>174136.65</v>
      </c>
      <c r="F40" s="403"/>
    </row>
    <row r="41" spans="1:19" ht="15">
      <c r="A41" s="423">
        <v>92400635</v>
      </c>
      <c r="B41" s="197">
        <v>31116</v>
      </c>
      <c r="C41" s="428">
        <v>0</v>
      </c>
      <c r="D41" s="428">
        <f>B41-C41</f>
        <v>31116</v>
      </c>
      <c r="E41" s="427">
        <f t="shared" ref="E41" si="2">SUM(C41:D41)</f>
        <v>31116</v>
      </c>
      <c r="F41" s="403"/>
    </row>
    <row r="42" spans="1:19">
      <c r="A42" s="429" t="s">
        <v>34</v>
      </c>
      <c r="B42" s="431">
        <f>SUM(B40:B41)</f>
        <v>205252.65</v>
      </c>
      <c r="C42" s="430">
        <f>SUM(C40:C41)</f>
        <v>205253.00999999954</v>
      </c>
      <c r="D42" s="430">
        <f>SUM(D40:D41)</f>
        <v>-0.3599999995494727</v>
      </c>
      <c r="E42" s="430">
        <f>SUM(E40:E41)</f>
        <v>205252.65</v>
      </c>
      <c r="F42" s="403"/>
    </row>
    <row r="43" spans="1:19">
      <c r="A43" s="401"/>
      <c r="B43" s="196"/>
      <c r="C43" s="402"/>
      <c r="D43" s="402"/>
      <c r="E43" s="424"/>
      <c r="F43" s="403"/>
      <c r="R43" s="386"/>
    </row>
    <row r="44" spans="1:19" ht="13.8" thickBot="1">
      <c r="A44" s="432" t="s">
        <v>44</v>
      </c>
      <c r="B44" s="349">
        <f>B34+B38+B42</f>
        <v>4343635.7</v>
      </c>
      <c r="C44" s="349">
        <f>C34+C38+C42</f>
        <v>3005168.4540109541</v>
      </c>
      <c r="D44" s="349">
        <f>D34+D38+D42</f>
        <v>1338467.2459890454</v>
      </c>
      <c r="E44" s="349">
        <f>E34+E38+E42</f>
        <v>4343635.7</v>
      </c>
      <c r="F44" s="403"/>
    </row>
    <row r="45" spans="1:19" ht="13.8" thickTop="1">
      <c r="A45" s="433"/>
      <c r="B45" s="434"/>
      <c r="C45" s="434"/>
      <c r="D45" s="424"/>
      <c r="E45" s="434"/>
      <c r="F45" s="440"/>
    </row>
    <row r="46" spans="1:19" ht="13.8" thickBot="1">
      <c r="A46" s="435"/>
      <c r="B46" s="436"/>
      <c r="C46" s="436"/>
      <c r="D46" s="436"/>
      <c r="E46" s="436"/>
      <c r="F46" s="437"/>
    </row>
    <row r="49" spans="1:17">
      <c r="A49" s="18"/>
    </row>
    <row r="53" spans="1:17">
      <c r="L53" s="384"/>
      <c r="M53" s="385"/>
      <c r="Q53" s="383"/>
    </row>
    <row r="54" spans="1:17">
      <c r="L54" s="384"/>
      <c r="M54" s="384"/>
      <c r="Q54" s="383"/>
    </row>
    <row r="55" spans="1:17">
      <c r="Q55" s="383"/>
    </row>
    <row r="56" spans="1:17">
      <c r="Q56" s="383"/>
    </row>
    <row r="57" spans="1:17">
      <c r="Q57" s="383"/>
    </row>
  </sheetData>
  <pageMargins left="0.7" right="0.7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opLeftCell="A19" zoomScale="75" zoomScaleNormal="75" workbookViewId="0">
      <selection activeCell="K12" sqref="K12"/>
    </sheetView>
  </sheetViews>
  <sheetFormatPr defaultColWidth="9.109375" defaultRowHeight="14.4" outlineLevelCol="1"/>
  <cols>
    <col min="1" max="1" width="2.6640625" style="49" customWidth="1"/>
    <col min="2" max="2" width="67.5546875" style="53" customWidth="1"/>
    <col min="3" max="3" width="23.44140625" style="53" hidden="1" customWidth="1" outlineLevel="1"/>
    <col min="4" max="4" width="23.33203125" style="53" customWidth="1" collapsed="1"/>
    <col min="5" max="5" width="5.33203125" style="49" customWidth="1"/>
    <col min="6" max="6" width="12.5546875" style="49" bestFit="1" customWidth="1"/>
    <col min="7" max="7" width="10" style="49" bestFit="1" customWidth="1"/>
    <col min="8" max="8" width="12.33203125" style="49" bestFit="1" customWidth="1"/>
    <col min="9" max="16384" width="9.109375" style="49"/>
  </cols>
  <sheetData>
    <row r="2" spans="2:6" ht="18" thickBot="1">
      <c r="B2" s="85" t="s">
        <v>38</v>
      </c>
    </row>
    <row r="3" spans="2:6" ht="43.8" thickBot="1">
      <c r="B3" s="115"/>
      <c r="C3" s="116" t="s">
        <v>122</v>
      </c>
      <c r="D3" s="116" t="s">
        <v>164</v>
      </c>
      <c r="E3" s="53"/>
    </row>
    <row r="4" spans="2:6" ht="15" thickTop="1">
      <c r="B4" s="275" t="s">
        <v>97</v>
      </c>
      <c r="C4" s="117"/>
      <c r="D4" s="201"/>
      <c r="E4" s="53"/>
    </row>
    <row r="5" spans="2:6">
      <c r="B5" s="51" t="s">
        <v>134</v>
      </c>
      <c r="C5" s="118">
        <v>4100000</v>
      </c>
      <c r="D5" s="118">
        <f>Proposal!H14</f>
        <v>3958422</v>
      </c>
      <c r="E5" s="53"/>
    </row>
    <row r="6" spans="2:6" ht="16.2">
      <c r="B6" s="51" t="s">
        <v>135</v>
      </c>
      <c r="C6" s="276">
        <v>-396138</v>
      </c>
      <c r="D6" s="276">
        <f>Proposal!H16</f>
        <v>-410000</v>
      </c>
      <c r="E6" s="53"/>
    </row>
    <row r="7" spans="2:6" ht="16.2">
      <c r="B7" s="51" t="s">
        <v>227</v>
      </c>
      <c r="C7" s="278">
        <f>SUM(C5:C6)</f>
        <v>3703862</v>
      </c>
      <c r="D7" s="278">
        <f>SUM(D5:D6)</f>
        <v>3548422</v>
      </c>
      <c r="E7" s="53"/>
    </row>
    <row r="8" spans="2:6">
      <c r="B8" s="51" t="s">
        <v>185</v>
      </c>
      <c r="C8" s="118">
        <f>'Colstrip Ins '!M31</f>
        <v>257938.14</v>
      </c>
      <c r="D8" s="118">
        <f>'Colstrip Ins '!M7</f>
        <v>266565.30000000005</v>
      </c>
      <c r="E8" s="53"/>
    </row>
    <row r="9" spans="2:6">
      <c r="B9" s="51" t="s">
        <v>184</v>
      </c>
      <c r="C9" s="118">
        <f>'Colstrip Ins '!N31</f>
        <v>277514.33999999997</v>
      </c>
      <c r="D9" s="118">
        <f>'Colstrip Ins '!N7</f>
        <v>283141.5</v>
      </c>
      <c r="E9" s="53"/>
    </row>
    <row r="10" spans="2:6">
      <c r="B10" s="51" t="s">
        <v>225</v>
      </c>
      <c r="C10" s="118">
        <f>'Freddy1 Ins'!D30</f>
        <v>263964.38750000001</v>
      </c>
      <c r="D10" s="118">
        <f>'Freddy1 Ins'!E30</f>
        <v>245507.26</v>
      </c>
      <c r="E10" s="53"/>
    </row>
    <row r="11" spans="2:6" ht="15" thickBot="1">
      <c r="B11" s="51" t="s">
        <v>98</v>
      </c>
      <c r="C11" s="277">
        <f>SUM(C7:C10)</f>
        <v>4503278.8675000006</v>
      </c>
      <c r="D11" s="277">
        <f>SUM(D7:D10)</f>
        <v>4343636.0599999996</v>
      </c>
      <c r="E11" s="53"/>
    </row>
    <row r="12" spans="2:6">
      <c r="B12" s="51"/>
      <c r="C12" s="50"/>
      <c r="D12" s="200"/>
      <c r="E12" s="53"/>
    </row>
    <row r="13" spans="2:6">
      <c r="B13" s="285" t="s">
        <v>59</v>
      </c>
      <c r="C13" s="50"/>
      <c r="D13" s="200"/>
      <c r="E13" s="53"/>
    </row>
    <row r="14" spans="2:6">
      <c r="B14" s="87"/>
      <c r="C14" s="50"/>
      <c r="D14" s="200"/>
      <c r="E14" s="53"/>
    </row>
    <row r="15" spans="2:6">
      <c r="B15" s="193" t="s">
        <v>45</v>
      </c>
      <c r="C15" s="50"/>
      <c r="D15" s="200"/>
      <c r="E15" s="53"/>
    </row>
    <row r="16" spans="2:6">
      <c r="B16" s="51" t="s">
        <v>118</v>
      </c>
      <c r="C16" s="118">
        <v>227661.73066430195</v>
      </c>
      <c r="D16" s="118">
        <v>230036</v>
      </c>
      <c r="E16" s="53"/>
      <c r="F16" s="114"/>
    </row>
    <row r="17" spans="2:7">
      <c r="B17" s="51" t="s">
        <v>46</v>
      </c>
      <c r="C17" s="118">
        <v>217913.06050096295</v>
      </c>
      <c r="D17" s="118">
        <v>220287</v>
      </c>
      <c r="E17" s="53"/>
      <c r="F17" s="114"/>
    </row>
    <row r="18" spans="2:7">
      <c r="B18" s="51" t="s">
        <v>123</v>
      </c>
      <c r="C18" s="50">
        <v>220821.32686888558</v>
      </c>
      <c r="D18" s="50">
        <v>223048</v>
      </c>
      <c r="E18" s="53"/>
      <c r="F18" s="114"/>
    </row>
    <row r="19" spans="2:7">
      <c r="B19" s="51"/>
      <c r="C19" s="50"/>
      <c r="D19" s="200"/>
      <c r="E19" s="53"/>
      <c r="F19" s="114"/>
    </row>
    <row r="20" spans="2:7">
      <c r="B20" s="193" t="s">
        <v>47</v>
      </c>
      <c r="C20" s="50"/>
      <c r="D20" s="200"/>
      <c r="E20" s="53"/>
    </row>
    <row r="21" spans="2:7">
      <c r="B21" s="87" t="s">
        <v>48</v>
      </c>
      <c r="C21" s="118">
        <v>127531.26507614162</v>
      </c>
      <c r="D21" s="50">
        <v>127258</v>
      </c>
      <c r="E21" s="53"/>
    </row>
    <row r="22" spans="2:7">
      <c r="B22" s="51" t="s">
        <v>119</v>
      </c>
      <c r="C22" s="50"/>
      <c r="D22" s="200"/>
      <c r="E22" s="53"/>
    </row>
    <row r="23" spans="2:7">
      <c r="B23" s="87" t="s">
        <v>49</v>
      </c>
      <c r="C23" s="118">
        <v>120598.49988877203</v>
      </c>
      <c r="D23" s="50">
        <v>120087</v>
      </c>
      <c r="E23" s="53"/>
    </row>
    <row r="24" spans="2:7">
      <c r="B24" s="87" t="s">
        <v>50</v>
      </c>
      <c r="C24" s="118">
        <v>214146.48743120692</v>
      </c>
      <c r="D24" s="50">
        <v>218350</v>
      </c>
      <c r="E24" s="53"/>
    </row>
    <row r="25" spans="2:7">
      <c r="B25" s="87"/>
      <c r="C25" s="50"/>
      <c r="D25" s="200"/>
      <c r="E25" s="53"/>
      <c r="F25" s="274"/>
      <c r="G25" s="274"/>
    </row>
    <row r="26" spans="2:7">
      <c r="B26" s="193" t="s">
        <v>51</v>
      </c>
      <c r="C26" s="50"/>
      <c r="D26" s="200"/>
      <c r="E26" s="53"/>
    </row>
    <row r="27" spans="2:7">
      <c r="B27" s="87" t="s">
        <v>52</v>
      </c>
      <c r="C27" s="118">
        <v>1453.9027415702699</v>
      </c>
      <c r="D27" s="50">
        <v>1476</v>
      </c>
      <c r="E27" s="53"/>
    </row>
    <row r="28" spans="2:7">
      <c r="B28" s="87" t="s">
        <v>53</v>
      </c>
      <c r="C28" s="118">
        <v>132565.92101961467</v>
      </c>
      <c r="D28" s="50">
        <v>88568</v>
      </c>
      <c r="E28" s="53"/>
    </row>
    <row r="29" spans="2:7">
      <c r="B29" s="87" t="s">
        <v>54</v>
      </c>
      <c r="C29" s="118">
        <v>91782.909993044435</v>
      </c>
      <c r="D29" s="50">
        <v>92724</v>
      </c>
      <c r="E29" s="53"/>
    </row>
    <row r="30" spans="2:7">
      <c r="B30" s="87" t="s">
        <v>55</v>
      </c>
      <c r="C30" s="118">
        <v>46254.56733558495</v>
      </c>
      <c r="D30" s="50">
        <v>46726</v>
      </c>
      <c r="E30" s="53"/>
    </row>
    <row r="31" spans="2:7">
      <c r="B31" s="87" t="s">
        <v>56</v>
      </c>
      <c r="C31" s="118">
        <v>234801.81631298555</v>
      </c>
      <c r="D31" s="50">
        <v>237166</v>
      </c>
      <c r="E31" s="53"/>
    </row>
    <row r="32" spans="2:7">
      <c r="B32" s="87" t="s">
        <v>57</v>
      </c>
      <c r="C32" s="118">
        <v>43777.668007571505</v>
      </c>
      <c r="D32" s="50">
        <v>43778</v>
      </c>
      <c r="E32" s="53"/>
    </row>
    <row r="33" spans="1:9">
      <c r="B33" s="51" t="s">
        <v>99</v>
      </c>
      <c r="C33" s="118">
        <v>44232.018676503547</v>
      </c>
      <c r="D33" s="50">
        <v>45117</v>
      </c>
      <c r="E33" s="53"/>
    </row>
    <row r="34" spans="1:9">
      <c r="B34" s="51" t="s">
        <v>133</v>
      </c>
      <c r="C34" s="262">
        <f>(2343000*0.0317/100)*57.3%</f>
        <v>425.58486299999987</v>
      </c>
      <c r="D34" s="50">
        <v>454</v>
      </c>
      <c r="E34" s="53"/>
    </row>
    <row r="35" spans="1:9">
      <c r="B35" s="51" t="s">
        <v>100</v>
      </c>
      <c r="C35" s="118">
        <v>135018.70263169179</v>
      </c>
      <c r="D35" s="50">
        <v>137719</v>
      </c>
      <c r="E35" s="53"/>
    </row>
    <row r="36" spans="1:9">
      <c r="B36" s="51" t="s">
        <v>124</v>
      </c>
      <c r="C36" s="263">
        <v>133107.54494822401</v>
      </c>
      <c r="D36" s="50">
        <v>135769</v>
      </c>
      <c r="E36" s="53"/>
    </row>
    <row r="37" spans="1:9">
      <c r="B37" s="51" t="s">
        <v>182</v>
      </c>
      <c r="C37" s="263">
        <v>257938.11</v>
      </c>
      <c r="D37" s="50">
        <v>266565.33</v>
      </c>
      <c r="E37" s="53"/>
    </row>
    <row r="38" spans="1:9">
      <c r="B38" s="51" t="s">
        <v>183</v>
      </c>
      <c r="C38" s="263">
        <v>277514.35249999998</v>
      </c>
      <c r="D38" s="50">
        <v>283141.5</v>
      </c>
      <c r="E38" s="53"/>
    </row>
    <row r="39" spans="1:9">
      <c r="B39" s="51" t="s">
        <v>226</v>
      </c>
      <c r="C39" s="263">
        <f>C10</f>
        <v>263964.38750000001</v>
      </c>
      <c r="D39" s="263">
        <f>D10</f>
        <v>245507.26</v>
      </c>
      <c r="E39" s="53"/>
      <c r="H39"/>
      <c r="I39"/>
    </row>
    <row r="40" spans="1:9">
      <c r="B40" s="51" t="s">
        <v>240</v>
      </c>
      <c r="C40" s="347">
        <f>SUM(C16:C39)</f>
        <v>2791509.8569600615</v>
      </c>
      <c r="D40" s="347">
        <f>SUM(D16:D39)</f>
        <v>2763777.09</v>
      </c>
      <c r="E40" s="53"/>
      <c r="H40"/>
      <c r="I40"/>
    </row>
    <row r="41" spans="1:9">
      <c r="B41" s="51"/>
      <c r="C41" s="263"/>
      <c r="D41" s="263"/>
      <c r="E41" s="53"/>
      <c r="H41"/>
      <c r="I41"/>
    </row>
    <row r="42" spans="1:9">
      <c r="B42" s="51" t="s">
        <v>238</v>
      </c>
      <c r="C42" s="396" t="s">
        <v>251</v>
      </c>
      <c r="D42" s="396">
        <f>Proposal!D34</f>
        <v>1236308.9700000002</v>
      </c>
      <c r="E42" s="53"/>
      <c r="H42"/>
      <c r="I42"/>
    </row>
    <row r="43" spans="1:9">
      <c r="B43" s="51" t="s">
        <v>239</v>
      </c>
      <c r="C43" s="346">
        <f>SUM(C40:C42)</f>
        <v>2791509.8569600615</v>
      </c>
      <c r="D43" s="346">
        <f>SUM(D40:D42)</f>
        <v>4000086.06</v>
      </c>
      <c r="E43" s="53"/>
      <c r="H43"/>
      <c r="I43"/>
    </row>
    <row r="44" spans="1:9">
      <c r="B44" s="87"/>
      <c r="C44" s="50"/>
      <c r="D44" s="200"/>
      <c r="E44" s="53"/>
      <c r="H44"/>
      <c r="I44"/>
    </row>
    <row r="45" spans="1:9">
      <c r="A45" s="53"/>
      <c r="B45" s="285" t="s">
        <v>189</v>
      </c>
      <c r="C45" s="50"/>
      <c r="D45" s="200"/>
      <c r="E45" s="53"/>
      <c r="H45"/>
      <c r="I45"/>
    </row>
    <row r="46" spans="1:9">
      <c r="A46" s="53"/>
      <c r="B46" s="51" t="s">
        <v>120</v>
      </c>
      <c r="C46" s="264">
        <v>17732.241815882437</v>
      </c>
      <c r="D46" s="118">
        <v>17732.241815882437</v>
      </c>
      <c r="E46" s="54"/>
      <c r="H46"/>
      <c r="I46"/>
    </row>
    <row r="47" spans="1:9">
      <c r="A47" s="53"/>
      <c r="B47" s="194" t="s">
        <v>130</v>
      </c>
      <c r="C47" s="264">
        <v>7111.7581841175634</v>
      </c>
      <c r="D47" s="118">
        <v>7111.7581841175634</v>
      </c>
      <c r="E47" s="54"/>
      <c r="H47"/>
      <c r="I47"/>
    </row>
    <row r="48" spans="1:9">
      <c r="A48" s="53"/>
      <c r="B48" s="87" t="s">
        <v>132</v>
      </c>
      <c r="C48" s="264">
        <v>11165.306189632798</v>
      </c>
      <c r="D48" s="50">
        <v>11294.354010955101</v>
      </c>
      <c r="E48" s="53"/>
      <c r="H48"/>
      <c r="I48"/>
    </row>
    <row r="49" spans="1:9">
      <c r="A49" s="53"/>
      <c r="B49" s="87" t="s">
        <v>250</v>
      </c>
      <c r="C49" s="264" t="s">
        <v>252</v>
      </c>
      <c r="D49" s="50">
        <f>Proposal!$D$38</f>
        <v>102158.63598904489</v>
      </c>
      <c r="E49" s="53"/>
      <c r="H49"/>
      <c r="I49"/>
    </row>
    <row r="50" spans="1:9">
      <c r="A50" s="53"/>
      <c r="B50" s="86" t="s">
        <v>101</v>
      </c>
      <c r="C50" s="409">
        <f>SUM(C46:C48)</f>
        <v>36009.3061896328</v>
      </c>
      <c r="D50" s="409">
        <f>SUM(D46:D49)</f>
        <v>138296.99</v>
      </c>
      <c r="E50" s="53"/>
      <c r="H50"/>
      <c r="I50"/>
    </row>
    <row r="51" spans="1:9">
      <c r="A51" s="53"/>
      <c r="B51" s="87"/>
      <c r="C51" s="50"/>
      <c r="D51" s="200"/>
      <c r="E51" s="53"/>
      <c r="H51"/>
      <c r="I51"/>
    </row>
    <row r="52" spans="1:9">
      <c r="B52" s="286" t="s">
        <v>102</v>
      </c>
      <c r="C52" s="346">
        <f>C11-C40-C50</f>
        <v>1675759.7043503064</v>
      </c>
      <c r="D52" s="348">
        <f>D11-D43-D50</f>
        <v>205253.00999999954</v>
      </c>
      <c r="E52" s="53"/>
      <c r="H52"/>
      <c r="I52"/>
    </row>
    <row r="53" spans="1:9" ht="15" thickBot="1">
      <c r="B53" s="198"/>
      <c r="C53" s="283"/>
      <c r="D53" s="284"/>
      <c r="E53" s="282"/>
      <c r="H53"/>
      <c r="I53"/>
    </row>
    <row r="54" spans="1:9">
      <c r="D54" s="109"/>
      <c r="E54" s="53"/>
    </row>
    <row r="55" spans="1:9">
      <c r="B55" s="202" t="s">
        <v>131</v>
      </c>
      <c r="C55" s="109"/>
      <c r="E55" s="53"/>
    </row>
    <row r="56" spans="1:9">
      <c r="B56" s="202" t="s">
        <v>179</v>
      </c>
      <c r="C56" s="110"/>
      <c r="D56" s="109"/>
      <c r="E56" s="53"/>
    </row>
    <row r="57" spans="1:9">
      <c r="B57" s="202" t="s">
        <v>180</v>
      </c>
      <c r="D57" s="192"/>
      <c r="E57" s="53"/>
    </row>
    <row r="58" spans="1:9">
      <c r="B58" s="202" t="s">
        <v>186</v>
      </c>
      <c r="D58" s="192"/>
      <c r="E58" s="53"/>
    </row>
    <row r="59" spans="1:9">
      <c r="B59" s="202" t="s">
        <v>224</v>
      </c>
      <c r="E59" s="53"/>
    </row>
    <row r="60" spans="1:9">
      <c r="B60" s="58"/>
      <c r="C60" s="88"/>
      <c r="E60" s="53"/>
    </row>
    <row r="61" spans="1:9">
      <c r="B61" s="58"/>
      <c r="C61" s="88"/>
      <c r="E61" s="53"/>
    </row>
    <row r="62" spans="1:9">
      <c r="B62" s="58"/>
      <c r="E62" s="53"/>
    </row>
    <row r="63" spans="1:9">
      <c r="B63" s="58"/>
      <c r="E63" s="53"/>
    </row>
    <row r="64" spans="1:9">
      <c r="B64" s="58"/>
      <c r="E64" s="53"/>
    </row>
    <row r="65" spans="2:5">
      <c r="E65" s="53"/>
    </row>
    <row r="66" spans="2:5">
      <c r="B66" s="54"/>
      <c r="E66" s="53"/>
    </row>
    <row r="67" spans="2:5">
      <c r="B67" s="54"/>
      <c r="E67" s="53"/>
    </row>
    <row r="68" spans="2:5">
      <c r="E68" s="53"/>
    </row>
  </sheetData>
  <printOptions gridLines="1"/>
  <pageMargins left="0.81" right="0.25" top="1.42" bottom="0.52" header="0.3" footer="0.45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I31" sqref="I31"/>
    </sheetView>
  </sheetViews>
  <sheetFormatPr defaultColWidth="9.109375" defaultRowHeight="13.2"/>
  <cols>
    <col min="1" max="1" width="24.6640625" style="297" customWidth="1"/>
    <col min="2" max="2" width="17.6640625" style="297" customWidth="1"/>
    <col min="3" max="3" width="13.6640625" style="297" bestFit="1" customWidth="1"/>
    <col min="4" max="4" width="13.33203125" style="297" bestFit="1" customWidth="1"/>
    <col min="5" max="13" width="10.44140625" style="297" bestFit="1" customWidth="1"/>
    <col min="14" max="14" width="11.44140625" style="297" bestFit="1" customWidth="1"/>
    <col min="15" max="15" width="11.6640625" style="297" bestFit="1" customWidth="1"/>
    <col min="16" max="16384" width="9.109375" style="297"/>
  </cols>
  <sheetData>
    <row r="1" spans="1:15" ht="15.6">
      <c r="A1" s="296" t="s">
        <v>212</v>
      </c>
    </row>
    <row r="4" spans="1:15">
      <c r="A4" s="298" t="s">
        <v>199</v>
      </c>
      <c r="B4" s="299">
        <v>42278</v>
      </c>
      <c r="C4" s="299">
        <v>42309</v>
      </c>
      <c r="D4" s="299">
        <v>42339</v>
      </c>
      <c r="E4" s="299">
        <v>42370</v>
      </c>
      <c r="F4" s="299">
        <v>42401</v>
      </c>
      <c r="G4" s="299">
        <v>42430</v>
      </c>
      <c r="H4" s="299">
        <v>42461</v>
      </c>
      <c r="I4" s="299">
        <v>42491</v>
      </c>
      <c r="J4" s="299">
        <v>42522</v>
      </c>
      <c r="K4" s="299">
        <v>42552</v>
      </c>
      <c r="L4" s="299">
        <v>42583</v>
      </c>
      <c r="M4" s="299">
        <v>42614</v>
      </c>
      <c r="N4" s="299" t="s">
        <v>44</v>
      </c>
      <c r="O4" s="299" t="s">
        <v>200</v>
      </c>
    </row>
    <row r="5" spans="1:15">
      <c r="A5" s="300" t="s">
        <v>196</v>
      </c>
      <c r="B5" s="304">
        <v>43572.36</v>
      </c>
      <c r="C5" s="304">
        <v>43572.36</v>
      </c>
      <c r="D5" s="304">
        <v>33625.74</v>
      </c>
      <c r="E5" s="304">
        <v>38599.050000000003</v>
      </c>
      <c r="F5" s="304">
        <v>38599.050000000003</v>
      </c>
      <c r="G5" s="304">
        <v>38599.050000000003</v>
      </c>
      <c r="H5" s="304">
        <v>36671.1175</v>
      </c>
      <c r="I5" s="304">
        <v>38277.730000000003</v>
      </c>
      <c r="J5" s="304">
        <v>38277.730000000003</v>
      </c>
      <c r="K5" s="304">
        <v>38277.730000000003</v>
      </c>
      <c r="L5" s="304">
        <v>38277.730000000003</v>
      </c>
      <c r="M5" s="304">
        <v>38277.730000000003</v>
      </c>
      <c r="N5" s="306">
        <f>SUM(B5:M5)</f>
        <v>464627.37749999989</v>
      </c>
      <c r="O5" s="441">
        <f>N5*49.85%</f>
        <v>231616.74768374994</v>
      </c>
    </row>
    <row r="6" spans="1:15">
      <c r="A6" s="300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11"/>
    </row>
    <row r="7" spans="1:15">
      <c r="A7" s="301" t="s">
        <v>201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11"/>
    </row>
    <row r="8" spans="1:15">
      <c r="A8" s="300" t="s">
        <v>192</v>
      </c>
      <c r="B8" s="304">
        <v>553.07000000000005</v>
      </c>
      <c r="C8" s="304">
        <v>553.07000000000005</v>
      </c>
      <c r="D8" s="304">
        <v>647.18916666666678</v>
      </c>
      <c r="E8" s="304">
        <v>600.12916666666672</v>
      </c>
      <c r="F8" s="304">
        <v>600.12916666666672</v>
      </c>
      <c r="G8" s="304">
        <v>600.12916666666672</v>
      </c>
      <c r="H8" s="304">
        <v>600.12916666666672</v>
      </c>
      <c r="I8" s="304">
        <v>600.13</v>
      </c>
      <c r="J8" s="304">
        <v>600.13</v>
      </c>
      <c r="K8" s="304">
        <v>600.13</v>
      </c>
      <c r="L8" s="304">
        <v>600.13</v>
      </c>
      <c r="M8" s="304">
        <v>600.13</v>
      </c>
      <c r="N8" s="304"/>
      <c r="O8" s="311"/>
    </row>
    <row r="9" spans="1:15">
      <c r="A9" s="300" t="s">
        <v>202</v>
      </c>
      <c r="B9" s="304">
        <v>75.010000000000005</v>
      </c>
      <c r="C9" s="304">
        <v>75.010000000000005</v>
      </c>
      <c r="D9" s="304">
        <v>85.351666666666659</v>
      </c>
      <c r="E9" s="304">
        <v>80.181666666666658</v>
      </c>
      <c r="F9" s="304">
        <v>80.181666666666658</v>
      </c>
      <c r="G9" s="304">
        <v>80.181666666666658</v>
      </c>
      <c r="H9" s="304">
        <v>80.181666666666658</v>
      </c>
      <c r="I9" s="304">
        <v>80.180000000000007</v>
      </c>
      <c r="J9" s="304">
        <v>80.180000000000007</v>
      </c>
      <c r="K9" s="304">
        <v>80.180000000000007</v>
      </c>
      <c r="L9" s="304">
        <v>80.180000000000007</v>
      </c>
      <c r="M9" s="304">
        <v>80.180000000000007</v>
      </c>
      <c r="N9" s="304"/>
      <c r="O9" s="311"/>
    </row>
    <row r="10" spans="1:15">
      <c r="A10" s="300" t="s">
        <v>203</v>
      </c>
      <c r="B10" s="304">
        <v>699.25</v>
      </c>
      <c r="C10" s="304">
        <v>699.25</v>
      </c>
      <c r="D10" s="304">
        <v>-563.75</v>
      </c>
      <c r="E10" s="304">
        <v>67.75</v>
      </c>
      <c r="F10" s="304">
        <v>67.75</v>
      </c>
      <c r="G10" s="304">
        <v>67.75</v>
      </c>
      <c r="H10" s="304">
        <v>67.75</v>
      </c>
      <c r="I10" s="304">
        <v>67.75</v>
      </c>
      <c r="J10" s="304">
        <v>67.75</v>
      </c>
      <c r="K10" s="304">
        <v>67.75</v>
      </c>
      <c r="L10" s="304">
        <v>67.75</v>
      </c>
      <c r="M10" s="304">
        <v>67.75</v>
      </c>
      <c r="N10" s="304"/>
      <c r="O10" s="311"/>
    </row>
    <row r="11" spans="1:15">
      <c r="A11" s="300" t="s">
        <v>204</v>
      </c>
      <c r="B11" s="304">
        <v>1057.05</v>
      </c>
      <c r="C11" s="304">
        <v>1057.05</v>
      </c>
      <c r="D11" s="304">
        <v>1083.8466666666668</v>
      </c>
      <c r="E11" s="304">
        <v>1070.4466666666667</v>
      </c>
      <c r="F11" s="304">
        <v>1070.4466666666667</v>
      </c>
      <c r="G11" s="304">
        <v>1070.4466666666667</v>
      </c>
      <c r="H11" s="304">
        <v>1070.4466666666667</v>
      </c>
      <c r="I11" s="304">
        <v>1070.45</v>
      </c>
      <c r="J11" s="304">
        <v>1070.45</v>
      </c>
      <c r="K11" s="304">
        <v>1070.45</v>
      </c>
      <c r="L11" s="304">
        <v>1070.45</v>
      </c>
      <c r="M11" s="304">
        <v>1070.45</v>
      </c>
      <c r="N11" s="304"/>
      <c r="O11" s="311"/>
    </row>
    <row r="12" spans="1:15">
      <c r="A12" s="300" t="s">
        <v>205</v>
      </c>
      <c r="B12" s="304">
        <v>377.62</v>
      </c>
      <c r="C12" s="304">
        <v>377.62</v>
      </c>
      <c r="D12" s="304">
        <v>304.13</v>
      </c>
      <c r="E12" s="304">
        <v>340.875</v>
      </c>
      <c r="F12" s="304">
        <v>340.875</v>
      </c>
      <c r="G12" s="304">
        <v>340.875</v>
      </c>
      <c r="H12" s="304">
        <v>340.875</v>
      </c>
      <c r="I12" s="304">
        <v>340.88</v>
      </c>
      <c r="J12" s="304">
        <v>340.88</v>
      </c>
      <c r="K12" s="304">
        <v>340.88</v>
      </c>
      <c r="L12" s="304">
        <v>340.88</v>
      </c>
      <c r="M12" s="304">
        <v>340.88</v>
      </c>
      <c r="N12" s="304"/>
      <c r="O12" s="311"/>
    </row>
    <row r="13" spans="1:15">
      <c r="A13" s="300" t="s">
        <v>206</v>
      </c>
      <c r="B13" s="304">
        <v>7308.2</v>
      </c>
      <c r="C13" s="304">
        <v>7308.2</v>
      </c>
      <c r="D13" s="304">
        <v>9000.5166666666664</v>
      </c>
      <c r="E13" s="304">
        <v>8154.3566666666666</v>
      </c>
      <c r="F13" s="304">
        <v>8154.3566666666666</v>
      </c>
      <c r="G13" s="304">
        <v>8154.3566666666666</v>
      </c>
      <c r="H13" s="304">
        <v>8154.3566666666666</v>
      </c>
      <c r="I13" s="304">
        <v>8154.36</v>
      </c>
      <c r="J13" s="304">
        <v>8154.36</v>
      </c>
      <c r="K13" s="304">
        <v>8154.36</v>
      </c>
      <c r="L13" s="304">
        <v>8154.36</v>
      </c>
      <c r="M13" s="304">
        <v>8154.36</v>
      </c>
      <c r="N13" s="306">
        <f>SUM(B8:M13)</f>
        <v>123521.39083333332</v>
      </c>
      <c r="O13" s="441">
        <f>N13*49.85%</f>
        <v>61575.413330416661</v>
      </c>
    </row>
    <row r="14" spans="1:15">
      <c r="A14" s="300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11"/>
    </row>
    <row r="15" spans="1:15">
      <c r="A15" s="302" t="s">
        <v>210</v>
      </c>
      <c r="B15" s="307">
        <f>SUM(B5:B13)</f>
        <v>53642.560000000005</v>
      </c>
      <c r="C15" s="307">
        <f t="shared" ref="C15:M15" si="0">SUM(C5:C13)</f>
        <v>53642.560000000005</v>
      </c>
      <c r="D15" s="307">
        <f t="shared" si="0"/>
        <v>44183.024166666655</v>
      </c>
      <c r="E15" s="307">
        <f t="shared" si="0"/>
        <v>48912.789166666662</v>
      </c>
      <c r="F15" s="307">
        <f t="shared" si="0"/>
        <v>48912.789166666662</v>
      </c>
      <c r="G15" s="307">
        <f t="shared" si="0"/>
        <v>48912.789166666662</v>
      </c>
      <c r="H15" s="307">
        <f t="shared" si="0"/>
        <v>46984.856666666667</v>
      </c>
      <c r="I15" s="307">
        <f t="shared" si="0"/>
        <v>48591.479999999996</v>
      </c>
      <c r="J15" s="307">
        <f t="shared" si="0"/>
        <v>48591.479999999996</v>
      </c>
      <c r="K15" s="307">
        <f t="shared" si="0"/>
        <v>48591.479999999996</v>
      </c>
      <c r="L15" s="307">
        <f t="shared" si="0"/>
        <v>48591.479999999996</v>
      </c>
      <c r="M15" s="307">
        <f t="shared" si="0"/>
        <v>48591.479999999996</v>
      </c>
      <c r="N15" s="308">
        <f>SUM(B15:M15)</f>
        <v>588148.76833333331</v>
      </c>
      <c r="O15" s="416">
        <f>O5+O13</f>
        <v>293192.1610141666</v>
      </c>
    </row>
    <row r="16" spans="1:15" s="302" customFormat="1">
      <c r="A16" s="302" t="s">
        <v>207</v>
      </c>
      <c r="B16" s="306">
        <v>53642.559999999998</v>
      </c>
      <c r="C16" s="306">
        <v>53642.559999999998</v>
      </c>
      <c r="D16" s="306">
        <v>44183.03</v>
      </c>
      <c r="E16" s="306">
        <v>48912.800000000003</v>
      </c>
      <c r="F16" s="306">
        <v>48912.800000000003</v>
      </c>
      <c r="G16" s="306">
        <v>48912.800000000003</v>
      </c>
      <c r="H16" s="306">
        <v>46984.86</v>
      </c>
      <c r="I16" s="306">
        <v>48591.47</v>
      </c>
      <c r="J16" s="306">
        <v>48591.47</v>
      </c>
      <c r="K16" s="306">
        <v>48591.47</v>
      </c>
      <c r="L16" s="306">
        <v>48591.47</v>
      </c>
      <c r="M16" s="306">
        <v>48591.47</v>
      </c>
      <c r="N16" s="306">
        <f>SUM(B16:M16)</f>
        <v>588148.75999999989</v>
      </c>
      <c r="O16" s="319"/>
    </row>
    <row r="17" spans="1:17" ht="13.8" thickBot="1">
      <c r="B17" s="303">
        <f>B15-B16</f>
        <v>0</v>
      </c>
      <c r="C17" s="303">
        <f>C15-C16</f>
        <v>0</v>
      </c>
      <c r="D17" s="324">
        <f>D15-D16</f>
        <v>-5.8333333436166868E-3</v>
      </c>
      <c r="E17" s="324">
        <f>E15-E16</f>
        <v>-1.0833333340997342E-2</v>
      </c>
      <c r="F17" s="324">
        <f t="shared" ref="F17" si="1">F15-F16</f>
        <v>-1.0833333340997342E-2</v>
      </c>
      <c r="G17" s="324">
        <f>G15-G16</f>
        <v>-1.0833333340997342E-2</v>
      </c>
      <c r="H17" s="324">
        <f t="shared" ref="H17:M17" si="2">H15-H16</f>
        <v>-3.3333333340124227E-3</v>
      </c>
      <c r="I17" s="324">
        <f t="shared" si="2"/>
        <v>9.9999999947613105E-3</v>
      </c>
      <c r="J17" s="324">
        <f t="shared" si="2"/>
        <v>9.9999999947613105E-3</v>
      </c>
      <c r="K17" s="324">
        <f t="shared" si="2"/>
        <v>9.9999999947613105E-3</v>
      </c>
      <c r="L17" s="324">
        <f t="shared" si="2"/>
        <v>9.9999999947613105E-3</v>
      </c>
      <c r="M17" s="324">
        <f t="shared" si="2"/>
        <v>9.9999999947613105E-3</v>
      </c>
      <c r="N17" s="324">
        <f>N15-N16</f>
        <v>8.3333334187045693E-3</v>
      </c>
      <c r="O17" s="417"/>
    </row>
    <row r="18" spans="1:17" ht="13.8" thickTop="1">
      <c r="O18" s="311"/>
    </row>
    <row r="19" spans="1:17">
      <c r="A19" s="302" t="s">
        <v>211</v>
      </c>
      <c r="B19" s="309">
        <f>B15*49.85%</f>
        <v>26740.816160000002</v>
      </c>
      <c r="C19" s="309">
        <f>C15*49.85%</f>
        <v>26740.816160000002</v>
      </c>
      <c r="D19" s="309">
        <f>D15*49.85%</f>
        <v>22025.237547083329</v>
      </c>
      <c r="E19" s="309">
        <f t="shared" ref="E19:M19" si="3">E15*49.85%</f>
        <v>24383.02539958333</v>
      </c>
      <c r="F19" s="309">
        <f t="shared" si="3"/>
        <v>24383.02539958333</v>
      </c>
      <c r="G19" s="309">
        <f>G15*49.85%</f>
        <v>24383.02539958333</v>
      </c>
      <c r="H19" s="309">
        <f t="shared" si="3"/>
        <v>23421.951048333332</v>
      </c>
      <c r="I19" s="309">
        <f t="shared" si="3"/>
        <v>24222.852779999997</v>
      </c>
      <c r="J19" s="309">
        <f t="shared" si="3"/>
        <v>24222.852779999997</v>
      </c>
      <c r="K19" s="309">
        <f t="shared" si="3"/>
        <v>24222.852779999997</v>
      </c>
      <c r="L19" s="309">
        <f t="shared" si="3"/>
        <v>24222.852779999997</v>
      </c>
      <c r="M19" s="309">
        <f t="shared" si="3"/>
        <v>24222.852779999997</v>
      </c>
      <c r="N19" s="310">
        <f>SUM(B19:M19)</f>
        <v>293192.16101416666</v>
      </c>
      <c r="O19" s="311"/>
    </row>
    <row r="20" spans="1:17">
      <c r="A20" s="302"/>
      <c r="B20" s="311"/>
      <c r="C20" s="309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</row>
    <row r="21" spans="1:17">
      <c r="A21" s="302" t="s">
        <v>208</v>
      </c>
      <c r="B21" s="304">
        <v>26740.82</v>
      </c>
      <c r="C21" s="304">
        <v>26740.82</v>
      </c>
      <c r="D21" s="304">
        <v>22025.25</v>
      </c>
      <c r="E21" s="304">
        <v>24383.03</v>
      </c>
      <c r="F21" s="304">
        <v>24383.03</v>
      </c>
      <c r="G21" s="304">
        <v>24383.03</v>
      </c>
      <c r="H21" s="304">
        <v>23421.95</v>
      </c>
      <c r="I21" s="304">
        <v>24222.85</v>
      </c>
      <c r="J21" s="304">
        <v>24222.85</v>
      </c>
      <c r="K21" s="304">
        <v>24222.85</v>
      </c>
      <c r="L21" s="304">
        <v>24222.85</v>
      </c>
      <c r="M21" s="304">
        <v>24222.85</v>
      </c>
      <c r="N21" s="310">
        <f>SUM(B21:M21)</f>
        <v>293192.18</v>
      </c>
    </row>
    <row r="22" spans="1:17">
      <c r="A22" s="302"/>
    </row>
    <row r="23" spans="1:17" ht="13.8" thickBot="1">
      <c r="A23" s="302" t="s">
        <v>209</v>
      </c>
      <c r="B23" s="324">
        <f>B19-B21</f>
        <v>-3.8399999975808896E-3</v>
      </c>
      <c r="C23" s="324">
        <f>C19-C21</f>
        <v>-3.8399999975808896E-3</v>
      </c>
      <c r="D23" s="324">
        <f t="shared" ref="D23:M23" si="4">D19-D21</f>
        <v>-1.2452916671463754E-2</v>
      </c>
      <c r="E23" s="324">
        <f>E19-E21</f>
        <v>-4.6004166688362602E-3</v>
      </c>
      <c r="F23" s="324">
        <f>F19-F21</f>
        <v>-4.6004166688362602E-3</v>
      </c>
      <c r="G23" s="324">
        <f>G19-G21</f>
        <v>-4.6004166688362602E-3</v>
      </c>
      <c r="H23" s="324">
        <f t="shared" si="4"/>
        <v>1.0483333317097276E-3</v>
      </c>
      <c r="I23" s="324">
        <f>I19-I21</f>
        <v>2.7799999988928903E-3</v>
      </c>
      <c r="J23" s="324">
        <f t="shared" si="4"/>
        <v>2.7799999988928903E-3</v>
      </c>
      <c r="K23" s="324">
        <f t="shared" si="4"/>
        <v>2.7799999988928903E-3</v>
      </c>
      <c r="L23" s="324">
        <f t="shared" si="4"/>
        <v>2.7799999988928903E-3</v>
      </c>
      <c r="M23" s="324">
        <f t="shared" si="4"/>
        <v>2.7799999988928903E-3</v>
      </c>
      <c r="N23" s="324">
        <f>N19-N21</f>
        <v>-1.898583333240822E-2</v>
      </c>
    </row>
    <row r="24" spans="1:17" ht="13.8" thickTop="1"/>
    <row r="25" spans="1:17" ht="6.6" customHeight="1" thickTop="1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</row>
    <row r="26" spans="1:17" s="311" customFormat="1" ht="18.600000000000001" customHeight="1">
      <c r="B26" s="319" t="s">
        <v>223</v>
      </c>
    </row>
    <row r="27" spans="1:17">
      <c r="B27" s="313" t="s">
        <v>218</v>
      </c>
      <c r="C27" s="323" t="s">
        <v>219</v>
      </c>
      <c r="D27" s="322" t="s">
        <v>220</v>
      </c>
      <c r="E27" s="322" t="s">
        <v>221</v>
      </c>
      <c r="F27" s="314"/>
    </row>
    <row r="28" spans="1:17">
      <c r="A28" s="305" t="s">
        <v>216</v>
      </c>
      <c r="B28" s="312">
        <v>277148.05</v>
      </c>
      <c r="C28" s="312">
        <f>B28/12</f>
        <v>23095.670833333334</v>
      </c>
      <c r="D28" s="312">
        <f>C28*7</f>
        <v>161669.69583333333</v>
      </c>
      <c r="E28" s="312">
        <v>0</v>
      </c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</row>
    <row r="29" spans="1:17">
      <c r="A29" s="305" t="s">
        <v>217</v>
      </c>
      <c r="B29" s="312">
        <v>245507.26</v>
      </c>
      <c r="C29" s="312">
        <f>B29/12</f>
        <v>20458.938333333335</v>
      </c>
      <c r="D29" s="316">
        <f>C29*5</f>
        <v>102294.69166666668</v>
      </c>
      <c r="E29" s="316">
        <f>C29*12</f>
        <v>245507.26</v>
      </c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</row>
    <row r="30" spans="1:17" ht="15">
      <c r="A30" s="318" t="s">
        <v>222</v>
      </c>
      <c r="B30" s="312"/>
      <c r="C30" s="312"/>
      <c r="D30" s="317">
        <f>SUM(D28:D29)</f>
        <v>263964.38750000001</v>
      </c>
      <c r="E30" s="317">
        <f>SUM(E28:E29)</f>
        <v>245507.26</v>
      </c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</row>
    <row r="31" spans="1:17">
      <c r="A31" s="305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</row>
    <row r="32" spans="1:17">
      <c r="A32" s="320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</row>
    <row r="33" spans="1:1">
      <c r="A33" s="300"/>
    </row>
  </sheetData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opLeftCell="A10" zoomScaleNormal="100" workbookViewId="0">
      <selection activeCell="P33" sqref="P33"/>
    </sheetView>
  </sheetViews>
  <sheetFormatPr defaultColWidth="8.88671875" defaultRowHeight="13.2"/>
  <cols>
    <col min="1" max="1" width="8.88671875" style="240"/>
    <col min="2" max="2" width="15.33203125" style="240" bestFit="1" customWidth="1"/>
    <col min="3" max="3" width="11.44140625" style="240" bestFit="1" customWidth="1"/>
    <col min="4" max="4" width="10.88671875" style="240" bestFit="1" customWidth="1"/>
    <col min="5" max="5" width="8.88671875" style="240" bestFit="1" customWidth="1"/>
    <col min="6" max="6" width="11" style="240" bestFit="1" customWidth="1"/>
    <col min="7" max="7" width="10.44140625" style="240" bestFit="1" customWidth="1"/>
    <col min="8" max="10" width="8.88671875" style="240"/>
    <col min="11" max="11" width="7.33203125" style="240" customWidth="1"/>
    <col min="12" max="12" width="22" style="240" customWidth="1"/>
    <col min="13" max="14" width="11.44140625" style="240" bestFit="1" customWidth="1"/>
    <col min="15" max="15" width="8.88671875" style="240" bestFit="1" customWidth="1"/>
    <col min="16" max="16" width="4.6640625" style="240" bestFit="1" customWidth="1"/>
    <col min="17" max="16384" width="8.88671875" style="240"/>
  </cols>
  <sheetData>
    <row r="1" spans="1:17">
      <c r="A1" s="451" t="s">
        <v>172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239"/>
    </row>
    <row r="2" spans="1:17">
      <c r="A2" s="451" t="s">
        <v>142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2" t="s">
        <v>173</v>
      </c>
      <c r="M2" s="452"/>
      <c r="N2" s="452"/>
    </row>
    <row r="3" spans="1:17">
      <c r="M3" s="241" t="s">
        <v>144</v>
      </c>
      <c r="N3" s="241" t="s">
        <v>145</v>
      </c>
    </row>
    <row r="4" spans="1:17">
      <c r="L4" s="240" t="s">
        <v>191</v>
      </c>
      <c r="M4" s="111">
        <v>44427.55</v>
      </c>
      <c r="N4" s="111">
        <v>94380.5</v>
      </c>
    </row>
    <row r="5" spans="1:17" ht="15">
      <c r="L5" s="240" t="s">
        <v>146</v>
      </c>
      <c r="M5" s="197">
        <f>M4*12</f>
        <v>533130.60000000009</v>
      </c>
      <c r="N5" s="197">
        <f>N4*12</f>
        <v>1132566</v>
      </c>
    </row>
    <row r="6" spans="1:17" ht="13.8" thickBot="1">
      <c r="L6" s="242" t="s">
        <v>147</v>
      </c>
      <c r="M6" s="243">
        <v>0.5</v>
      </c>
      <c r="N6" s="243">
        <v>0.25</v>
      </c>
      <c r="O6" s="242"/>
      <c r="P6" s="281" t="s">
        <v>187</v>
      </c>
    </row>
    <row r="7" spans="1:17" ht="13.8" thickBot="1">
      <c r="L7" s="244" t="s">
        <v>148</v>
      </c>
      <c r="M7" s="245">
        <f>M5*M6</f>
        <v>266565.30000000005</v>
      </c>
      <c r="N7" s="246">
        <f>N5*N6</f>
        <v>283141.5</v>
      </c>
      <c r="O7" s="253">
        <f>SUM(M7:N7)</f>
        <v>549706.80000000005</v>
      </c>
      <c r="P7" s="280">
        <f>'Prop Ins - RY'!D8+'Prop Ins - RY'!D9-'Colstrip Ins '!O7</f>
        <v>0</v>
      </c>
      <c r="Q7" s="279" t="s">
        <v>188</v>
      </c>
    </row>
    <row r="8" spans="1:17" ht="13.8" thickBot="1">
      <c r="L8" s="247" t="s">
        <v>149</v>
      </c>
      <c r="M8" s="248">
        <f>M7/12</f>
        <v>22213.775000000005</v>
      </c>
      <c r="N8" s="249">
        <f>N7/12</f>
        <v>23595.125</v>
      </c>
    </row>
    <row r="9" spans="1:17" ht="13.8" thickBot="1">
      <c r="L9" s="250" t="s">
        <v>174</v>
      </c>
      <c r="M9" s="251">
        <f>M8*6</f>
        <v>133282.65000000002</v>
      </c>
      <c r="N9" s="252">
        <f>N8*6</f>
        <v>141570.75</v>
      </c>
      <c r="O9" s="442">
        <f>SUM(M9:N9)</f>
        <v>274853.40000000002</v>
      </c>
      <c r="P9" s="240" t="s">
        <v>44</v>
      </c>
    </row>
    <row r="23" spans="1:15" ht="6.6" customHeight="1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</row>
    <row r="24" spans="1:15">
      <c r="A24" s="451" t="s">
        <v>143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239"/>
    </row>
    <row r="25" spans="1:15">
      <c r="A25" s="451" t="s">
        <v>142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239"/>
    </row>
    <row r="26" spans="1:15">
      <c r="L26" s="452" t="s">
        <v>151</v>
      </c>
      <c r="M26" s="452"/>
      <c r="N26" s="452"/>
    </row>
    <row r="27" spans="1:15">
      <c r="M27" s="241" t="s">
        <v>144</v>
      </c>
      <c r="N27" s="241" t="s">
        <v>145</v>
      </c>
    </row>
    <row r="28" spans="1:15">
      <c r="L28" s="240" t="s">
        <v>191</v>
      </c>
      <c r="M28" s="111">
        <v>42989.69</v>
      </c>
      <c r="N28" s="111">
        <v>92504.78</v>
      </c>
    </row>
    <row r="29" spans="1:15">
      <c r="L29" s="240" t="s">
        <v>146</v>
      </c>
      <c r="M29" s="196">
        <f>M28*12</f>
        <v>515876.28</v>
      </c>
      <c r="N29" s="196">
        <f>N28*12</f>
        <v>1110057.3599999999</v>
      </c>
    </row>
    <row r="30" spans="1:15" ht="13.8" thickBot="1">
      <c r="L30" s="242" t="s">
        <v>147</v>
      </c>
      <c r="M30" s="243">
        <v>0.5</v>
      </c>
      <c r="N30" s="243">
        <v>0.25</v>
      </c>
    </row>
    <row r="31" spans="1:15">
      <c r="L31" s="244" t="s">
        <v>148</v>
      </c>
      <c r="M31" s="245">
        <f>M29*M30</f>
        <v>257938.14</v>
      </c>
      <c r="N31" s="246">
        <f>N29*N30</f>
        <v>277514.33999999997</v>
      </c>
    </row>
    <row r="32" spans="1:15" ht="13.8" thickBot="1">
      <c r="L32" s="247" t="s">
        <v>149</v>
      </c>
      <c r="M32" s="248">
        <f>M31/12</f>
        <v>21494.845000000001</v>
      </c>
      <c r="N32" s="249">
        <f>N31/12</f>
        <v>23126.194999999996</v>
      </c>
    </row>
    <row r="33" spans="2:16" ht="13.8" thickBot="1">
      <c r="L33" s="250" t="s">
        <v>175</v>
      </c>
      <c r="M33" s="251">
        <f>M32*6</f>
        <v>128969.07</v>
      </c>
      <c r="N33" s="252">
        <f>N32*6</f>
        <v>138757.16999999998</v>
      </c>
      <c r="O33" s="442">
        <f>SUM(M33:N33)</f>
        <v>267726.24</v>
      </c>
      <c r="P33" s="240" t="s">
        <v>44</v>
      </c>
    </row>
    <row r="34" spans="2:16">
      <c r="M34" s="255"/>
    </row>
    <row r="43" spans="2:16">
      <c r="C43" s="451" t="s">
        <v>195</v>
      </c>
      <c r="D43" s="451"/>
      <c r="F43"/>
      <c r="G43"/>
      <c r="H43"/>
    </row>
    <row r="44" spans="2:16">
      <c r="B44" s="295" t="s">
        <v>142</v>
      </c>
      <c r="C44" s="289" t="s">
        <v>193</v>
      </c>
      <c r="D44" s="289" t="s">
        <v>194</v>
      </c>
      <c r="F44"/>
      <c r="G44"/>
      <c r="H44"/>
    </row>
    <row r="45" spans="2:16">
      <c r="B45" s="288">
        <v>42278</v>
      </c>
      <c r="C45" s="290">
        <v>14484.949999999999</v>
      </c>
      <c r="D45" s="290">
        <v>15001.64</v>
      </c>
      <c r="F45"/>
      <c r="G45"/>
      <c r="H45"/>
    </row>
    <row r="46" spans="2:16">
      <c r="B46" s="288">
        <v>42310</v>
      </c>
      <c r="C46" s="290">
        <v>14484.949999999999</v>
      </c>
      <c r="D46" s="290">
        <v>15001.64</v>
      </c>
      <c r="F46"/>
      <c r="G46"/>
      <c r="H46"/>
    </row>
    <row r="47" spans="2:16">
      <c r="B47" s="288">
        <v>42341</v>
      </c>
      <c r="C47" s="290">
        <v>14484.949999999999</v>
      </c>
      <c r="D47" s="290">
        <v>15001.64</v>
      </c>
      <c r="F47"/>
      <c r="G47"/>
      <c r="H47"/>
    </row>
    <row r="48" spans="2:16">
      <c r="B48" s="288">
        <v>42373</v>
      </c>
      <c r="C48" s="290">
        <v>18377.650000000001</v>
      </c>
      <c r="D48" s="290">
        <v>18937.82</v>
      </c>
      <c r="F48"/>
      <c r="G48"/>
      <c r="H48"/>
    </row>
    <row r="49" spans="2:8">
      <c r="B49" s="288">
        <v>42405</v>
      </c>
      <c r="C49" s="290">
        <v>18377.650000000001</v>
      </c>
      <c r="D49" s="290">
        <v>18937.82</v>
      </c>
      <c r="F49"/>
      <c r="G49"/>
      <c r="H49"/>
    </row>
    <row r="50" spans="2:8">
      <c r="B50" s="288">
        <v>42435</v>
      </c>
      <c r="C50" s="290">
        <v>18377.650000000001</v>
      </c>
      <c r="D50" s="290">
        <v>18937.82</v>
      </c>
      <c r="F50"/>
      <c r="G50"/>
      <c r="H50"/>
    </row>
    <row r="51" spans="2:8">
      <c r="B51" s="288">
        <v>42467</v>
      </c>
      <c r="C51" s="290">
        <v>18377.650000000001</v>
      </c>
      <c r="D51" s="290">
        <v>18937.82</v>
      </c>
      <c r="F51"/>
      <c r="G51"/>
      <c r="H51"/>
    </row>
    <row r="52" spans="2:8">
      <c r="B52" s="288">
        <v>42498</v>
      </c>
      <c r="C52" s="290">
        <v>18377.650000000001</v>
      </c>
      <c r="D52" s="290">
        <v>18937.82</v>
      </c>
      <c r="F52"/>
      <c r="G52"/>
      <c r="H52"/>
    </row>
    <row r="53" spans="2:8">
      <c r="B53" s="288">
        <v>42530</v>
      </c>
      <c r="C53" s="290">
        <v>28652.65</v>
      </c>
      <c r="D53" s="290">
        <v>33237.82</v>
      </c>
      <c r="F53"/>
      <c r="G53"/>
      <c r="H53"/>
    </row>
    <row r="54" spans="2:8">
      <c r="B54" s="288">
        <v>42561</v>
      </c>
      <c r="C54" s="290">
        <v>21605.86</v>
      </c>
      <c r="D54" s="290">
        <v>23430.6</v>
      </c>
      <c r="F54"/>
      <c r="G54"/>
      <c r="H54"/>
    </row>
    <row r="55" spans="2:8">
      <c r="B55" s="288">
        <v>42593</v>
      </c>
      <c r="C55" s="290">
        <v>20306.68</v>
      </c>
      <c r="D55" s="290">
        <v>21622.5</v>
      </c>
      <c r="F55"/>
      <c r="G55"/>
      <c r="H55"/>
    </row>
    <row r="56" spans="2:8" ht="15">
      <c r="B56" s="288">
        <v>42625</v>
      </c>
      <c r="C56" s="291">
        <v>20306.68</v>
      </c>
      <c r="D56" s="291">
        <v>21622.5</v>
      </c>
      <c r="F56"/>
      <c r="G56"/>
      <c r="H56"/>
    </row>
    <row r="57" spans="2:8">
      <c r="B57" s="240" t="s">
        <v>146</v>
      </c>
      <c r="C57" s="290">
        <f>SUM(C45:C56)</f>
        <v>226214.96999999997</v>
      </c>
      <c r="D57" s="290">
        <f>SUM(D45:D56)</f>
        <v>239607.44000000003</v>
      </c>
      <c r="E57" s="292"/>
      <c r="F57"/>
      <c r="G57"/>
      <c r="H57"/>
    </row>
    <row r="58" spans="2:8">
      <c r="B58" s="242" t="s">
        <v>147</v>
      </c>
      <c r="C58" s="293">
        <v>0.5</v>
      </c>
      <c r="D58" s="293">
        <v>0.25</v>
      </c>
      <c r="F58"/>
      <c r="G58"/>
      <c r="H58"/>
    </row>
    <row r="59" spans="2:8" ht="15">
      <c r="B59" s="240" t="s">
        <v>197</v>
      </c>
      <c r="C59" s="292">
        <f>C57*C58</f>
        <v>113107.48499999999</v>
      </c>
      <c r="D59" s="292">
        <f>D57*D58</f>
        <v>59901.860000000008</v>
      </c>
      <c r="E59" s="294">
        <f>SUM(C59:D59)</f>
        <v>173009.345</v>
      </c>
      <c r="F59"/>
      <c r="G59"/>
      <c r="H59"/>
    </row>
    <row r="60" spans="2:8">
      <c r="F60"/>
      <c r="G60"/>
      <c r="H60"/>
    </row>
    <row r="61" spans="2:8">
      <c r="D61" s="325"/>
      <c r="E61" s="255"/>
    </row>
  </sheetData>
  <mergeCells count="7">
    <mergeCell ref="C43:D43"/>
    <mergeCell ref="L26:N26"/>
    <mergeCell ref="A1:K1"/>
    <mergeCell ref="A2:K2"/>
    <mergeCell ref="L2:N2"/>
    <mergeCell ref="A24:K24"/>
    <mergeCell ref="A25:K25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395044-30F8-46CC-828D-FB8998EA6814}"/>
</file>

<file path=customXml/itemProps2.xml><?xml version="1.0" encoding="utf-8"?>
<ds:datastoreItem xmlns:ds="http://schemas.openxmlformats.org/officeDocument/2006/customXml" ds:itemID="{48EFA94D-7578-4BE0-9C94-59A123BF3C17}"/>
</file>

<file path=customXml/itemProps3.xml><?xml version="1.0" encoding="utf-8"?>
<ds:datastoreItem xmlns:ds="http://schemas.openxmlformats.org/officeDocument/2006/customXml" ds:itemID="{FC43DD8E-BA35-4097-9A83-DCC22EB75047}"/>
</file>

<file path=customXml/itemProps4.xml><?xml version="1.0" encoding="utf-8"?>
<ds:datastoreItem xmlns:ds="http://schemas.openxmlformats.org/officeDocument/2006/customXml" ds:itemID="{D0EE4F8D-9115-412E-A104-AA8AC55C7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Lead G</vt:lpstr>
      <vt:lpstr>Summary Prop &amp; Liab Ins</vt:lpstr>
      <vt:lpstr>SAP Download</vt:lpstr>
      <vt:lpstr>Liability Ins - RY</vt:lpstr>
      <vt:lpstr>Proposal</vt:lpstr>
      <vt:lpstr>Prop Ins - RY</vt:lpstr>
      <vt:lpstr>Freddy1 Ins</vt:lpstr>
      <vt:lpstr>Colstrip Ins </vt:lpstr>
      <vt:lpstr>Alloc Factors for calc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kbarnard</cp:lastModifiedBy>
  <cp:lastPrinted>2017-01-06T22:14:22Z</cp:lastPrinted>
  <dcterms:created xsi:type="dcterms:W3CDTF">2005-10-24T15:05:02Z</dcterms:created>
  <dcterms:modified xsi:type="dcterms:W3CDTF">2018-04-05T16:03:04Z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