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xl/comments6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ustomProperty19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18.bin" ContentType="application/vnd.openxmlformats-officedocument.spreadsheetml.customProperty"/>
  <Override PartName="/xl/customProperty10.bin" ContentType="application/vnd.openxmlformats-officedocument.spreadsheetml.customProperty"/>
  <Override PartName="/xl/comments4.xml" ContentType="application/vnd.openxmlformats-officedocument.spreadsheetml.comments+xml"/>
  <Override PartName="/xl/customProperty11.bin" ContentType="application/vnd.openxmlformats-officedocument.spreadsheetml.customProperty"/>
  <Override PartName="/xl/customProperty4.bin" ContentType="application/vnd.openxmlformats-officedocument.spreadsheetml.customProperty"/>
  <Override PartName="/xl/comments3.xml" ContentType="application/vnd.openxmlformats-officedocument.spreadsheetml.comments+xml"/>
  <Override PartName="/xl/customProperty5.bin" ContentType="application/vnd.openxmlformats-officedocument.spreadsheetml.customProperty"/>
  <Override PartName="/xl/customProperty9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8.bin" ContentType="application/vnd.openxmlformats-officedocument.spreadsheetml.customProperty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ustomProperty12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18\04.2018\"/>
    </mc:Choice>
  </mc:AlternateContent>
  <bookViews>
    <workbookView xWindow="-180" yWindow="-30" windowWidth="9720" windowHeight="7005" tabRatio="772" firstSheet="6" activeTab="10"/>
  </bookViews>
  <sheets>
    <sheet name="PGA Graphs 2012-13" sheetId="13" state="hidden" r:id="rId1"/>
    <sheet name="JE" sheetId="18" state="hidden" r:id="rId2"/>
    <sheet name="191010 WA Summary" sheetId="39" r:id="rId3"/>
    <sheet name="191010 ID Summary" sheetId="42" r:id="rId4"/>
    <sheet name="191000 WA Summary" sheetId="41" r:id="rId5"/>
    <sheet name="191000 ID Summary" sheetId="43" r:id="rId6"/>
    <sheet name="Jan" sheetId="5" r:id="rId7"/>
    <sheet name="Feb" sheetId="19" r:id="rId8"/>
    <sheet name="Mar" sheetId="21" r:id="rId9"/>
    <sheet name="Apr" sheetId="20" r:id="rId10"/>
    <sheet name="WA - Def-Amtz (current)" sheetId="16" r:id="rId11"/>
    <sheet name="PGA Graphs 2013-14" sheetId="30" state="hidden" r:id="rId12"/>
    <sheet name="ID Amort 191015" sheetId="14" state="hidden" r:id="rId13"/>
    <sheet name="ID Amort 191000" sheetId="7" state="hidden" r:id="rId14"/>
    <sheet name="WA Def 191010" sheetId="3" state="hidden" r:id="rId15"/>
    <sheet name="ID Def 191010" sheetId="6" state="hidden" r:id="rId16"/>
    <sheet name="ID Holdback 191015" sheetId="12" state="hidden" r:id="rId17"/>
    <sheet name="Amortization of JP Deferral" sheetId="9" state="hidden" r:id="rId18"/>
    <sheet name="WA Amort 191000" sheetId="10" state="hidden" r:id="rId19"/>
  </sheets>
  <externalReferences>
    <externalReference r:id="rId20"/>
    <externalReference r:id="rId21"/>
    <externalReference r:id="rId22"/>
  </externalReferences>
  <definedNames>
    <definedName name="Actual_Cost_Per_MMBtu" localSheetId="5">'[1]Oregon Gas Costs - 1999'!#REF!</definedName>
    <definedName name="Actual_Cost_Per_MMBtu" localSheetId="4">'[1]Oregon Gas Costs - 1999'!#REF!</definedName>
    <definedName name="Actual_Cost_Per_MMBtu" localSheetId="3">'[1]Oregon Gas Costs - 1999'!#REF!</definedName>
    <definedName name="Actual_Cost_Per_MMBtu">'[1]Oregon Gas Costs - 1999'!#REF!</definedName>
    <definedName name="Actual_Gas_Costs" localSheetId="5">#REF!</definedName>
    <definedName name="Actual_Gas_Costs" localSheetId="4">#REF!</definedName>
    <definedName name="Actual_Gas_Costs" localSheetId="3">#REF!</definedName>
    <definedName name="Actual_Gas_Costs">#REF!</definedName>
    <definedName name="Actual_Volumes" localSheetId="5">#REF!</definedName>
    <definedName name="Actual_Volumes" localSheetId="4">#REF!</definedName>
    <definedName name="Actual_Volumes" localSheetId="3">#REF!</definedName>
    <definedName name="Actual_Volumes">#REF!</definedName>
    <definedName name="Analysis_of_Year_to_Date_Gas_Costs___WWP_System" localSheetId="5">#REF!</definedName>
    <definedName name="Analysis_of_Year_to_Date_Gas_Costs___WWP_System" localSheetId="4">#REF!</definedName>
    <definedName name="Analysis_of_Year_to_Date_Gas_Costs___WWP_System" localSheetId="3">#REF!</definedName>
    <definedName name="Analysis_of_Year_to_Date_Gas_Costs___WWP_System">#REF!</definedName>
    <definedName name="Balancing_Account_Summary" localSheetId="5">#REF!</definedName>
    <definedName name="Balancing_Account_Summary" localSheetId="4">#REF!</definedName>
    <definedName name="Balancing_Account_Summary" localSheetId="3">#REF!</definedName>
    <definedName name="Balancing_Account_Summary">#REF!</definedName>
    <definedName name="Budgeted_Costs_Volumes" localSheetId="5">#REF!</definedName>
    <definedName name="Budgeted_Costs_Volumes" localSheetId="4">#REF!</definedName>
    <definedName name="Budgeted_Costs_Volumes" localSheetId="3">#REF!</definedName>
    <definedName name="Budgeted_Costs_Volumes">#REF!</definedName>
    <definedName name="Commodity_Costs" localSheetId="5">#REF!</definedName>
    <definedName name="Commodity_Costs" localSheetId="4">#REF!</definedName>
    <definedName name="Commodity_Costs" localSheetId="3">#REF!</definedName>
    <definedName name="Commodity_Costs">#REF!</definedName>
    <definedName name="_xlnm.Database" localSheetId="5">'[2]May 2000'!#REF!</definedName>
    <definedName name="_xlnm.Database" localSheetId="4">'[2]May 2000'!#REF!</definedName>
    <definedName name="_xlnm.Database" localSheetId="3">'[2]May 2000'!#REF!</definedName>
    <definedName name="_xlnm.Database">'[2]May 2000'!#REF!</definedName>
    <definedName name="EIA857_Report_Info" localSheetId="5">#REF!</definedName>
    <definedName name="EIA857_Report_Info" localSheetId="4">#REF!</definedName>
    <definedName name="EIA857_Report_Info" localSheetId="3">#REF!</definedName>
    <definedName name="EIA857_Report_Info">#REF!</definedName>
    <definedName name="InputMonth">[3]Start!$B$2</definedName>
    <definedName name="JanJunPretaxRate">[3]Start!$C$7</definedName>
    <definedName name="jj" localSheetId="5">'[1]Oregon Gas Costs - 1999'!#REF!</definedName>
    <definedName name="jj" localSheetId="4">'[1]Oregon Gas Costs - 1999'!#REF!</definedName>
    <definedName name="jj" localSheetId="3">'[1]Oregon Gas Costs - 1999'!#REF!</definedName>
    <definedName name="jj">'[1]Oregon Gas Costs - 1999'!#REF!</definedName>
    <definedName name="Journal_Entry_Dollars" localSheetId="5">#REF!</definedName>
    <definedName name="Journal_Entry_Dollars" localSheetId="4">#REF!</definedName>
    <definedName name="Journal_Entry_Dollars" localSheetId="3">#REF!</definedName>
    <definedName name="Journal_Entry_Dollars">#REF!</definedName>
    <definedName name="Journal_Entry_Volumes" localSheetId="5">#REF!</definedName>
    <definedName name="Journal_Entry_Volumes" localSheetId="4">#REF!</definedName>
    <definedName name="Journal_Entry_Volumes" localSheetId="3">#REF!</definedName>
    <definedName name="Journal_Entry_Volumes">#REF!</definedName>
    <definedName name="JournalEntryPrintArea" localSheetId="5">#REF!</definedName>
    <definedName name="JournalEntryPrintArea" localSheetId="4">#REF!</definedName>
    <definedName name="JournalEntryPrintArea" localSheetId="3">#REF!</definedName>
    <definedName name="JournalEntryPrintArea">#REF!</definedName>
    <definedName name="JulDecPretaxRate">[3]Start!$C$8</definedName>
    <definedName name="Notes" localSheetId="5">#REF!</definedName>
    <definedName name="Notes" localSheetId="4">#REF!</definedName>
    <definedName name="Notes" localSheetId="3">#REF!</definedName>
    <definedName name="Notes">#REF!</definedName>
    <definedName name="_xlnm.Print_Area" localSheetId="5">'191000 ID Summary'!$A$1:$N$22</definedName>
    <definedName name="_xlnm.Print_Area" localSheetId="4">'191000 WA Summary'!$A$1:$N$22</definedName>
    <definedName name="_xlnm.Print_Area" localSheetId="3">'191010 ID Summary'!$A$1:$M$22</definedName>
    <definedName name="_xlnm.Print_Area" localSheetId="2">'191010 WA Summary'!$A$1:$M$22</definedName>
    <definedName name="_xlnm.Print_Area" localSheetId="17">'Amortization of JP Deferral'!$A$1:$J$197</definedName>
    <definedName name="_xlnm.Print_Area" localSheetId="9">Apr!$A$1:$M$68</definedName>
    <definedName name="_xlnm.Print_Area" localSheetId="7">Feb!$A$1:$M$68</definedName>
    <definedName name="_xlnm.Print_Area" localSheetId="13">'ID Amort 191000'!$A$1:$J$300</definedName>
    <definedName name="_xlnm.Print_Area" localSheetId="12">'ID Amort 191015'!$A$1:$J$63</definedName>
    <definedName name="_xlnm.Print_Area" localSheetId="15">'ID Def 191010'!$A$1:$T$180</definedName>
    <definedName name="_xlnm.Print_Area" localSheetId="16">'ID Holdback 191015'!$A$1:$T$104</definedName>
    <definedName name="_xlnm.Print_Area" localSheetId="6">Jan!$A$1:$M$68</definedName>
    <definedName name="_xlnm.Print_Area" localSheetId="1">JE!$A$1:$M$32</definedName>
    <definedName name="_xlnm.Print_Area" localSheetId="8">Mar!$A$1:$M$68</definedName>
    <definedName name="_xlnm.Print_Area" localSheetId="0">'PGA Graphs 2012-13'!$P$2:$X$53</definedName>
    <definedName name="_xlnm.Print_Area" localSheetId="11">'PGA Graphs 2013-14'!$A$1:$N$66</definedName>
    <definedName name="_xlnm.Print_Area" localSheetId="10">'WA - Def-Amtz (current)'!$A$1:$AM$78</definedName>
    <definedName name="_xlnm.Print_Area" localSheetId="18">'WA Amort 191000'!$A$1:$J$310</definedName>
    <definedName name="_xlnm.Print_Area" localSheetId="14">'WA Def 191010'!$A$1:$R$143</definedName>
    <definedName name="_xlnm.Print_Titles" localSheetId="9">Apr!$1:$2</definedName>
    <definedName name="_xlnm.Print_Titles" localSheetId="7">Feb!$1:$2</definedName>
    <definedName name="_xlnm.Print_Titles" localSheetId="15">'ID Def 191010'!$1:$7</definedName>
    <definedName name="_xlnm.Print_Titles" localSheetId="16">'ID Holdback 191015'!$1:$7</definedName>
    <definedName name="_xlnm.Print_Titles" localSheetId="6">Jan!$1:$2</definedName>
    <definedName name="_xlnm.Print_Titles" localSheetId="8">Mar!$1:$2</definedName>
    <definedName name="_xlnm.Print_Titles" localSheetId="14">'WA Def 191010'!$1:$5</definedName>
    <definedName name="SPREADSHEET_DOCUMENTATION" localSheetId="5">#REF!</definedName>
    <definedName name="SPREADSHEET_DOCUMENTATION" localSheetId="4">#REF!</definedName>
    <definedName name="SPREADSHEET_DOCUMENTATION" localSheetId="3">#REF!</definedName>
    <definedName name="SPREADSHEET_DOCUMENTATION">#REF!</definedName>
    <definedName name="Summary_of_Off_system_Sales" localSheetId="5">'[1]Oregon Gas Costs - 1999'!#REF!</definedName>
    <definedName name="Summary_of_Off_system_Sales" localSheetId="4">'[1]Oregon Gas Costs - 1999'!#REF!</definedName>
    <definedName name="Summary_of_Off_system_Sales" localSheetId="3">'[1]Oregon Gas Costs - 1999'!#REF!</definedName>
    <definedName name="Summary_of_Off_system_Sales">'[1]Oregon Gas Costs - 1999'!#REF!</definedName>
    <definedName name="Transportation_Costs" localSheetId="5">#REF!</definedName>
    <definedName name="Transportation_Costs" localSheetId="4">#REF!</definedName>
    <definedName name="Transportation_Costs" localSheetId="3">#REF!</definedName>
    <definedName name="Transportation_Costs">#REF!</definedName>
  </definedNames>
  <calcPr calcId="152511"/>
</workbook>
</file>

<file path=xl/calcChain.xml><?xml version="1.0" encoding="utf-8"?>
<calcChain xmlns="http://schemas.openxmlformats.org/spreadsheetml/2006/main">
  <c r="AF24" i="16" l="1"/>
  <c r="AF23" i="16"/>
  <c r="AF22" i="16"/>
  <c r="C19" i="20" l="1"/>
  <c r="C5" i="20"/>
  <c r="C9" i="20"/>
  <c r="C15" i="20"/>
  <c r="C12" i="20"/>
  <c r="C18" i="20"/>
  <c r="C6" i="20"/>
  <c r="C4" i="20"/>
  <c r="C8" i="20"/>
  <c r="C21" i="20"/>
  <c r="C54" i="20"/>
  <c r="C44" i="20" l="1"/>
  <c r="C41" i="20" l="1"/>
  <c r="AF20" i="16"/>
  <c r="AF21" i="16"/>
  <c r="AF19" i="16"/>
  <c r="AF39" i="16" s="1"/>
  <c r="AF25" i="16" l="1"/>
  <c r="AF72" i="16"/>
  <c r="AF61" i="16"/>
  <c r="AF57" i="16"/>
  <c r="AF56" i="16"/>
  <c r="AF55" i="16"/>
  <c r="AF54" i="16"/>
  <c r="AF53" i="16"/>
  <c r="AF52" i="16"/>
  <c r="AF51" i="16"/>
  <c r="AF50" i="16"/>
  <c r="AF49" i="16"/>
  <c r="AF58" i="16" s="1"/>
  <c r="AF48" i="16"/>
  <c r="AF37" i="16"/>
  <c r="AF36" i="16"/>
  <c r="AF28" i="16"/>
  <c r="AF18" i="16"/>
  <c r="AF44" i="16"/>
  <c r="AF77" i="16"/>
  <c r="AF14" i="16"/>
  <c r="AL17" i="16" l="1"/>
  <c r="AM18" i="16"/>
  <c r="AM16" i="16"/>
  <c r="AL24" i="16"/>
  <c r="AM25" i="16" s="1"/>
  <c r="AE14" i="16"/>
  <c r="AP15" i="16" l="1"/>
  <c r="AM26" i="16"/>
  <c r="H7" i="43"/>
  <c r="I7" i="42"/>
  <c r="K8" i="43"/>
  <c r="K12" i="43"/>
  <c r="K16" i="43"/>
  <c r="K20" i="43"/>
  <c r="K9" i="43"/>
  <c r="K13" i="43"/>
  <c r="K17" i="43"/>
  <c r="K21" i="43"/>
  <c r="K10" i="43"/>
  <c r="K14" i="43"/>
  <c r="K18" i="43"/>
  <c r="K11" i="43"/>
  <c r="K15" i="43"/>
  <c r="K19" i="43"/>
  <c r="K7" i="43"/>
  <c r="L21" i="42"/>
  <c r="L20" i="42"/>
  <c r="L19" i="42"/>
  <c r="I7" i="43" l="1"/>
  <c r="F8" i="43" s="1"/>
  <c r="J7" i="42"/>
  <c r="H7" i="41"/>
  <c r="I7" i="41" s="1"/>
  <c r="L8" i="42"/>
  <c r="L12" i="42"/>
  <c r="L16" i="42"/>
  <c r="L9" i="42"/>
  <c r="L13" i="42"/>
  <c r="L17" i="42"/>
  <c r="L10" i="42"/>
  <c r="L14" i="42"/>
  <c r="L18" i="42"/>
  <c r="L11" i="42"/>
  <c r="L15" i="42"/>
  <c r="L7" i="42"/>
  <c r="K19" i="41"/>
  <c r="K20" i="41"/>
  <c r="K21" i="41"/>
  <c r="L19" i="39"/>
  <c r="L20" i="39"/>
  <c r="L21" i="39"/>
  <c r="K8" i="41"/>
  <c r="K12" i="41"/>
  <c r="K16" i="41"/>
  <c r="K9" i="41"/>
  <c r="K13" i="41"/>
  <c r="K17" i="41"/>
  <c r="K10" i="41"/>
  <c r="K14" i="41"/>
  <c r="K18" i="41"/>
  <c r="K11" i="41"/>
  <c r="K15" i="41"/>
  <c r="K7" i="41"/>
  <c r="F8" i="42" l="1"/>
  <c r="I8" i="42" s="1"/>
  <c r="J8" i="42" s="1"/>
  <c r="F9" i="42" s="1"/>
  <c r="M7" i="42"/>
  <c r="L7" i="43"/>
  <c r="H8" i="43"/>
  <c r="I8" i="43" s="1"/>
  <c r="F9" i="43" s="1"/>
  <c r="F8" i="41"/>
  <c r="H8" i="41" l="1"/>
  <c r="I8" i="41"/>
  <c r="L8" i="43"/>
  <c r="M8" i="42"/>
  <c r="H9" i="43"/>
  <c r="I9" i="43" s="1"/>
  <c r="I9" i="42"/>
  <c r="J9" i="42" s="1"/>
  <c r="L7" i="41"/>
  <c r="F9" i="41"/>
  <c r="I7" i="39"/>
  <c r="J7" i="39" s="1"/>
  <c r="L7" i="39"/>
  <c r="L8" i="39"/>
  <c r="L12" i="39"/>
  <c r="L16" i="39"/>
  <c r="L9" i="39"/>
  <c r="L13" i="39"/>
  <c r="L17" i="39"/>
  <c r="L10" i="39"/>
  <c r="L14" i="39"/>
  <c r="L18" i="39"/>
  <c r="L11" i="39"/>
  <c r="L15" i="39"/>
  <c r="F10" i="43" l="1"/>
  <c r="H10" i="43" s="1"/>
  <c r="I10" i="43" s="1"/>
  <c r="L9" i="43"/>
  <c r="F10" i="42"/>
  <c r="I10" i="42" s="1"/>
  <c r="J10" i="42" s="1"/>
  <c r="M9" i="42"/>
  <c r="H9" i="41"/>
  <c r="I9" i="41"/>
  <c r="M7" i="39"/>
  <c r="L8" i="41"/>
  <c r="F11" i="43" l="1"/>
  <c r="L10" i="43"/>
  <c r="F11" i="42"/>
  <c r="I11" i="42" s="1"/>
  <c r="J11" i="42" s="1"/>
  <c r="M10" i="42"/>
  <c r="H11" i="43"/>
  <c r="I11" i="43" s="1"/>
  <c r="F10" i="41"/>
  <c r="L9" i="41"/>
  <c r="F12" i="43" l="1"/>
  <c r="L11" i="43"/>
  <c r="F12" i="42"/>
  <c r="I12" i="42" s="1"/>
  <c r="J12" i="42" s="1"/>
  <c r="M11" i="42"/>
  <c r="H12" i="43"/>
  <c r="I12" i="43" s="1"/>
  <c r="H10" i="41"/>
  <c r="I10" i="41" s="1"/>
  <c r="F8" i="39"/>
  <c r="I8" i="39" s="1"/>
  <c r="M12" i="42" l="1"/>
  <c r="E17" i="42"/>
  <c r="F13" i="43"/>
  <c r="H13" i="43" s="1"/>
  <c r="I13" i="43" s="1"/>
  <c r="L12" i="43"/>
  <c r="F13" i="42"/>
  <c r="F11" i="41"/>
  <c r="L10" i="41"/>
  <c r="J8" i="39"/>
  <c r="M8" i="39" s="1"/>
  <c r="F14" i="43" l="1"/>
  <c r="H14" i="43" s="1"/>
  <c r="I14" i="43" s="1"/>
  <c r="L13" i="43"/>
  <c r="I13" i="42"/>
  <c r="J13" i="42" s="1"/>
  <c r="H11" i="41"/>
  <c r="I11" i="41" s="1"/>
  <c r="F9" i="39"/>
  <c r="I9" i="39" s="1"/>
  <c r="F15" i="43" l="1"/>
  <c r="L14" i="43"/>
  <c r="F14" i="42"/>
  <c r="I14" i="42" s="1"/>
  <c r="J14" i="42" s="1"/>
  <c r="M13" i="42"/>
  <c r="H15" i="43"/>
  <c r="I15" i="43" s="1"/>
  <c r="F12" i="41"/>
  <c r="L11" i="41"/>
  <c r="J9" i="39"/>
  <c r="M9" i="39" s="1"/>
  <c r="F16" i="43" l="1"/>
  <c r="L15" i="43"/>
  <c r="F15" i="42"/>
  <c r="I15" i="42" s="1"/>
  <c r="J15" i="42" s="1"/>
  <c r="M14" i="42"/>
  <c r="H16" i="43"/>
  <c r="I16" i="43" s="1"/>
  <c r="H12" i="41"/>
  <c r="I12" i="41" s="1"/>
  <c r="F10" i="39"/>
  <c r="I10" i="39" s="1"/>
  <c r="L16" i="43" l="1"/>
  <c r="H17" i="43"/>
  <c r="F16" i="42"/>
  <c r="M15" i="42"/>
  <c r="F17" i="43"/>
  <c r="I16" i="42"/>
  <c r="M16" i="42" s="1"/>
  <c r="L12" i="41"/>
  <c r="F13" i="41"/>
  <c r="J10" i="39"/>
  <c r="M10" i="39" s="1"/>
  <c r="J16" i="42" l="1"/>
  <c r="I17" i="43"/>
  <c r="H13" i="41"/>
  <c r="I13" i="41" s="1"/>
  <c r="F11" i="39"/>
  <c r="I11" i="39" s="1"/>
  <c r="L17" i="43" l="1"/>
  <c r="F18" i="43"/>
  <c r="H18" i="43" s="1"/>
  <c r="F17" i="42"/>
  <c r="I17" i="42"/>
  <c r="F14" i="41"/>
  <c r="L13" i="41"/>
  <c r="J11" i="39"/>
  <c r="M11" i="39" s="1"/>
  <c r="J17" i="42" l="1"/>
  <c r="F18" i="42"/>
  <c r="I18" i="42" s="1"/>
  <c r="J18" i="42" s="1"/>
  <c r="M17" i="42"/>
  <c r="I18" i="43"/>
  <c r="H14" i="41"/>
  <c r="I14" i="41" s="1"/>
  <c r="F12" i="39"/>
  <c r="I12" i="39" s="1"/>
  <c r="F19" i="43" l="1"/>
  <c r="L18" i="43"/>
  <c r="F19" i="42"/>
  <c r="I19" i="42" s="1"/>
  <c r="J19" i="42" s="1"/>
  <c r="M18" i="42"/>
  <c r="H19" i="43"/>
  <c r="F15" i="41"/>
  <c r="L14" i="41"/>
  <c r="J12" i="39"/>
  <c r="E17" i="39" s="1"/>
  <c r="I19" i="43" l="1"/>
  <c r="L19" i="43" s="1"/>
  <c r="F20" i="42"/>
  <c r="I20" i="42" s="1"/>
  <c r="J20" i="42" s="1"/>
  <c r="M19" i="42"/>
  <c r="F20" i="43"/>
  <c r="H15" i="41"/>
  <c r="I15" i="41" s="1"/>
  <c r="M12" i="39"/>
  <c r="F13" i="39"/>
  <c r="I13" i="39" s="1"/>
  <c r="H20" i="43" l="1"/>
  <c r="I20" i="43" s="1"/>
  <c r="F21" i="42"/>
  <c r="I21" i="42" s="1"/>
  <c r="J21" i="42" s="1"/>
  <c r="M21" i="42" s="1"/>
  <c r="M20" i="42"/>
  <c r="F16" i="41"/>
  <c r="L15" i="41"/>
  <c r="J13" i="39"/>
  <c r="M13" i="39" s="1"/>
  <c r="F21" i="43" l="1"/>
  <c r="H21" i="43" s="1"/>
  <c r="I21" i="43" s="1"/>
  <c r="L21" i="43" s="1"/>
  <c r="L20" i="43"/>
  <c r="H16" i="41"/>
  <c r="I16" i="41" s="1"/>
  <c r="F14" i="39"/>
  <c r="I14" i="39" s="1"/>
  <c r="H17" i="41" l="1"/>
  <c r="L16" i="41"/>
  <c r="F17" i="41"/>
  <c r="I17" i="41" s="1"/>
  <c r="H18" i="41" s="1"/>
  <c r="J14" i="39"/>
  <c r="M14" i="39" s="1"/>
  <c r="F15" i="39" l="1"/>
  <c r="I15" i="39" s="1"/>
  <c r="L17" i="41" l="1"/>
  <c r="F18" i="41"/>
  <c r="I18" i="41" s="1"/>
  <c r="J15" i="39"/>
  <c r="M15" i="39" s="1"/>
  <c r="F19" i="41" l="1"/>
  <c r="L18" i="41"/>
  <c r="F16" i="39"/>
  <c r="I16" i="39" s="1"/>
  <c r="H19" i="41" l="1"/>
  <c r="I19" i="41" s="1"/>
  <c r="J16" i="39"/>
  <c r="F20" i="41" l="1"/>
  <c r="H20" i="41"/>
  <c r="L19" i="41"/>
  <c r="M16" i="39"/>
  <c r="I17" i="39"/>
  <c r="F17" i="39"/>
  <c r="M17" i="39"/>
  <c r="I20" i="41" l="1"/>
  <c r="F21" i="41" s="1"/>
  <c r="H21" i="41" s="1"/>
  <c r="I21" i="41" s="1"/>
  <c r="L21" i="41" s="1"/>
  <c r="J17" i="39"/>
  <c r="F18" i="39"/>
  <c r="I18" i="39" s="1"/>
  <c r="L20" i="41" l="1"/>
  <c r="J18" i="39"/>
  <c r="M18" i="39" s="1"/>
  <c r="F19" i="39" l="1"/>
  <c r="I19" i="39" s="1"/>
  <c r="J19" i="39" l="1"/>
  <c r="M19" i="39" s="1"/>
  <c r="F20" i="39" l="1"/>
  <c r="I20" i="39" s="1"/>
  <c r="J20" i="39" l="1"/>
  <c r="M20" i="39" s="1"/>
  <c r="F21" i="39" l="1"/>
  <c r="I21" i="39" s="1"/>
  <c r="J21" i="39" l="1"/>
  <c r="M21" i="39" s="1"/>
  <c r="K40" i="21" l="1"/>
  <c r="C53" i="21" l="1"/>
  <c r="C18" i="21"/>
  <c r="C21" i="21"/>
  <c r="C6" i="21"/>
  <c r="C4" i="21"/>
  <c r="C8" i="21"/>
  <c r="C5" i="21"/>
  <c r="C9" i="21"/>
  <c r="C15" i="21"/>
  <c r="C12" i="21"/>
  <c r="C54" i="21"/>
  <c r="C44" i="21" l="1"/>
  <c r="AE24" i="16" l="1"/>
  <c r="AE22" i="16"/>
  <c r="AE23" i="16"/>
  <c r="AE20" i="16"/>
  <c r="AE21" i="16"/>
  <c r="AE19" i="16"/>
  <c r="AE39" i="16" s="1"/>
  <c r="AE72" i="16"/>
  <c r="AE61" i="16"/>
  <c r="AE57" i="16"/>
  <c r="AE56" i="16"/>
  <c r="AE55" i="16"/>
  <c r="AE54" i="16"/>
  <c r="AE53" i="16"/>
  <c r="AE52" i="16"/>
  <c r="AE51" i="16"/>
  <c r="AE50" i="16"/>
  <c r="AE49" i="16"/>
  <c r="AE48" i="16"/>
  <c r="AE37" i="16"/>
  <c r="AE36" i="16"/>
  <c r="AE28" i="16"/>
  <c r="AE18" i="16"/>
  <c r="AE44" i="16"/>
  <c r="AE77" i="16"/>
  <c r="AE58" i="16" l="1"/>
  <c r="AE25" i="16"/>
  <c r="R25" i="16" l="1"/>
  <c r="R39" i="16" l="1"/>
  <c r="C19" i="19" l="1"/>
  <c r="C5" i="19"/>
  <c r="C9" i="19"/>
  <c r="C15" i="19"/>
  <c r="C12" i="19"/>
  <c r="C18" i="19"/>
  <c r="C6" i="19"/>
  <c r="C10" i="19"/>
  <c r="C21" i="19"/>
  <c r="C54" i="19"/>
  <c r="AD19" i="16" l="1"/>
  <c r="AC23" i="16" l="1"/>
  <c r="AD23" i="16"/>
  <c r="C23" i="16" l="1"/>
  <c r="D23" i="16"/>
  <c r="AD42" i="16" l="1"/>
  <c r="AD50" i="16" l="1"/>
  <c r="AD51" i="16"/>
  <c r="AD52" i="16"/>
  <c r="AD53" i="16"/>
  <c r="AD54" i="16"/>
  <c r="AD55" i="16"/>
  <c r="AD56" i="16"/>
  <c r="AD57" i="16"/>
  <c r="AD49" i="16"/>
  <c r="AD20" i="16"/>
  <c r="AD21" i="16"/>
  <c r="AD22" i="16"/>
  <c r="AD24" i="16"/>
  <c r="AC50" i="16"/>
  <c r="AC51" i="16"/>
  <c r="AC52" i="16"/>
  <c r="AC53" i="16"/>
  <c r="AC54" i="16"/>
  <c r="AC55" i="16"/>
  <c r="AC56" i="16"/>
  <c r="AC57" i="16"/>
  <c r="AC49" i="16"/>
  <c r="AD18" i="16"/>
  <c r="AC18" i="16"/>
  <c r="AC20" i="16"/>
  <c r="AC21" i="16"/>
  <c r="AC22" i="16"/>
  <c r="AC24" i="16"/>
  <c r="AC19" i="16"/>
  <c r="AC72" i="16"/>
  <c r="AC61" i="16"/>
  <c r="AC48" i="16"/>
  <c r="AC37" i="16"/>
  <c r="AC36" i="16"/>
  <c r="AC28" i="16"/>
  <c r="C44" i="19"/>
  <c r="AD39" i="16" l="1"/>
  <c r="AC39" i="16"/>
  <c r="AD58" i="16"/>
  <c r="AC25" i="16"/>
  <c r="AD25" i="16"/>
  <c r="AC58" i="16"/>
  <c r="Q39" i="16"/>
  <c r="C54" i="5" l="1"/>
  <c r="C19" i="5" l="1"/>
  <c r="C5" i="5"/>
  <c r="C9" i="5"/>
  <c r="C15" i="5"/>
  <c r="C12" i="5"/>
  <c r="C18" i="5"/>
  <c r="C6" i="5"/>
  <c r="C21" i="5"/>
  <c r="C53" i="5" l="1"/>
  <c r="AC44" i="16"/>
  <c r="AC14" i="16"/>
  <c r="AC77" i="16"/>
  <c r="C44" i="5" l="1"/>
  <c r="AD37" i="16" l="1"/>
  <c r="AH34" i="16" l="1"/>
  <c r="AA9" i="16"/>
  <c r="C6" i="16" l="1"/>
  <c r="D6" i="16"/>
  <c r="AD72" i="16"/>
  <c r="AD61" i="16"/>
  <c r="AD48" i="16"/>
  <c r="AD36" i="16"/>
  <c r="AD28" i="16"/>
  <c r="AD44" i="16"/>
  <c r="AD77" i="16"/>
  <c r="AD14" i="16"/>
  <c r="D73" i="16" l="1"/>
  <c r="D59" i="16"/>
  <c r="D42" i="16"/>
  <c r="D41" i="16"/>
  <c r="D38" i="16"/>
  <c r="D26" i="16"/>
  <c r="D12" i="16"/>
  <c r="D5" i="16"/>
  <c r="Q72" i="16"/>
  <c r="R72" i="16" s="1"/>
  <c r="Q61" i="16"/>
  <c r="R61" i="16" s="1"/>
  <c r="C59" i="16"/>
  <c r="Q48" i="16"/>
  <c r="R48" i="16" s="1"/>
  <c r="C42" i="16" l="1"/>
  <c r="C41" i="16"/>
  <c r="Q36" i="16"/>
  <c r="R36" i="16" s="1"/>
  <c r="Q28" i="16"/>
  <c r="R28" i="16" s="1"/>
  <c r="C26" i="16"/>
  <c r="Q18" i="16"/>
  <c r="R18" i="16" s="1"/>
  <c r="Q44" i="16"/>
  <c r="Q14" i="16"/>
  <c r="C12" i="16" l="1"/>
  <c r="R3" i="16"/>
  <c r="Q77" i="16"/>
  <c r="F3" i="16" l="1"/>
  <c r="F18" i="16"/>
  <c r="G18" i="16" s="1"/>
  <c r="H18" i="16" s="1"/>
  <c r="I18" i="16" s="1"/>
  <c r="J18" i="16" s="1"/>
  <c r="K18" i="16" s="1"/>
  <c r="L18" i="16" s="1"/>
  <c r="M18" i="16" s="1"/>
  <c r="N18" i="16" s="1"/>
  <c r="O18" i="16" s="1"/>
  <c r="P18" i="16" s="1"/>
  <c r="F25" i="16"/>
  <c r="G25" i="16"/>
  <c r="H25" i="16"/>
  <c r="I25" i="16"/>
  <c r="J25" i="16"/>
  <c r="K25" i="16"/>
  <c r="L25" i="16"/>
  <c r="M25" i="16"/>
  <c r="N25" i="16"/>
  <c r="O25" i="16"/>
  <c r="P25" i="16"/>
  <c r="F28" i="16"/>
  <c r="G28" i="16" s="1"/>
  <c r="H28" i="16" s="1"/>
  <c r="I28" i="16" s="1"/>
  <c r="J28" i="16" s="1"/>
  <c r="K28" i="16" s="1"/>
  <c r="L28" i="16" s="1"/>
  <c r="M28" i="16" s="1"/>
  <c r="N28" i="16" s="1"/>
  <c r="O28" i="16" s="1"/>
  <c r="P28" i="16" s="1"/>
  <c r="F36" i="16"/>
  <c r="P39" i="16"/>
  <c r="F48" i="16"/>
  <c r="G48" i="16" s="1"/>
  <c r="H48" i="16" s="1"/>
  <c r="I48" i="16" s="1"/>
  <c r="J48" i="16" s="1"/>
  <c r="K48" i="16" s="1"/>
  <c r="L48" i="16" s="1"/>
  <c r="M48" i="16" s="1"/>
  <c r="N48" i="16" s="1"/>
  <c r="O48" i="16" s="1"/>
  <c r="P48" i="16" s="1"/>
  <c r="F58" i="16"/>
  <c r="G58" i="16"/>
  <c r="H58" i="16"/>
  <c r="I58" i="16"/>
  <c r="J58" i="16"/>
  <c r="K58" i="16"/>
  <c r="L58" i="16"/>
  <c r="M58" i="16"/>
  <c r="N58" i="16"/>
  <c r="O58" i="16"/>
  <c r="P58" i="16"/>
  <c r="F61" i="16"/>
  <c r="G61" i="16" s="1"/>
  <c r="H61" i="16" s="1"/>
  <c r="I61" i="16" s="1"/>
  <c r="J61" i="16" s="1"/>
  <c r="K61" i="16" s="1"/>
  <c r="L61" i="16" s="1"/>
  <c r="M61" i="16" s="1"/>
  <c r="N61" i="16" s="1"/>
  <c r="O61" i="16" s="1"/>
  <c r="P61" i="16" s="1"/>
  <c r="F72" i="16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F14" i="16"/>
  <c r="I77" i="16"/>
  <c r="M77" i="16"/>
  <c r="F44" i="16"/>
  <c r="F77" i="16"/>
  <c r="J77" i="16"/>
  <c r="N77" i="16"/>
  <c r="G77" i="16"/>
  <c r="O77" i="16"/>
  <c r="H77" i="16"/>
  <c r="P77" i="16"/>
  <c r="K77" i="16"/>
  <c r="L77" i="16"/>
  <c r="G36" i="16" l="1"/>
  <c r="G3" i="16"/>
  <c r="G44" i="16"/>
  <c r="G14" i="16"/>
  <c r="H3" i="16" l="1"/>
  <c r="H36" i="16"/>
  <c r="H14" i="16"/>
  <c r="H44" i="16"/>
  <c r="I36" i="16" l="1"/>
  <c r="I3" i="16"/>
  <c r="F73" i="16"/>
  <c r="F76" i="16" s="1"/>
  <c r="F38" i="16"/>
  <c r="F43" i="16" s="1"/>
  <c r="I44" i="16"/>
  <c r="I14" i="16"/>
  <c r="J3" i="16" l="1"/>
  <c r="J36" i="16"/>
  <c r="F45" i="16"/>
  <c r="G38" i="16"/>
  <c r="G43" i="16" s="1"/>
  <c r="F78" i="16"/>
  <c r="G73" i="16"/>
  <c r="G76" i="16" s="1"/>
  <c r="J44" i="16"/>
  <c r="J14" i="16"/>
  <c r="K36" i="16" l="1"/>
  <c r="K3" i="16"/>
  <c r="H73" i="16"/>
  <c r="H76" i="16" s="1"/>
  <c r="G78" i="16"/>
  <c r="H38" i="16"/>
  <c r="H43" i="16" s="1"/>
  <c r="G45" i="16"/>
  <c r="F5" i="16"/>
  <c r="F13" i="16" s="1"/>
  <c r="K14" i="16"/>
  <c r="K44" i="16"/>
  <c r="L3" i="16" l="1"/>
  <c r="L36" i="16"/>
  <c r="I38" i="16"/>
  <c r="I43" i="16" s="1"/>
  <c r="H45" i="16"/>
  <c r="F15" i="16"/>
  <c r="G5" i="16"/>
  <c r="G13" i="16" s="1"/>
  <c r="I73" i="16"/>
  <c r="I76" i="16" s="1"/>
  <c r="H78" i="16"/>
  <c r="L14" i="16"/>
  <c r="L44" i="16"/>
  <c r="M36" i="16" l="1"/>
  <c r="M3" i="16"/>
  <c r="J73" i="16"/>
  <c r="J76" i="16" s="1"/>
  <c r="I78" i="16"/>
  <c r="G15" i="16"/>
  <c r="H5" i="16"/>
  <c r="H13" i="16" s="1"/>
  <c r="I45" i="16"/>
  <c r="J38" i="16"/>
  <c r="J43" i="16" s="1"/>
  <c r="M44" i="16"/>
  <c r="M14" i="16"/>
  <c r="N3" i="16" l="1"/>
  <c r="N36" i="16"/>
  <c r="I5" i="16"/>
  <c r="I13" i="16" s="1"/>
  <c r="H15" i="16"/>
  <c r="J45" i="16"/>
  <c r="K38" i="16"/>
  <c r="J78" i="16"/>
  <c r="K73" i="16"/>
  <c r="N44" i="16"/>
  <c r="N14" i="16"/>
  <c r="O36" i="16" l="1"/>
  <c r="O3" i="16"/>
  <c r="K76" i="16"/>
  <c r="K78" i="16" s="1"/>
  <c r="K43" i="16"/>
  <c r="K45" i="16" s="1"/>
  <c r="J5" i="16"/>
  <c r="J13" i="16" s="1"/>
  <c r="I15" i="16"/>
  <c r="O44" i="16"/>
  <c r="O14" i="16"/>
  <c r="P3" i="16" l="1"/>
  <c r="P36" i="16"/>
  <c r="L73" i="16"/>
  <c r="L76" i="16" s="1"/>
  <c r="M73" i="16" s="1"/>
  <c r="M76" i="16" s="1"/>
  <c r="L38" i="16"/>
  <c r="L43" i="16" s="1"/>
  <c r="M38" i="16" s="1"/>
  <c r="M43" i="16" s="1"/>
  <c r="J15" i="16"/>
  <c r="K5" i="16"/>
  <c r="P44" i="16"/>
  <c r="P14" i="16"/>
  <c r="L78" i="16" l="1"/>
  <c r="L45" i="16"/>
  <c r="K13" i="16"/>
  <c r="K15" i="16" s="1"/>
  <c r="N73" i="16"/>
  <c r="N76" i="16" s="1"/>
  <c r="M78" i="16"/>
  <c r="N38" i="16"/>
  <c r="N43" i="16" s="1"/>
  <c r="M45" i="16"/>
  <c r="L5" i="16" l="1"/>
  <c r="L13" i="16" s="1"/>
  <c r="L15" i="16" s="1"/>
  <c r="N78" i="16"/>
  <c r="O73" i="16"/>
  <c r="O76" i="16" s="1"/>
  <c r="N45" i="16"/>
  <c r="O38" i="16"/>
  <c r="M5" i="16" l="1"/>
  <c r="M13" i="16" s="1"/>
  <c r="N5" i="16" s="1"/>
  <c r="N13" i="16" s="1"/>
  <c r="O40" i="16"/>
  <c r="O78" i="16"/>
  <c r="P73" i="16"/>
  <c r="P76" i="16" s="1"/>
  <c r="P78" i="16" s="1"/>
  <c r="M15" i="16" l="1"/>
  <c r="O43" i="16"/>
  <c r="O45" i="16" s="1"/>
  <c r="O5" i="16"/>
  <c r="N15" i="16"/>
  <c r="Z39" i="16" l="1"/>
  <c r="P38" i="16"/>
  <c r="P40" i="16" s="1"/>
  <c r="O8" i="16"/>
  <c r="Z25" i="16"/>
  <c r="O13" i="16" l="1"/>
  <c r="O15" i="16" s="1"/>
  <c r="P43" i="16"/>
  <c r="P45" i="16" s="1"/>
  <c r="P5" i="16" l="1"/>
  <c r="P13" i="16" s="1"/>
  <c r="P15" i="16" s="1"/>
  <c r="AO72" i="16" l="1"/>
  <c r="AO73" i="16"/>
  <c r="AM71" i="16" l="1"/>
  <c r="AO71" i="16"/>
  <c r="Z49" i="16" l="1"/>
  <c r="Y25" i="16" l="1"/>
  <c r="AO9" i="16" l="1"/>
  <c r="AO6" i="16"/>
  <c r="AO36" i="16"/>
  <c r="AO70" i="16"/>
  <c r="AO8" i="16"/>
  <c r="AO38" i="16"/>
  <c r="AO7" i="16"/>
  <c r="AO35" i="16"/>
  <c r="AO37" i="16"/>
  <c r="AO5" i="16"/>
  <c r="C33" i="20" l="1"/>
  <c r="C52" i="20" s="1"/>
  <c r="C43" i="21" l="1"/>
  <c r="C33" i="21" l="1"/>
  <c r="C52" i="21" s="1"/>
  <c r="C56" i="21" l="1"/>
  <c r="H9" i="21" s="1"/>
  <c r="H11" i="19" l="1"/>
  <c r="H10" i="19"/>
  <c r="K10" i="19" s="1"/>
  <c r="C43" i="19"/>
  <c r="C33" i="19" l="1"/>
  <c r="C52" i="19" l="1"/>
  <c r="C56" i="19" s="1"/>
  <c r="Q75" i="16"/>
  <c r="C59" i="19" l="1"/>
  <c r="H9" i="19"/>
  <c r="D75" i="16"/>
  <c r="C75" i="16"/>
  <c r="G32" i="5"/>
  <c r="C33" i="5" l="1"/>
  <c r="C52" i="5" s="1"/>
  <c r="AA57" i="16" l="1"/>
  <c r="Z57" i="16"/>
  <c r="Y57" i="16"/>
  <c r="X57" i="16"/>
  <c r="W57" i="16"/>
  <c r="V57" i="16"/>
  <c r="U57" i="16"/>
  <c r="AA56" i="16"/>
  <c r="Z56" i="16"/>
  <c r="Y56" i="16"/>
  <c r="X56" i="16"/>
  <c r="W56" i="16"/>
  <c r="V56" i="16"/>
  <c r="U56" i="16"/>
  <c r="AB55" i="16"/>
  <c r="AA55" i="16"/>
  <c r="Z55" i="16"/>
  <c r="Y55" i="16"/>
  <c r="X55" i="16"/>
  <c r="W55" i="16"/>
  <c r="V55" i="16"/>
  <c r="U55" i="16"/>
  <c r="AA54" i="16"/>
  <c r="Z54" i="16"/>
  <c r="Y54" i="16"/>
  <c r="X54" i="16"/>
  <c r="W54" i="16"/>
  <c r="V54" i="16"/>
  <c r="U54" i="16"/>
  <c r="AA53" i="16"/>
  <c r="Z53" i="16"/>
  <c r="Y53" i="16"/>
  <c r="X53" i="16"/>
  <c r="W53" i="16"/>
  <c r="V53" i="16"/>
  <c r="U53" i="16"/>
  <c r="AA52" i="16"/>
  <c r="Z52" i="16"/>
  <c r="Y52" i="16"/>
  <c r="X52" i="16"/>
  <c r="W52" i="16"/>
  <c r="V52" i="16"/>
  <c r="U52" i="16"/>
  <c r="AA51" i="16"/>
  <c r="Z51" i="16"/>
  <c r="Y51" i="16"/>
  <c r="X51" i="16"/>
  <c r="W51" i="16"/>
  <c r="V51" i="16"/>
  <c r="U51" i="16"/>
  <c r="AA50" i="16"/>
  <c r="Z50" i="16"/>
  <c r="Y50" i="16"/>
  <c r="X50" i="16"/>
  <c r="W50" i="16"/>
  <c r="V50" i="16"/>
  <c r="U50" i="16"/>
  <c r="AA49" i="16"/>
  <c r="Y49" i="16"/>
  <c r="X49" i="16"/>
  <c r="W49" i="16"/>
  <c r="V49" i="16"/>
  <c r="U49" i="16"/>
  <c r="AB49" i="16"/>
  <c r="AB50" i="16"/>
  <c r="AB51" i="16"/>
  <c r="AB52" i="16"/>
  <c r="AB53" i="16"/>
  <c r="AB54" i="16"/>
  <c r="AB56" i="16"/>
  <c r="AB57" i="16"/>
  <c r="S72" i="16"/>
  <c r="T72" i="16" s="1"/>
  <c r="U72" i="16" s="1"/>
  <c r="V72" i="16" s="1"/>
  <c r="W72" i="16" s="1"/>
  <c r="S48" i="16"/>
  <c r="T48" i="16" s="1"/>
  <c r="U48" i="16" s="1"/>
  <c r="V48" i="16" s="1"/>
  <c r="W48" i="16" s="1"/>
  <c r="X48" i="16" s="1"/>
  <c r="Y48" i="16" s="1"/>
  <c r="Z48" i="16" s="1"/>
  <c r="AA48" i="16" s="1"/>
  <c r="AB48" i="16" s="1"/>
  <c r="S36" i="16"/>
  <c r="S28" i="16"/>
  <c r="T28" i="16" s="1"/>
  <c r="U28" i="16" s="1"/>
  <c r="V28" i="16" s="1"/>
  <c r="W28" i="16" s="1"/>
  <c r="X28" i="16" s="1"/>
  <c r="Y28" i="16" s="1"/>
  <c r="Z28" i="16" s="1"/>
  <c r="AA28" i="16" s="1"/>
  <c r="AB28" i="16" s="1"/>
  <c r="S61" i="16"/>
  <c r="T61" i="16" s="1"/>
  <c r="U61" i="16" s="1"/>
  <c r="V61" i="16" s="1"/>
  <c r="W61" i="16" s="1"/>
  <c r="X61" i="16" s="1"/>
  <c r="Y61" i="16" s="1"/>
  <c r="Z61" i="16" s="1"/>
  <c r="AA61" i="16" s="1"/>
  <c r="AB61" i="16" s="1"/>
  <c r="T57" i="16"/>
  <c r="S57" i="16"/>
  <c r="R57" i="16"/>
  <c r="T56" i="16"/>
  <c r="S56" i="16"/>
  <c r="R56" i="16"/>
  <c r="T55" i="16"/>
  <c r="S55" i="16"/>
  <c r="R55" i="16"/>
  <c r="T54" i="16"/>
  <c r="S54" i="16"/>
  <c r="R54" i="16"/>
  <c r="T53" i="16"/>
  <c r="S53" i="16"/>
  <c r="R53" i="16"/>
  <c r="T52" i="16"/>
  <c r="S52" i="16"/>
  <c r="R52" i="16"/>
  <c r="T51" i="16"/>
  <c r="S51" i="16"/>
  <c r="R51" i="16"/>
  <c r="T50" i="16"/>
  <c r="S50" i="16"/>
  <c r="R50" i="16"/>
  <c r="T49" i="16"/>
  <c r="S49" i="16"/>
  <c r="R49" i="16"/>
  <c r="Y39" i="16"/>
  <c r="AA25" i="16"/>
  <c r="S18" i="16"/>
  <c r="T18" i="16" s="1"/>
  <c r="U18" i="16" s="1"/>
  <c r="V18" i="16" s="1"/>
  <c r="W18" i="16" s="1"/>
  <c r="X18" i="16" s="1"/>
  <c r="Y18" i="16" s="1"/>
  <c r="Z18" i="16" s="1"/>
  <c r="AA18" i="16" s="1"/>
  <c r="AB18" i="16" s="1"/>
  <c r="S3" i="16"/>
  <c r="T3" i="16" s="1"/>
  <c r="U3" i="16" s="1"/>
  <c r="V3" i="16" s="1"/>
  <c r="R74" i="16" l="1"/>
  <c r="S74" i="16"/>
  <c r="Z74" i="16"/>
  <c r="D19" i="16"/>
  <c r="C19" i="16"/>
  <c r="Q25" i="16"/>
  <c r="D20" i="16"/>
  <c r="C20" i="16"/>
  <c r="D24" i="16"/>
  <c r="C24" i="16"/>
  <c r="D21" i="16"/>
  <c r="C21" i="16"/>
  <c r="D49" i="16"/>
  <c r="Q58" i="16"/>
  <c r="C49" i="16"/>
  <c r="Q74" i="16"/>
  <c r="C50" i="16"/>
  <c r="D50" i="16"/>
  <c r="C51" i="16"/>
  <c r="D51" i="16"/>
  <c r="D52" i="16"/>
  <c r="C52" i="16"/>
  <c r="D53" i="16"/>
  <c r="C53" i="16"/>
  <c r="C54" i="16"/>
  <c r="D54" i="16"/>
  <c r="C55" i="16"/>
  <c r="D55" i="16"/>
  <c r="D56" i="16"/>
  <c r="C56" i="16"/>
  <c r="D57" i="16"/>
  <c r="C57" i="16"/>
  <c r="D22" i="16"/>
  <c r="C22" i="16"/>
  <c r="T74" i="16"/>
  <c r="T39" i="16"/>
  <c r="X39" i="16"/>
  <c r="U39" i="16"/>
  <c r="AB25" i="16"/>
  <c r="S39" i="16"/>
  <c r="W39" i="16"/>
  <c r="V74" i="16"/>
  <c r="W74" i="16"/>
  <c r="X72" i="16"/>
  <c r="W3" i="16"/>
  <c r="V25" i="16"/>
  <c r="V39" i="16"/>
  <c r="U25" i="16"/>
  <c r="T36" i="16"/>
  <c r="R58" i="16"/>
  <c r="S58" i="16"/>
  <c r="AB58" i="16"/>
  <c r="U58" i="16"/>
  <c r="U74" i="16"/>
  <c r="AA58" i="16"/>
  <c r="V58" i="16"/>
  <c r="Y74" i="16"/>
  <c r="X74" i="16"/>
  <c r="Y58" i="16"/>
  <c r="Z58" i="16"/>
  <c r="W25" i="16"/>
  <c r="X25" i="16"/>
  <c r="W58" i="16"/>
  <c r="S25" i="16"/>
  <c r="T25" i="16"/>
  <c r="T58" i="16"/>
  <c r="X58" i="16"/>
  <c r="S77" i="16"/>
  <c r="R44" i="16"/>
  <c r="W77" i="16"/>
  <c r="V77" i="16"/>
  <c r="R14" i="16"/>
  <c r="R77" i="16"/>
  <c r="U14" i="16"/>
  <c r="T14" i="16"/>
  <c r="U77" i="16"/>
  <c r="X77" i="16"/>
  <c r="T44" i="16"/>
  <c r="T77" i="16"/>
  <c r="S14" i="16"/>
  <c r="V14" i="16"/>
  <c r="W14" i="16"/>
  <c r="S44" i="16"/>
  <c r="D74" i="16" l="1"/>
  <c r="C74" i="16"/>
  <c r="C76" i="16" s="1"/>
  <c r="D25" i="16"/>
  <c r="C39" i="16"/>
  <c r="D39" i="16"/>
  <c r="D58" i="16"/>
  <c r="C25" i="16"/>
  <c r="C58" i="16"/>
  <c r="Y72" i="16"/>
  <c r="X3" i="16"/>
  <c r="U36" i="16"/>
  <c r="X14" i="16"/>
  <c r="Y77" i="16"/>
  <c r="U44" i="16"/>
  <c r="Z72" i="16" l="1"/>
  <c r="Y3" i="16"/>
  <c r="V36" i="16"/>
  <c r="V44" i="16"/>
  <c r="Y14" i="16"/>
  <c r="Z77" i="16"/>
  <c r="AA72" i="16" l="1"/>
  <c r="Z3" i="16"/>
  <c r="W36" i="16"/>
  <c r="AA77" i="16"/>
  <c r="W44" i="16"/>
  <c r="Z14" i="16"/>
  <c r="AB72" i="16" l="1"/>
  <c r="AA3" i="16"/>
  <c r="X36" i="16"/>
  <c r="AB77" i="16"/>
  <c r="D77" i="16"/>
  <c r="X44" i="16"/>
  <c r="AA14" i="16"/>
  <c r="AB3" i="16" l="1"/>
  <c r="Y36" i="16"/>
  <c r="D14" i="16"/>
  <c r="Y44" i="16"/>
  <c r="AB14" i="16"/>
  <c r="AL9" i="16" l="1"/>
  <c r="AM10" i="16"/>
  <c r="Z36" i="16"/>
  <c r="Z44" i="16"/>
  <c r="AA36" i="16" l="1"/>
  <c r="AA44" i="16"/>
  <c r="AB36" i="16" l="1"/>
  <c r="AB44" i="16"/>
  <c r="D44" i="16"/>
  <c r="AM38" i="16" l="1"/>
  <c r="AL38" i="16"/>
  <c r="AM39" i="16"/>
  <c r="BA39" i="16" s="1"/>
  <c r="AL40" i="16" l="1"/>
  <c r="BA40" i="16" s="1"/>
  <c r="I24" i="20" l="1"/>
  <c r="G38" i="20" l="1"/>
  <c r="I38" i="20" s="1"/>
  <c r="G38" i="21"/>
  <c r="G29" i="18" l="1"/>
  <c r="H29" i="18"/>
  <c r="I29" i="18"/>
  <c r="K29" i="18"/>
  <c r="L29" i="18"/>
  <c r="M29" i="18"/>
  <c r="G30" i="18"/>
  <c r="H30" i="18"/>
  <c r="I30" i="18"/>
  <c r="K30" i="18"/>
  <c r="L30" i="18"/>
  <c r="M30" i="18"/>
  <c r="I38" i="5" l="1"/>
  <c r="I24" i="5"/>
  <c r="AJ39" i="16" l="1"/>
  <c r="AK39" i="16"/>
  <c r="AJ40" i="16"/>
  <c r="AK40" i="16"/>
  <c r="AI40" i="16"/>
  <c r="AI39" i="16"/>
  <c r="AH40" i="16"/>
  <c r="AO40" i="16"/>
  <c r="AO39" i="16"/>
  <c r="AK10" i="16" l="1"/>
  <c r="AJ10" i="16"/>
  <c r="AI10" i="16"/>
  <c r="AH10" i="16"/>
  <c r="AO10" i="16"/>
  <c r="B12" i="30" l="1"/>
  <c r="B9" i="30"/>
  <c r="C129" i="3"/>
  <c r="C162" i="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H69" i="16"/>
  <c r="AL72" i="16" s="1"/>
  <c r="C43" i="20"/>
  <c r="C56" i="20" s="1"/>
  <c r="C27" i="20"/>
  <c r="C22" i="20"/>
  <c r="C20" i="20"/>
  <c r="C17" i="20"/>
  <c r="C14" i="20"/>
  <c r="C11" i="20"/>
  <c r="C7" i="20"/>
  <c r="C27" i="21"/>
  <c r="C22" i="21"/>
  <c r="C20" i="21"/>
  <c r="C17" i="21"/>
  <c r="C14" i="21"/>
  <c r="C11" i="21"/>
  <c r="C7" i="21"/>
  <c r="C14" i="19"/>
  <c r="C1485" i="21"/>
  <c r="M42" i="21"/>
  <c r="G44" i="21"/>
  <c r="M41" i="21"/>
  <c r="G43" i="21"/>
  <c r="M40" i="21"/>
  <c r="G42" i="21"/>
  <c r="K39" i="21"/>
  <c r="G41" i="21"/>
  <c r="K38" i="21"/>
  <c r="G40" i="21"/>
  <c r="K37" i="21"/>
  <c r="G39" i="21"/>
  <c r="K36" i="21"/>
  <c r="G37" i="21"/>
  <c r="G34" i="21"/>
  <c r="K28" i="21"/>
  <c r="K30" i="21" s="1"/>
  <c r="H11" i="21"/>
  <c r="L11" i="21" s="1"/>
  <c r="H10" i="21"/>
  <c r="K10" i="21" s="1"/>
  <c r="C1485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C1485" i="19"/>
  <c r="M42" i="19"/>
  <c r="M41" i="19"/>
  <c r="K40" i="19"/>
  <c r="M40" i="19" s="1"/>
  <c r="K39" i="19"/>
  <c r="K38" i="19"/>
  <c r="K37" i="19"/>
  <c r="K36" i="19"/>
  <c r="G32" i="19"/>
  <c r="K28" i="19"/>
  <c r="K30" i="19" s="1"/>
  <c r="M27" i="19"/>
  <c r="C27" i="19"/>
  <c r="M26" i="19"/>
  <c r="C22" i="19"/>
  <c r="C20" i="19"/>
  <c r="C17" i="19"/>
  <c r="L11" i="19"/>
  <c r="C11" i="19"/>
  <c r="C7" i="19"/>
  <c r="AM73" i="16" l="1"/>
  <c r="AL71" i="16"/>
  <c r="AM70" i="16"/>
  <c r="C30" i="21"/>
  <c r="C32" i="21" s="1"/>
  <c r="C34" i="21" s="1"/>
  <c r="H7" i="21" s="1"/>
  <c r="C30" i="19"/>
  <c r="C32" i="19" s="1"/>
  <c r="C34" i="19" s="1"/>
  <c r="H7" i="19" s="1"/>
  <c r="C59" i="20"/>
  <c r="G34" i="20"/>
  <c r="G34" i="19"/>
  <c r="M38" i="20"/>
  <c r="M37" i="20"/>
  <c r="M39" i="20"/>
  <c r="M39" i="19"/>
  <c r="F1" i="19"/>
  <c r="C59" i="21"/>
  <c r="C1" i="20"/>
  <c r="F1" i="20" s="1"/>
  <c r="F1" i="21"/>
  <c r="I20" i="30"/>
  <c r="K20" i="30"/>
  <c r="M28" i="19"/>
  <c r="K53" i="19" s="1"/>
  <c r="F20" i="30" s="1"/>
  <c r="K43" i="19"/>
  <c r="K45" i="19" s="1"/>
  <c r="K43" i="20"/>
  <c r="K45" i="20" s="1"/>
  <c r="I32" i="21"/>
  <c r="M20" i="30"/>
  <c r="I32" i="19"/>
  <c r="G45" i="21"/>
  <c r="C30" i="20"/>
  <c r="J20" i="30"/>
  <c r="M28" i="20"/>
  <c r="M29" i="20" s="1"/>
  <c r="I32" i="20"/>
  <c r="I53" i="20" s="1"/>
  <c r="G45" i="20"/>
  <c r="M28" i="21"/>
  <c r="K43" i="21"/>
  <c r="K47" i="21" s="1"/>
  <c r="I45" i="21"/>
  <c r="H53" i="21" s="1"/>
  <c r="I45" i="19"/>
  <c r="H53" i="19" s="1"/>
  <c r="I44" i="20"/>
  <c r="I45" i="20" s="1"/>
  <c r="M36" i="20"/>
  <c r="G45" i="19"/>
  <c r="C61" i="21" l="1"/>
  <c r="G47" i="20"/>
  <c r="K5" i="20"/>
  <c r="L5" i="20" s="1"/>
  <c r="C32" i="20"/>
  <c r="C34" i="20" s="1"/>
  <c r="M29" i="21"/>
  <c r="K53" i="21"/>
  <c r="G20" i="30" s="1"/>
  <c r="G47" i="21"/>
  <c r="K5" i="21"/>
  <c r="K9" i="21" s="1"/>
  <c r="I53" i="21"/>
  <c r="G11" i="30" s="1"/>
  <c r="I53" i="19"/>
  <c r="F11" i="30" s="1"/>
  <c r="K5" i="19"/>
  <c r="K9" i="19" s="1"/>
  <c r="C61" i="19"/>
  <c r="C63" i="19" s="1"/>
  <c r="M17" i="30"/>
  <c r="L17" i="30"/>
  <c r="F8" i="30"/>
  <c r="M43" i="20"/>
  <c r="M44" i="20" s="1"/>
  <c r="M43" i="21"/>
  <c r="M43" i="19"/>
  <c r="M44" i="19" s="1"/>
  <c r="N20" i="30"/>
  <c r="I33" i="19"/>
  <c r="K53" i="20"/>
  <c r="H20" i="30" s="1"/>
  <c r="L20" i="30"/>
  <c r="M29" i="19"/>
  <c r="I33" i="21"/>
  <c r="I46" i="21"/>
  <c r="I33" i="20"/>
  <c r="I46" i="20"/>
  <c r="H53" i="20"/>
  <c r="H9" i="20"/>
  <c r="G47" i="19"/>
  <c r="J7" i="19"/>
  <c r="I7" i="19"/>
  <c r="I14" i="19" s="1"/>
  <c r="I52" i="19" s="1"/>
  <c r="H12" i="19"/>
  <c r="I46" i="19"/>
  <c r="K9" i="20" l="1"/>
  <c r="L5" i="19"/>
  <c r="L9" i="19" s="1"/>
  <c r="L12" i="19" s="1"/>
  <c r="J19" i="30"/>
  <c r="I17" i="30"/>
  <c r="H7" i="20"/>
  <c r="J7" i="20" s="1"/>
  <c r="J14" i="20" s="1"/>
  <c r="K52" i="20" s="1"/>
  <c r="K55" i="20" s="1"/>
  <c r="C61" i="20"/>
  <c r="C63" i="20" s="1"/>
  <c r="L5" i="21"/>
  <c r="L9" i="21" s="1"/>
  <c r="L12" i="21" s="1"/>
  <c r="M44" i="21"/>
  <c r="J53" i="21"/>
  <c r="G17" i="30" s="1"/>
  <c r="J53" i="19"/>
  <c r="L53" i="19" s="1"/>
  <c r="K17" i="30"/>
  <c r="J17" i="30"/>
  <c r="J53" i="20"/>
  <c r="H17" i="30" s="1"/>
  <c r="N22" i="30"/>
  <c r="H22" i="30"/>
  <c r="G8" i="30"/>
  <c r="K8" i="30"/>
  <c r="J8" i="30"/>
  <c r="N8" i="30"/>
  <c r="I8" i="30"/>
  <c r="M8" i="30"/>
  <c r="H8" i="30"/>
  <c r="L8" i="30"/>
  <c r="I55" i="19"/>
  <c r="F13" i="30"/>
  <c r="N17" i="30"/>
  <c r="K12" i="19"/>
  <c r="H52" i="19" s="1"/>
  <c r="H12" i="20"/>
  <c r="L9" i="20"/>
  <c r="L12" i="20" s="1"/>
  <c r="K12" i="20"/>
  <c r="H52" i="20" s="1"/>
  <c r="K12" i="21"/>
  <c r="H12" i="21"/>
  <c r="H14" i="21" s="1"/>
  <c r="J15" i="19"/>
  <c r="J14" i="19"/>
  <c r="H14" i="19"/>
  <c r="H15" i="19" s="1"/>
  <c r="I7" i="20" l="1"/>
  <c r="I14" i="20" s="1"/>
  <c r="I52" i="20" s="1"/>
  <c r="I55" i="20" s="1"/>
  <c r="AF7" i="16" s="1"/>
  <c r="J61" i="21"/>
  <c r="J61" i="20"/>
  <c r="AD7" i="16"/>
  <c r="C63" i="21"/>
  <c r="H15" i="21"/>
  <c r="I7" i="21"/>
  <c r="I14" i="21" s="1"/>
  <c r="I52" i="21" s="1"/>
  <c r="J7" i="21"/>
  <c r="J52" i="19"/>
  <c r="J55" i="19" s="1"/>
  <c r="L14" i="19"/>
  <c r="F19" i="30" s="1"/>
  <c r="F17" i="30"/>
  <c r="J61" i="19"/>
  <c r="L53" i="20"/>
  <c r="L53" i="21"/>
  <c r="M22" i="30"/>
  <c r="I22" i="30"/>
  <c r="J15" i="20"/>
  <c r="K52" i="19"/>
  <c r="K55" i="19" s="1"/>
  <c r="F22" i="30"/>
  <c r="K14" i="19"/>
  <c r="L19" i="30"/>
  <c r="M19" i="30"/>
  <c r="K19" i="30"/>
  <c r="I19" i="30"/>
  <c r="H14" i="20"/>
  <c r="H15" i="20" s="1"/>
  <c r="J52" i="21"/>
  <c r="J55" i="21" s="1"/>
  <c r="L14" i="21"/>
  <c r="G19" i="30" s="1"/>
  <c r="J52" i="20"/>
  <c r="J55" i="20" s="1"/>
  <c r="L14" i="20"/>
  <c r="H19" i="30" s="1"/>
  <c r="K14" i="20"/>
  <c r="K14" i="21"/>
  <c r="G10" i="30" s="1"/>
  <c r="H52" i="21"/>
  <c r="H55" i="21" s="1"/>
  <c r="AE6" i="16" s="1"/>
  <c r="J15" i="21" l="1"/>
  <c r="J14" i="21"/>
  <c r="G13" i="30"/>
  <c r="I55" i="21"/>
  <c r="H55" i="20"/>
  <c r="L52" i="20"/>
  <c r="L54" i="20" s="1"/>
  <c r="L52" i="19"/>
  <c r="L54" i="19" s="1"/>
  <c r="H55" i="19"/>
  <c r="N19" i="30"/>
  <c r="J22" i="30"/>
  <c r="L15" i="19"/>
  <c r="F10" i="30"/>
  <c r="K56" i="19"/>
  <c r="L15" i="20"/>
  <c r="K56" i="20"/>
  <c r="L15" i="21"/>
  <c r="I31" i="5"/>
  <c r="I30" i="5"/>
  <c r="I29" i="5"/>
  <c r="I28" i="5"/>
  <c r="I27" i="5"/>
  <c r="I26" i="5"/>
  <c r="I25" i="5"/>
  <c r="I23" i="5"/>
  <c r="AF6" i="16" l="1"/>
  <c r="AL8" i="16" s="1"/>
  <c r="I56" i="20"/>
  <c r="G59" i="20" s="1"/>
  <c r="AE7" i="16"/>
  <c r="AD6" i="16"/>
  <c r="K52" i="21"/>
  <c r="G22" i="30"/>
  <c r="L22" i="30"/>
  <c r="K22" i="30"/>
  <c r="L55" i="20"/>
  <c r="L56" i="20" s="1"/>
  <c r="L55" i="19"/>
  <c r="L56" i="19" s="1"/>
  <c r="I56" i="19"/>
  <c r="G59" i="19" s="1"/>
  <c r="I56" i="21"/>
  <c r="AM8" i="16" l="1"/>
  <c r="K55" i="21"/>
  <c r="L52" i="21"/>
  <c r="L54" i="21" s="1"/>
  <c r="K56" i="21" l="1"/>
  <c r="G59" i="21" s="1"/>
  <c r="L55" i="21"/>
  <c r="L56" i="21" s="1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F260" i="7" l="1"/>
  <c r="F282" i="10" l="1"/>
  <c r="C238" i="10"/>
  <c r="C127" i="3" l="1"/>
  <c r="C160" i="6"/>
  <c r="N15" i="13"/>
  <c r="N14" i="13"/>
  <c r="N16" i="13" l="1"/>
  <c r="Q141" i="3" l="1"/>
  <c r="R140" i="3"/>
  <c r="R133" i="3"/>
  <c r="R132" i="3"/>
  <c r="S178" i="6"/>
  <c r="T177" i="6"/>
  <c r="S176" i="6"/>
  <c r="T173" i="6"/>
  <c r="T168" i="6"/>
  <c r="T167" i="6"/>
  <c r="T170" i="6" l="1"/>
  <c r="E293" i="7" l="1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L10" i="18" l="1"/>
  <c r="L9" i="18"/>
  <c r="K10" i="18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M74" i="16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E39" i="14" l="1"/>
  <c r="A266" i="7"/>
  <c r="A284" i="7" s="1"/>
  <c r="A112" i="3"/>
  <c r="A120" i="3" s="1"/>
  <c r="A167" i="9"/>
  <c r="A183" i="9" s="1"/>
  <c r="G186" i="9" s="1"/>
  <c r="A126" i="3" l="1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J173" i="9" l="1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I276" i="10" l="1"/>
  <c r="J276" i="10"/>
  <c r="C148" i="6" l="1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J217" i="7" l="1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J199" i="7" l="1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J77" i="9" l="1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J145" i="7" l="1"/>
  <c r="I60" i="9"/>
  <c r="J61" i="9" l="1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C131" i="7" l="1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J106" i="10" l="1"/>
  <c r="D117" i="7" l="1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C44" i="12" l="1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S41" i="12" l="1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J30" i="9" l="1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I12" i="9" l="1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J13" i="9" l="1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M132" i="6" l="1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J58" i="7" l="1"/>
  <c r="A23" i="12" l="1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C26" i="10" l="1"/>
  <c r="C28" i="10" s="1"/>
  <c r="T21" i="12"/>
  <c r="S21" i="12"/>
  <c r="S16" i="12"/>
  <c r="T15" i="12"/>
  <c r="C16" i="12"/>
  <c r="T12" i="12"/>
  <c r="S12" i="12"/>
  <c r="H11" i="6"/>
  <c r="E11" i="6" s="1"/>
  <c r="H10" i="6"/>
  <c r="H22" i="12" l="1"/>
  <c r="C22" i="12" s="1"/>
  <c r="E10" i="6"/>
  <c r="E9" i="12" s="1"/>
  <c r="E16" i="12" s="1"/>
  <c r="H9" i="12"/>
  <c r="H16" i="12" s="1"/>
  <c r="D11" i="6"/>
  <c r="D10" i="6"/>
  <c r="D9" i="12" s="1"/>
  <c r="D16" i="12" s="1"/>
  <c r="E23" i="12" l="1"/>
  <c r="D23" i="12"/>
  <c r="S19" i="12"/>
  <c r="T19" i="12"/>
  <c r="T22" i="12"/>
  <c r="C23" i="12"/>
  <c r="S23" i="12"/>
  <c r="H23" i="12"/>
  <c r="D30" i="12" l="1"/>
  <c r="E30" i="12"/>
  <c r="H29" i="12"/>
  <c r="C29" i="12" s="1"/>
  <c r="A16" i="12"/>
  <c r="T18" i="6"/>
  <c r="E8" i="7"/>
  <c r="D37" i="12" l="1"/>
  <c r="E37" i="12"/>
  <c r="H30" i="12"/>
  <c r="S26" i="12"/>
  <c r="T26" i="12"/>
  <c r="S30" i="12"/>
  <c r="T29" i="12"/>
  <c r="C30" i="12"/>
  <c r="C1153" i="12"/>
  <c r="D27" i="7"/>
  <c r="G15" i="7"/>
  <c r="A20" i="6"/>
  <c r="C18" i="6"/>
  <c r="E45" i="12" l="1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E61" i="12" l="1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Q73" i="16" l="1"/>
  <c r="Q76" i="16" s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Q78" i="16" l="1"/>
  <c r="R73" i="16"/>
  <c r="D76" i="16"/>
  <c r="L110" i="3"/>
  <c r="L118" i="3" s="1"/>
  <c r="L126" i="3" s="1"/>
  <c r="L128" i="3" s="1"/>
  <c r="J141" i="6"/>
  <c r="L141" i="6"/>
  <c r="I132" i="6"/>
  <c r="I141" i="6" s="1"/>
  <c r="K132" i="6"/>
  <c r="C60" i="12"/>
  <c r="R76" i="16" l="1"/>
  <c r="R78" i="16" s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C43" i="5"/>
  <c r="C56" i="5" s="1"/>
  <c r="C27" i="5"/>
  <c r="C22" i="5"/>
  <c r="C30" i="5" s="1"/>
  <c r="S73" i="16" l="1"/>
  <c r="S76" i="16" s="1"/>
  <c r="T73" i="16" s="1"/>
  <c r="T76" i="16" s="1"/>
  <c r="C32" i="5"/>
  <c r="C34" i="5" s="1"/>
  <c r="H7" i="5" s="1"/>
  <c r="K150" i="6"/>
  <c r="K159" i="6" s="1"/>
  <c r="C68" i="12"/>
  <c r="S78" i="16" l="1"/>
  <c r="J7" i="5"/>
  <c r="I7" i="5"/>
  <c r="I14" i="5" s="1"/>
  <c r="C59" i="5"/>
  <c r="C61" i="5" s="1"/>
  <c r="C63" i="5" s="1"/>
  <c r="H9" i="5"/>
  <c r="T78" i="16"/>
  <c r="U73" i="16"/>
  <c r="U76" i="16" s="1"/>
  <c r="S69" i="12"/>
  <c r="T68" i="12"/>
  <c r="T65" i="12"/>
  <c r="S65" i="12"/>
  <c r="C69" i="12"/>
  <c r="H69" i="12"/>
  <c r="U78" i="16" l="1"/>
  <c r="V73" i="16"/>
  <c r="V76" i="16" s="1"/>
  <c r="K8" i="18"/>
  <c r="L8" i="18"/>
  <c r="H76" i="12"/>
  <c r="C76" i="12" s="1"/>
  <c r="C77" i="12" s="1"/>
  <c r="E9" i="7"/>
  <c r="V78" i="16" l="1"/>
  <c r="W73" i="16"/>
  <c r="W76" i="16" s="1"/>
  <c r="W78" i="16" s="1"/>
  <c r="H84" i="12"/>
  <c r="C84" i="12" s="1"/>
  <c r="H77" i="12"/>
  <c r="T76" i="12"/>
  <c r="S77" i="12"/>
  <c r="T73" i="12"/>
  <c r="S73" i="12"/>
  <c r="E25" i="7"/>
  <c r="E26" i="7"/>
  <c r="I18" i="7" s="1"/>
  <c r="G25" i="7"/>
  <c r="X73" i="16" l="1"/>
  <c r="X76" i="16" s="1"/>
  <c r="S81" i="12"/>
  <c r="S85" i="12"/>
  <c r="T84" i="12"/>
  <c r="T81" i="12"/>
  <c r="C85" i="12"/>
  <c r="H85" i="12"/>
  <c r="E27" i="7"/>
  <c r="E61" i="7" s="1"/>
  <c r="E63" i="7" s="1"/>
  <c r="X78" i="16" l="1"/>
  <c r="Y73" i="16"/>
  <c r="Y76" i="16" s="1"/>
  <c r="Z73" i="16" s="1"/>
  <c r="C92" i="12"/>
  <c r="C93" i="12" s="1"/>
  <c r="E80" i="7"/>
  <c r="I72" i="7" s="1"/>
  <c r="E79" i="7"/>
  <c r="G79" i="7"/>
  <c r="I21" i="7"/>
  <c r="J22" i="7" s="1"/>
  <c r="Y78" i="16" l="1"/>
  <c r="Z76" i="16"/>
  <c r="H100" i="12"/>
  <c r="C100" i="12" s="1"/>
  <c r="T92" i="12"/>
  <c r="S93" i="12"/>
  <c r="T89" i="12"/>
  <c r="S89" i="12"/>
  <c r="H93" i="12"/>
  <c r="E81" i="7"/>
  <c r="Z78" i="16" l="1"/>
  <c r="AA73" i="16"/>
  <c r="AA76" i="16" s="1"/>
  <c r="AC73" i="16" s="1"/>
  <c r="AC76" i="16" s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78" i="16" l="1"/>
  <c r="AE73" i="16"/>
  <c r="AE76" i="16" s="1"/>
  <c r="AE78" i="16" s="1"/>
  <c r="AB73" i="16"/>
  <c r="AB76" i="16" s="1"/>
  <c r="AA78" i="16"/>
  <c r="I16" i="14"/>
  <c r="J15" i="14"/>
  <c r="G23" i="14"/>
  <c r="E23" i="14"/>
  <c r="T102" i="12"/>
  <c r="E99" i="7"/>
  <c r="AB78" i="16" l="1"/>
  <c r="AD73" i="16"/>
  <c r="AD76" i="16" s="1"/>
  <c r="I17" i="14"/>
  <c r="J17" i="14"/>
  <c r="E25" i="14"/>
  <c r="G115" i="7"/>
  <c r="E116" i="7"/>
  <c r="I108" i="7" s="1"/>
  <c r="E115" i="7"/>
  <c r="I93" i="7"/>
  <c r="J94" i="7" s="1"/>
  <c r="C1485" i="5"/>
  <c r="C1010" i="3"/>
  <c r="C1066" i="6"/>
  <c r="AD78" i="16" l="1"/>
  <c r="AF73" i="16"/>
  <c r="AF76" i="16" s="1"/>
  <c r="AF78" i="16" s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G42" i="14" l="1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J37" i="14" l="1"/>
  <c r="I37" i="14"/>
  <c r="E135" i="7"/>
  <c r="G20" i="6"/>
  <c r="F20" i="6"/>
  <c r="P355" i="7"/>
  <c r="F1" i="5"/>
  <c r="J38" i="14" l="1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I44" i="5"/>
  <c r="G159" i="6" l="1"/>
  <c r="G161" i="6" s="1"/>
  <c r="F110" i="6"/>
  <c r="F119" i="6" s="1"/>
  <c r="F128" i="6" s="1"/>
  <c r="F132" i="6" s="1"/>
  <c r="F141" i="6" s="1"/>
  <c r="F150" i="6" s="1"/>
  <c r="E153" i="7"/>
  <c r="I43" i="5"/>
  <c r="I42" i="5"/>
  <c r="I40" i="5"/>
  <c r="F159" i="6" l="1"/>
  <c r="F161" i="6" s="1"/>
  <c r="E169" i="7"/>
  <c r="E170" i="7"/>
  <c r="I162" i="7" s="1"/>
  <c r="I147" i="7"/>
  <c r="J148" i="7" s="1"/>
  <c r="G169" i="7"/>
  <c r="I41" i="5"/>
  <c r="E171" i="7" l="1"/>
  <c r="I37" i="5"/>
  <c r="G34" i="5"/>
  <c r="I39" i="5"/>
  <c r="E188" i="7" l="1"/>
  <c r="I180" i="7" s="1"/>
  <c r="E187" i="7"/>
  <c r="I165" i="7"/>
  <c r="J166" i="7" s="1"/>
  <c r="G187" i="7"/>
  <c r="I45" i="5"/>
  <c r="H53" i="5" s="1"/>
  <c r="G45" i="5"/>
  <c r="I32" i="5"/>
  <c r="I53" i="5" s="1"/>
  <c r="E11" i="30" s="1"/>
  <c r="E8" i="30" l="1"/>
  <c r="E189" i="7"/>
  <c r="I33" i="5"/>
  <c r="I46" i="5"/>
  <c r="G47" i="5"/>
  <c r="E205" i="7" l="1"/>
  <c r="E206" i="7"/>
  <c r="I183" i="7"/>
  <c r="J184" i="7" s="1"/>
  <c r="G205" i="7"/>
  <c r="K39" i="5"/>
  <c r="C51" i="14" l="1"/>
  <c r="E51" i="14" s="1"/>
  <c r="M39" i="5"/>
  <c r="C50" i="14"/>
  <c r="E50" i="14" s="1"/>
  <c r="M38" i="5"/>
  <c r="E207" i="7"/>
  <c r="E223" i="7" s="1"/>
  <c r="I198" i="7"/>
  <c r="K40" i="5"/>
  <c r="M40" i="5" s="1"/>
  <c r="C49" i="14" l="1"/>
  <c r="E49" i="14" s="1"/>
  <c r="M37" i="5"/>
  <c r="G223" i="7"/>
  <c r="I201" i="7"/>
  <c r="J202" i="7" s="1"/>
  <c r="E224" i="7"/>
  <c r="I216" i="7" s="1"/>
  <c r="M28" i="5"/>
  <c r="M29" i="5" s="1"/>
  <c r="C48" i="14" l="1"/>
  <c r="M36" i="5"/>
  <c r="M43" i="5" s="1"/>
  <c r="J53" i="5" s="1"/>
  <c r="E225" i="7"/>
  <c r="K43" i="5"/>
  <c r="K5" i="5" s="1"/>
  <c r="K9" i="5" s="1"/>
  <c r="K53" i="5"/>
  <c r="E20" i="30" s="1"/>
  <c r="L53" i="5" l="1"/>
  <c r="E17" i="30"/>
  <c r="J61" i="5"/>
  <c r="I219" i="7"/>
  <c r="J220" i="7" s="1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L28" i="18" l="1"/>
  <c r="K28" i="18"/>
  <c r="G59" i="14"/>
  <c r="E59" i="14"/>
  <c r="E243" i="7"/>
  <c r="H11" i="5"/>
  <c r="L11" i="5" s="1"/>
  <c r="H10" i="5"/>
  <c r="K10" i="5" l="1"/>
  <c r="H12" i="5"/>
  <c r="H14" i="5" s="1"/>
  <c r="K20" i="18"/>
  <c r="L20" i="18"/>
  <c r="I53" i="14"/>
  <c r="E61" i="14"/>
  <c r="J53" i="14"/>
  <c r="I52" i="14"/>
  <c r="J51" i="14"/>
  <c r="I237" i="7"/>
  <c r="J238" i="7" s="1"/>
  <c r="G261" i="7"/>
  <c r="H61" i="14"/>
  <c r="I52" i="5" l="1"/>
  <c r="I55" i="5" s="1"/>
  <c r="E13" i="30"/>
  <c r="I55" i="14"/>
  <c r="J55" i="14"/>
  <c r="J14" i="5"/>
  <c r="E22" i="30" s="1"/>
  <c r="AC7" i="16" l="1"/>
  <c r="J56" i="14"/>
  <c r="E120" i="3"/>
  <c r="K52" i="5"/>
  <c r="K55" i="5" s="1"/>
  <c r="J15" i="5"/>
  <c r="D7" i="16" l="1"/>
  <c r="C7" i="16"/>
  <c r="AA10" i="16"/>
  <c r="E155" i="6"/>
  <c r="B9" i="13"/>
  <c r="E11" i="3"/>
  <c r="E19" i="3" s="1"/>
  <c r="K12" i="5"/>
  <c r="H52" i="5" s="1"/>
  <c r="L9" i="5"/>
  <c r="L12" i="5" s="1"/>
  <c r="J52" i="5" s="1"/>
  <c r="C10" i="16" l="1"/>
  <c r="D10" i="16"/>
  <c r="L52" i="5"/>
  <c r="H55" i="5"/>
  <c r="E27" i="3"/>
  <c r="D9" i="13" s="1"/>
  <c r="C9" i="13"/>
  <c r="L14" i="5"/>
  <c r="E19" i="30" s="1"/>
  <c r="J55" i="5"/>
  <c r="H15" i="5"/>
  <c r="K14" i="5"/>
  <c r="E10" i="30" s="1"/>
  <c r="L16" i="18" l="1"/>
  <c r="L55" i="5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K16" i="18" l="1"/>
  <c r="K5" i="18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C9" i="16" l="1"/>
  <c r="D9" i="16"/>
  <c r="L5" i="18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E59" i="3" l="1"/>
  <c r="G9" i="13"/>
  <c r="Q115" i="3"/>
  <c r="R115" i="3"/>
  <c r="Q72" i="3"/>
  <c r="R40" i="3"/>
  <c r="Q40" i="3"/>
  <c r="B8" i="13"/>
  <c r="B10" i="13" s="1"/>
  <c r="D11" i="3"/>
  <c r="D19" i="3" s="1"/>
  <c r="E67" i="3" l="1"/>
  <c r="H9" i="13"/>
  <c r="D27" i="3"/>
  <c r="C8" i="13"/>
  <c r="C10" i="13" s="1"/>
  <c r="E75" i="3" l="1"/>
  <c r="I9" i="13"/>
  <c r="D35" i="3"/>
  <c r="D8" i="13"/>
  <c r="D10" i="13" s="1"/>
  <c r="E12" i="6"/>
  <c r="E20" i="6" s="1"/>
  <c r="E109" i="3" l="1"/>
  <c r="E83" i="3"/>
  <c r="J9" i="13"/>
  <c r="D43" i="3"/>
  <c r="E8" i="13"/>
  <c r="E10" i="13" s="1"/>
  <c r="E38" i="6"/>
  <c r="E47" i="6" s="1"/>
  <c r="B15" i="13"/>
  <c r="E29" i="6"/>
  <c r="E91" i="3" l="1"/>
  <c r="K9" i="13"/>
  <c r="C15" i="13"/>
  <c r="D51" i="3"/>
  <c r="F8" i="13"/>
  <c r="F10" i="13" s="1"/>
  <c r="E56" i="6"/>
  <c r="D15" i="13"/>
  <c r="F11" i="3"/>
  <c r="D12" i="6"/>
  <c r="D20" i="6" s="1"/>
  <c r="Q38" i="16" l="1"/>
  <c r="Q40" i="16" s="1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Q43" i="16" l="1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Q45" i="16" l="1"/>
  <c r="R38" i="16"/>
  <c r="R40" i="16" s="1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E126" i="3" l="1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D91" i="3" l="1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R43" i="16" l="1"/>
  <c r="S38" i="16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R45" i="16" l="1"/>
  <c r="S40" i="16"/>
  <c r="D150" i="6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S43" i="16" l="1"/>
  <c r="S45" i="16" s="1"/>
  <c r="D159" i="6"/>
  <c r="D161" i="6" s="1"/>
  <c r="D110" i="3"/>
  <c r="D118" i="3" s="1"/>
  <c r="E54" i="10"/>
  <c r="C34" i="3"/>
  <c r="C35" i="3" s="1"/>
  <c r="J41" i="10"/>
  <c r="R23" i="3"/>
  <c r="R27" i="3" s="1"/>
  <c r="T38" i="16" l="1"/>
  <c r="D126" i="3"/>
  <c r="D128" i="3" s="1"/>
  <c r="I45" i="10"/>
  <c r="J46" i="10" s="1"/>
  <c r="E72" i="10"/>
  <c r="J64" i="10" s="1"/>
  <c r="R34" i="3"/>
  <c r="Q34" i="3"/>
  <c r="R33" i="3"/>
  <c r="T40" i="16" l="1"/>
  <c r="E73" i="10"/>
  <c r="E74" i="10"/>
  <c r="I63" i="10" s="1"/>
  <c r="C42" i="3"/>
  <c r="C43" i="3" s="1"/>
  <c r="F51" i="3" s="1"/>
  <c r="G73" i="10"/>
  <c r="Q31" i="3"/>
  <c r="R31" i="3"/>
  <c r="T43" i="16" l="1"/>
  <c r="T45" i="16" s="1"/>
  <c r="E75" i="10"/>
  <c r="I66" i="10" s="1"/>
  <c r="Q42" i="3"/>
  <c r="R42" i="3"/>
  <c r="R41" i="3"/>
  <c r="J62" i="10"/>
  <c r="R35" i="3"/>
  <c r="U38" i="16" l="1"/>
  <c r="U40" i="16" s="1"/>
  <c r="E95" i="10"/>
  <c r="I84" i="10" s="1"/>
  <c r="E94" i="10"/>
  <c r="J67" i="10"/>
  <c r="C50" i="3"/>
  <c r="C51" i="3" s="1"/>
  <c r="F59" i="3" s="1"/>
  <c r="G94" i="10"/>
  <c r="R39" i="3"/>
  <c r="Q39" i="3"/>
  <c r="U43" i="16" l="1"/>
  <c r="V38" i="16" s="1"/>
  <c r="V40" i="16" s="1"/>
  <c r="E96" i="10"/>
  <c r="I87" i="10" s="1"/>
  <c r="R49" i="3"/>
  <c r="Q50" i="3"/>
  <c r="R50" i="3"/>
  <c r="R43" i="3"/>
  <c r="J83" i="10"/>
  <c r="H12" i="6"/>
  <c r="U45" i="16" l="1"/>
  <c r="V43" i="16"/>
  <c r="V45" i="16" s="1"/>
  <c r="G115" i="10"/>
  <c r="E116" i="10"/>
  <c r="J104" i="10" s="1"/>
  <c r="E115" i="10"/>
  <c r="C58" i="3"/>
  <c r="C59" i="3" s="1"/>
  <c r="R47" i="3"/>
  <c r="Q47" i="3"/>
  <c r="J88" i="10"/>
  <c r="H20" i="6"/>
  <c r="H38" i="6" s="1"/>
  <c r="W38" i="16" l="1"/>
  <c r="W40" i="16" s="1"/>
  <c r="F67" i="3"/>
  <c r="I105" i="10"/>
  <c r="E117" i="10"/>
  <c r="E137" i="10" s="1"/>
  <c r="R57" i="3"/>
  <c r="R58" i="3"/>
  <c r="Q58" i="3"/>
  <c r="R51" i="3"/>
  <c r="C19" i="6"/>
  <c r="W43" i="16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W45" i="16" l="1"/>
  <c r="X38" i="16"/>
  <c r="X40" i="16" s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X43" i="16" l="1"/>
  <c r="Y38" i="16" s="1"/>
  <c r="Y40" i="16" s="1"/>
  <c r="C74" i="3"/>
  <c r="E159" i="10"/>
  <c r="E179" i="10" s="1"/>
  <c r="J146" i="10"/>
  <c r="I147" i="10"/>
  <c r="R63" i="3"/>
  <c r="Q63" i="3"/>
  <c r="C20" i="6"/>
  <c r="C38" i="6" s="1"/>
  <c r="X45" i="16" l="1"/>
  <c r="C75" i="3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Y43" i="16" l="1"/>
  <c r="Z38" i="16" s="1"/>
  <c r="F83" i="3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Y45" i="16" l="1"/>
  <c r="Z40" i="16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Z43" i="16" l="1"/>
  <c r="Z45" i="16" s="1"/>
  <c r="E201" i="10"/>
  <c r="E221" i="10" s="1"/>
  <c r="J188" i="10"/>
  <c r="I189" i="10"/>
  <c r="Q82" i="3"/>
  <c r="R82" i="3"/>
  <c r="R81" i="3"/>
  <c r="C55" i="6"/>
  <c r="H56" i="6"/>
  <c r="S43" i="6"/>
  <c r="T43" i="6"/>
  <c r="AA38" i="16" l="1"/>
  <c r="AA40" i="16" s="1"/>
  <c r="I192" i="10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AA43" i="16" l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AA45" i="16" l="1"/>
  <c r="AB38" i="16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AB40" i="16" l="1"/>
  <c r="AB43" i="16"/>
  <c r="D40" i="16"/>
  <c r="D43" i="16" s="1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C40" i="16" l="1"/>
  <c r="C43" i="16" s="1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AB45" i="16" l="1"/>
  <c r="AC38" i="16"/>
  <c r="AC40" i="16" s="1"/>
  <c r="AC43" i="16" s="1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AC45" i="16" l="1"/>
  <c r="AD38" i="16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AD40" i="16" l="1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AD43" i="16" l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AE38" i="16" l="1"/>
  <c r="AD45" i="16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AE40" i="16" l="1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M35" i="16" l="1"/>
  <c r="AE43" i="16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AE45" i="16" l="1"/>
  <c r="AF38" i="16"/>
  <c r="AF40" i="16" s="1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L37" i="16" l="1"/>
  <c r="K7" i="18" s="1"/>
  <c r="AM37" i="16"/>
  <c r="L7" i="18" s="1"/>
  <c r="AL36" i="16"/>
  <c r="AF43" i="16"/>
  <c r="AF45" i="16" s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M41" i="16" l="1"/>
  <c r="K6" i="18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I293" i="7" l="1"/>
  <c r="J294" i="7" s="1"/>
  <c r="T137" i="6"/>
  <c r="S137" i="6"/>
  <c r="H299" i="7"/>
  <c r="T143" i="6" l="1"/>
  <c r="C149" i="6"/>
  <c r="C150" i="6" l="1"/>
  <c r="H158" i="6" s="1"/>
  <c r="T150" i="6"/>
  <c r="S151" i="6"/>
  <c r="T146" i="6" l="1"/>
  <c r="S146" i="6"/>
  <c r="C158" i="6" l="1"/>
  <c r="C159" i="6" s="1"/>
  <c r="C161" i="6" s="1"/>
  <c r="C163" i="6" s="1"/>
  <c r="H159" i="6"/>
  <c r="H161" i="6" s="1"/>
  <c r="T152" i="6"/>
  <c r="S160" i="6" l="1"/>
  <c r="T178" i="6" s="1"/>
  <c r="T159" i="6"/>
  <c r="T155" i="6" l="1"/>
  <c r="S155" i="6"/>
  <c r="S173" i="6" l="1"/>
  <c r="T161" i="6"/>
  <c r="T179" i="6" l="1"/>
  <c r="L17" i="18" l="1"/>
  <c r="K19" i="18"/>
  <c r="L15" i="18" l="1"/>
  <c r="K15" i="18"/>
  <c r="K18" i="18"/>
  <c r="L19" i="18"/>
  <c r="L13" i="18" l="1"/>
  <c r="K14" i="18"/>
  <c r="Q5" i="16" l="1"/>
  <c r="Q8" i="16" l="1"/>
  <c r="Q13" i="16" s="1"/>
  <c r="Q15" i="16" l="1"/>
  <c r="R5" i="16"/>
  <c r="R8" i="16" s="1"/>
  <c r="L25" i="18" l="1"/>
  <c r="L27" i="18"/>
  <c r="K27" i="18"/>
  <c r="R13" i="16"/>
  <c r="S5" i="16" s="1"/>
  <c r="S8" i="16" s="1"/>
  <c r="K26" i="18" l="1"/>
  <c r="R15" i="16"/>
  <c r="S13" i="16" l="1"/>
  <c r="T5" i="16" l="1"/>
  <c r="T8" i="16" s="1"/>
  <c r="S15" i="16"/>
  <c r="T13" i="16" l="1"/>
  <c r="T15" i="16" s="1"/>
  <c r="U5" i="16" l="1"/>
  <c r="U8" i="16" s="1"/>
  <c r="U13" i="16" l="1"/>
  <c r="V5" i="16" s="1"/>
  <c r="V8" i="16" s="1"/>
  <c r="AA11" i="16" s="1"/>
  <c r="D11" i="16" s="1"/>
  <c r="U15" i="16" l="1"/>
  <c r="C11" i="16"/>
  <c r="V13" i="16" l="1"/>
  <c r="W5" i="16" l="1"/>
  <c r="V15" i="16"/>
  <c r="W8" i="16" l="1"/>
  <c r="W13" i="16" l="1"/>
  <c r="W15" i="16" s="1"/>
  <c r="X5" i="16" l="1"/>
  <c r="X8" i="16" s="1"/>
  <c r="X13" i="16" l="1"/>
  <c r="Y5" i="16" s="1"/>
  <c r="X15" i="16" l="1"/>
  <c r="Y8" i="16"/>
  <c r="Y13" i="16" l="1"/>
  <c r="Y15" i="16" s="1"/>
  <c r="Z5" i="16" l="1"/>
  <c r="Z8" i="16" s="1"/>
  <c r="Z13" i="16" l="1"/>
  <c r="AA5" i="16" s="1"/>
  <c r="AA8" i="16" s="1"/>
  <c r="Z15" i="16" l="1"/>
  <c r="AA13" i="16"/>
  <c r="AA15" i="16" l="1"/>
  <c r="AB5" i="16"/>
  <c r="AB8" i="16" l="1"/>
  <c r="D8" i="16" l="1"/>
  <c r="D13" i="16" s="1"/>
  <c r="C8" i="16"/>
  <c r="C13" i="16" s="1"/>
  <c r="AB13" i="16"/>
  <c r="AC5" i="16" s="1"/>
  <c r="AC8" i="16" s="1"/>
  <c r="AC13" i="16" s="1"/>
  <c r="AC15" i="16" l="1"/>
  <c r="AD5" i="16"/>
  <c r="AD8" i="16" s="1"/>
  <c r="AB15" i="16"/>
  <c r="AD13" i="16" l="1"/>
  <c r="AE5" i="16" s="1"/>
  <c r="AE8" i="16" s="1"/>
  <c r="AE13" i="16" s="1"/>
  <c r="AF5" i="16" s="1"/>
  <c r="AF8" i="16" s="1"/>
  <c r="AL6" i="16" l="1"/>
  <c r="AL7" i="16"/>
  <c r="K4" i="18" s="1"/>
  <c r="AM7" i="16"/>
  <c r="L4" i="18" s="1"/>
  <c r="AM5" i="16"/>
  <c r="AF13" i="16"/>
  <c r="AF15" i="16" s="1"/>
  <c r="AL16" i="16"/>
  <c r="AL18" i="16"/>
  <c r="AM15" i="16"/>
  <c r="AM17" i="16"/>
  <c r="AD15" i="16"/>
  <c r="L2" i="18" l="1"/>
  <c r="H61" i="20"/>
  <c r="AM21" i="16"/>
  <c r="K3" i="18"/>
  <c r="K32" i="18" s="1"/>
  <c r="H61" i="5"/>
  <c r="I61" i="19"/>
  <c r="I61" i="5"/>
  <c r="AM11" i="16"/>
  <c r="I61" i="20" s="1"/>
  <c r="L32" i="18"/>
  <c r="H61" i="19"/>
  <c r="H61" i="21"/>
  <c r="AE15" i="16"/>
  <c r="AQ15" i="16" s="1"/>
  <c r="I61" i="21" l="1"/>
  <c r="I62" i="21" s="1"/>
  <c r="I62" i="20"/>
  <c r="I62" i="5"/>
  <c r="I62" i="19"/>
</calcChain>
</file>

<file path=xl/comments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adjust for penny rounding</t>
        </r>
      </text>
    </comment>
    <comment ref="H31" authorId="1" shapeId="0">
      <text>
        <r>
          <rPr>
            <b/>
            <sz val="9"/>
            <color indexed="81"/>
            <rFont val="Tahoma"/>
            <charset val="1"/>
          </rPr>
          <t>Berg, Jenny:</t>
        </r>
        <r>
          <rPr>
            <sz val="9"/>
            <color indexed="81"/>
            <rFont val="Tahoma"/>
            <charset val="1"/>
          </rPr>
          <t xml:space="preserve">
was .0054
found and corrected 4/25/18… dollars corrected in April Entry</t>
        </r>
      </text>
    </comment>
  </commentList>
</comments>
</file>

<file path=xl/comments2.xml><?xml version="1.0" encoding="utf-8"?>
<comments xmlns="http://schemas.openxmlformats.org/spreadsheetml/2006/main">
  <authors>
    <author>Berg, Jenny</author>
    <author>MGG9990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Transportation = amount of capacity in the pipeline.</t>
        </r>
      </text>
    </comment>
    <comment ref="I5" authorId="1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Berg, Jenny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Beginning 201701</t>
        </r>
      </text>
    </comment>
    <comment ref="AC7" authorId="0" shapeId="0">
      <text>
        <r>
          <rPr>
            <b/>
            <sz val="9"/>
            <color indexed="81"/>
            <rFont val="Tahoma"/>
            <charset val="1"/>
          </rPr>
          <t>Berg, Jenny:</t>
        </r>
        <r>
          <rPr>
            <sz val="9"/>
            <color indexed="81"/>
            <rFont val="Tahoma"/>
            <charset val="1"/>
          </rPr>
          <t xml:space="preserve">
updated 4/25/18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Dec/Jan Rate Schedule 146 difference per Rates
Added in order to tie to Annette's balance of $14,771,212.55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= $14,771,212.55.
Difference = $35.15 and noted under Misc Adjustments in November.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A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</t>
        </r>
      </text>
    </comment>
    <comment ref="AB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C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D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F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B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C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F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AA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Temporary Refunds/Charges Rate Spreadsheet</t>
        </r>
      </text>
    </comment>
    <comment ref="AB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moved from Nov column b/c actually booked in Dec and interest should reflect this.  The $459.10 is getting picked up in Jan'18.</t>
        </r>
      </text>
    </comment>
    <comment ref="AD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to correct for $130,571.12 being too high - picked up wrong column on Annette's spreadsheet.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October unbilled reversal…and then move remaining balance to 426500-ZZ-ZZ</t>
        </r>
      </text>
    </comment>
    <comment ref="Q7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  <comment ref="AB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C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D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E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F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Z7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 November write off to 426500-ZZ-ZZ… </t>
        </r>
      </text>
    </comment>
  </commentList>
</comments>
</file>

<file path=xl/comments6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<sst xmlns="http://schemas.openxmlformats.org/spreadsheetml/2006/main" count="3608" uniqueCount="348">
  <si>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</si>
  <si>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</si>
  <si>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</si>
  <si>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</si>
  <si>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</si>
  <si>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</si>
  <si>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</si>
  <si>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</si>
  <si>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</si>
  <si>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</si>
  <si>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</si>
  <si>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</si>
  <si>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</si>
  <si>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</si>
  <si>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</si>
  <si>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</si>
  <si>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</si>
  <si>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</si>
  <si>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</si>
  <si>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</si>
  <si>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</si>
  <si>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</si>
  <si>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</si>
  <si>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</si>
  <si>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</si>
  <si>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</si>
  <si>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</si>
  <si>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</si>
  <si>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</si>
  <si>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</si>
  <si>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</si>
  <si>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</si>
  <si>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</si>
  <si>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</si>
  <si>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</si>
  <si>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</si>
  <si>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</si>
  <si>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</si>
  <si>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</si>
  <si>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</si>
  <si>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</si>
  <si>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</si>
  <si>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</si>
  <si>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</si>
  <si>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</si>
  <si>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</si>
  <si>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</si>
  <si>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</si>
  <si>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</si>
  <si>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</si>
  <si>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</si>
  <si>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</si>
  <si>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</si>
  <si>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</si>
  <si>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</si>
  <si>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</si>
  <si>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</si>
  <si>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</si>
  <si>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</si>
  <si>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</si>
  <si>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</si>
  <si>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</si>
  <si>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</si>
  <si>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</si>
  <si>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</si>
  <si>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</si>
  <si>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</si>
  <si>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</si>
  <si>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</si>
  <si>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</si>
  <si>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</si>
  <si>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</si>
  <si>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</si>
  <si>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</si>
  <si>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</si>
  <si>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</si>
  <si>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</si>
  <si>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</si>
  <si>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</si>
  <si>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</si>
  <si>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</si>
  <si>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</si>
  <si>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</si>
  <si>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</si>
  <si>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</si>
  <si>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</si>
  <si>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</si>
  <si>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</si>
  <si>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</si>
  <si>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</si>
  <si>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</si>
  <si>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</si>
  <si>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</si>
  <si>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</si>
  <si>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</si>
  <si>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</si>
  <si>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</si>
  <si>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</si>
  <si>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</si>
  <si>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</si>
  <si>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</si>
  <si>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</si>
  <si>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</si>
  <si>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</si>
  <si>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</si>
  <si>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</si>
  <si>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</si>
  <si>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</si>
  <si>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</si>
  <si>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</si>
  <si>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</si>
  <si>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</si>
  <si>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</si>
  <si>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</si>
  <si>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</si>
  <si>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</si>
  <si>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</si>
  <si>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</si>
  <si>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</si>
  <si>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</si>
  <si>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</si>
  <si>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</si>
  <si>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</si>
  <si>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</si>
  <si>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</si>
  <si>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</si>
  <si>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</si>
  <si>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</si>
  <si>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</si>
  <si>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</si>
  <si>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</si>
  <si>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</si>
  <si>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</si>
  <si>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</si>
  <si>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</si>
  <si>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</si>
  <si>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</si>
  <si>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</si>
  <si>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</si>
  <si>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</si>
  <si>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</si>
  <si>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</si>
  <si>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</si>
  <si>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</si>
  <si>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</si>
  <si>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</si>
  <si>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</si>
  <si>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</si>
  <si>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</si>
  <si>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</si>
  <si>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</si>
  <si>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</si>
  <si>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</si>
  <si>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</si>
  <si>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</si>
  <si>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</si>
  <si>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</si>
  <si>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</si>
  <si>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</si>
  <si>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</si>
  <si>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</si>
  <si>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</si>
  <si>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</si>
  <si>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</si>
  <si>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</si>
  <si>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</si>
  <si>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</si>
  <si>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</si>
  <si>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</si>
  <si>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</si>
  <si>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</si>
  <si>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</si>
  <si>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</si>
  <si>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</si>
  <si>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</si>
  <si>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</si>
  <si>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</si>
  <si>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</si>
  <si>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</si>
  <si>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</si>
  <si>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</si>
  <si>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</si>
  <si>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</si>
  <si>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</si>
  <si>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</si>
  <si>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</si>
  <si>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</si>
  <si>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</si>
  <si>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</si>
  <si>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</si>
  <si>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</si>
  <si>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</si>
  <si>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</si>
  <si>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</si>
  <si>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</si>
  <si>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</si>
  <si>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</si>
  <si>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</si>
  <si>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</si>
  <si>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</si>
  <si>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</si>
  <si>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</si>
  <si>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</si>
  <si>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</si>
  <si>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</si>
  <si>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</si>
  <si>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</si>
  <si>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</si>
  <si>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</si>
  <si>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</si>
  <si>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</si>
  <si>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</si>
  <si>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</si>
  <si>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</si>
  <si>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</si>
  <si>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</si>
  <si>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</si>
  <si>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</si>
  <si>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</si>
  <si>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</si>
  <si>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</si>
  <si>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</si>
  <si>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</si>
  <si>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</si>
  <si>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</si>
  <si>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</si>
  <si>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</si>
  <si>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</si>
  <si>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</si>
  <si>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</si>
  <si>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</si>
  <si>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</si>
  <si>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</si>
  <si>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</si>
  <si>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</si>
  <si>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</si>
  <si>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</si>
  <si>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</si>
  <si>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</si>
  <si>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</si>
  <si>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</si>
  <si>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</si>
  <si>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</si>
  <si>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</si>
  <si>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</si>
  <si>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</si>
  <si>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</si>
  <si>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</si>
  <si>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YTD</t>
  </si>
  <si>
    <t>PGA YTD</t>
  </si>
  <si>
    <t>Beginning Balance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</si>
  <si>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</si>
  <si>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</si>
  <si>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</si>
  <si>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</si>
  <si>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</si>
  <si>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</si>
  <si>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</si>
  <si>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</si>
  <si>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</si>
  <si>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</si>
  <si>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</si>
  <si>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</si>
  <si>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Washington Amortization</t>
  </si>
  <si>
    <t>Calendar Sales Check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</si>
  <si>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</si>
  <si>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</si>
  <si>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</si>
  <si>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</si>
  <si>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</si>
  <si>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</si>
  <si>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</si>
  <si>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</si>
  <si>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</si>
  <si>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</si>
  <si>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</si>
  <si>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</si>
  <si>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</si>
  <si>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</si>
  <si>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</si>
  <si>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</si>
  <si>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</si>
  <si>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</si>
  <si>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</si>
  <si>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</si>
  <si>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</si>
  <si>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</si>
  <si>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</si>
  <si>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</si>
  <si>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</si>
  <si>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</si>
  <si>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</si>
  <si>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</si>
  <si>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</si>
  <si>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</si>
  <si>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</si>
  <si>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</si>
  <si>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</si>
  <si>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</si>
  <si>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</si>
  <si>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</si>
  <si>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</si>
  <si>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</si>
  <si>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</si>
  <si>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M Chemical Accrual</t>
  </si>
  <si>
    <t>Schedule 102</t>
  </si>
  <si>
    <t>MAIN CALC</t>
  </si>
  <si>
    <t>Main Calc</t>
  </si>
  <si>
    <t>Wells Fargo Journal DJ 473</t>
  </si>
  <si>
    <t>Commodity Deferral</t>
  </si>
  <si>
    <t>Volume - Commodity &amp; Demand</t>
  </si>
  <si>
    <t>Volume - Demand only</t>
  </si>
  <si>
    <t>Deferred Exchange Revenue</t>
  </si>
  <si>
    <t>Other Capacity Release credit</t>
  </si>
  <si>
    <t>(   ) = Rebate</t>
  </si>
  <si>
    <t>Merchandise Processing Fee DJ 467</t>
  </si>
  <si>
    <t>804018 GD AN</t>
  </si>
  <si>
    <t>ZZ</t>
  </si>
  <si>
    <t>NO MORE ENTRY</t>
  </si>
  <si>
    <t>n/a</t>
  </si>
  <si>
    <t>BOOKED IN DECEMBER 2017:</t>
  </si>
  <si>
    <t>Month Ending</t>
  </si>
  <si>
    <t>Prior Period Adjustments</t>
  </si>
  <si>
    <t>GL WAND BALANCES</t>
  </si>
  <si>
    <t>MONTHLY RECON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</si>
  <si>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</si>
  <si>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</si>
  <si>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</si>
  <si>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</si>
  <si>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</si>
  <si>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</si>
  <si>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</si>
  <si>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</si>
  <si>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</si>
  <si>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</si>
  <si>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</si>
  <si>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</si>
  <si>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</si>
  <si>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</si>
  <si>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</si>
  <si>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Accounts 191010</t>
  </si>
  <si>
    <t>191010 - Current Unrecovered PGA Deferral</t>
  </si>
  <si>
    <t>Accounts 191000</t>
  </si>
  <si>
    <t>191000 - Recoverable Gas Costs Amortized</t>
  </si>
  <si>
    <t>Annual xfer of balance per PGA to 191000</t>
  </si>
  <si>
    <t>Annual xfer of balance per PGA to 191010</t>
  </si>
  <si>
    <t>Book Correction in April - February and March Interest Correction</t>
  </si>
  <si>
    <t>Book Correction in April for January Rate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</si>
</sst>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.0000000"/>
  </numFmts>
  <fonts count="64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i/>
      <sz val="12"/>
      <name val="Helv"/>
    </font>
    <font>
      <b/>
      <sz val="11"/>
      <name val="Arial"/>
      <family val="2"/>
    </font>
    <font>
      <b/>
      <sz val="14"/>
      <name val="Geneva"/>
    </font>
    <font>
      <strike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4">
    <xf numFmtId="39" fontId="0" fillId="0" borderId="0"/>
    <xf numFmtId="40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2" borderId="0"/>
    <xf numFmtId="9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0" fontId="37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9" fontId="21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9" fillId="0" borderId="0"/>
    <xf numFmtId="0" fontId="40" fillId="0" borderId="0"/>
    <xf numFmtId="0" fontId="9" fillId="0" borderId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/>
    <xf numFmtId="0" fontId="4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3" fillId="0" borderId="29" applyNumberFormat="0" applyFill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3">
    <xf numFmtId="39" fontId="0" fillId="0" borderId="0" xfId="0"/>
    <xf numFmtId="39" fontId="15" fillId="0" borderId="0" xfId="0" applyFont="1"/>
    <xf numFmtId="39" fontId="16" fillId="0" borderId="0" xfId="0" applyFont="1"/>
    <xf numFmtId="14" fontId="16" fillId="0" borderId="0" xfId="0" applyNumberFormat="1" applyFont="1"/>
    <xf numFmtId="43" fontId="17" fillId="0" borderId="0" xfId="0" applyNumberFormat="1" applyFont="1" applyFill="1"/>
    <xf numFmtId="39" fontId="15" fillId="0" borderId="0" xfId="0" applyFont="1" applyBorder="1"/>
    <xf numFmtId="39" fontId="15" fillId="0" borderId="0" xfId="0" applyFont="1" applyAlignment="1">
      <alignment horizontal="center"/>
    </xf>
    <xf numFmtId="39" fontId="15" fillId="0" borderId="0" xfId="0" applyFont="1" applyFill="1" applyBorder="1"/>
    <xf numFmtId="7" fontId="15" fillId="0" borderId="0" xfId="0" applyNumberFormat="1" applyFont="1" applyFill="1" applyBorder="1"/>
    <xf numFmtId="39" fontId="16" fillId="0" borderId="0" xfId="0" applyFont="1" applyAlignment="1">
      <alignment horizontal="right"/>
    </xf>
    <xf numFmtId="7" fontId="15" fillId="0" borderId="0" xfId="4" applyNumberFormat="1" applyFont="1" applyFill="1" applyBorder="1"/>
    <xf numFmtId="39" fontId="16" fillId="0" borderId="0" xfId="0" applyFont="1" applyFill="1" applyBorder="1"/>
    <xf numFmtId="39" fontId="16" fillId="0" borderId="0" xfId="0" applyFont="1" applyFill="1" applyBorder="1" applyAlignment="1">
      <alignment horizontal="center"/>
    </xf>
    <xf numFmtId="39" fontId="16" fillId="0" borderId="2" xfId="0" applyFont="1" applyFill="1" applyBorder="1" applyAlignment="1">
      <alignment horizontal="center"/>
    </xf>
    <xf numFmtId="39" fontId="17" fillId="0" borderId="4" xfId="0" applyFont="1" applyBorder="1"/>
    <xf numFmtId="39" fontId="15" fillId="0" borderId="0" xfId="0" applyFont="1" applyAlignment="1">
      <alignment horizontal="right"/>
    </xf>
    <xf numFmtId="39" fontId="16" fillId="0" borderId="0" xfId="0" applyFont="1" applyBorder="1"/>
    <xf numFmtId="37" fontId="16" fillId="0" borderId="0" xfId="0" applyNumberFormat="1" applyFont="1" applyAlignment="1">
      <alignment horizontal="center"/>
    </xf>
    <xf numFmtId="37" fontId="16" fillId="0" borderId="5" xfId="0" applyNumberFormat="1" applyFont="1" applyBorder="1" applyAlignment="1">
      <alignment horizontal="center"/>
    </xf>
    <xf numFmtId="39" fontId="10" fillId="0" borderId="0" xfId="0" applyFont="1" applyFill="1" applyBorder="1"/>
    <xf numFmtId="39" fontId="16" fillId="0" borderId="0" xfId="0" applyFont="1" applyAlignment="1">
      <alignment horizontal="left"/>
    </xf>
    <xf numFmtId="165" fontId="23" fillId="0" borderId="0" xfId="0" applyNumberFormat="1" applyFont="1" applyBorder="1" applyProtection="1"/>
    <xf numFmtId="39" fontId="15" fillId="0" borderId="0" xfId="0" applyFont="1" applyAlignment="1">
      <alignment horizontal="left"/>
    </xf>
    <xf numFmtId="165" fontId="18" fillId="0" borderId="0" xfId="0" applyNumberFormat="1" applyFont="1" applyProtection="1">
      <protection locked="0"/>
    </xf>
    <xf numFmtId="165" fontId="23" fillId="0" borderId="0" xfId="0" applyNumberFormat="1" applyFont="1" applyProtection="1">
      <protection locked="0"/>
    </xf>
    <xf numFmtId="165" fontId="15" fillId="0" borderId="0" xfId="0" applyNumberFormat="1" applyFont="1" applyProtection="1"/>
    <xf numFmtId="165" fontId="15" fillId="0" borderId="0" xfId="0" applyNumberFormat="1" applyFont="1" applyProtection="1">
      <protection locked="0"/>
    </xf>
    <xf numFmtId="170" fontId="15" fillId="0" borderId="0" xfId="0" applyNumberFormat="1" applyFont="1" applyProtection="1"/>
    <xf numFmtId="5" fontId="15" fillId="0" borderId="0" xfId="0" applyNumberFormat="1" applyFont="1" applyProtection="1"/>
    <xf numFmtId="17" fontId="16" fillId="0" borderId="17" xfId="0" applyNumberFormat="1" applyFont="1" applyBorder="1"/>
    <xf numFmtId="39" fontId="15" fillId="3" borderId="0" xfId="0" applyFont="1" applyFill="1"/>
    <xf numFmtId="5" fontId="16" fillId="0" borderId="0" xfId="0" applyNumberFormat="1" applyFont="1" applyFill="1" applyAlignment="1">
      <alignment horizontal="center"/>
    </xf>
    <xf numFmtId="5" fontId="15" fillId="0" borderId="0" xfId="0" applyNumberFormat="1" applyFont="1" applyFill="1"/>
    <xf numFmtId="17" fontId="16" fillId="3" borderId="0" xfId="0" applyNumberFormat="1" applyFont="1" applyFill="1"/>
    <xf numFmtId="5" fontId="16" fillId="3" borderId="0" xfId="0" applyNumberFormat="1" applyFont="1" applyFill="1" applyAlignment="1">
      <alignment horizontal="center"/>
    </xf>
    <xf numFmtId="5" fontId="15" fillId="3" borderId="0" xfId="0" applyNumberFormat="1" applyFont="1" applyFill="1"/>
    <xf numFmtId="7" fontId="15" fillId="3" borderId="0" xfId="0" applyNumberFormat="1" applyFont="1" applyFill="1"/>
    <xf numFmtId="7" fontId="15" fillId="3" borderId="0" xfId="0" applyNumberFormat="1" applyFont="1" applyFill="1" applyBorder="1"/>
    <xf numFmtId="39" fontId="15" fillId="0" borderId="0" xfId="0" applyFont="1" applyFill="1"/>
    <xf numFmtId="39" fontId="15" fillId="3" borderId="0" xfId="0" applyNumberFormat="1" applyFont="1" applyFill="1"/>
    <xf numFmtId="7" fontId="19" fillId="3" borderId="0" xfId="0" applyNumberFormat="1" applyFont="1" applyFill="1"/>
    <xf numFmtId="172" fontId="15" fillId="0" borderId="0" xfId="0" applyNumberFormat="1" applyFont="1" applyProtection="1"/>
    <xf numFmtId="39" fontId="15" fillId="0" borderId="0" xfId="0" applyNumberFormat="1" applyFont="1" applyProtection="1"/>
    <xf numFmtId="39" fontId="15" fillId="3" borderId="0" xfId="0" applyNumberFormat="1" applyFont="1" applyFill="1" applyBorder="1"/>
    <xf numFmtId="39" fontId="20" fillId="0" borderId="0" xfId="0" applyFont="1"/>
    <xf numFmtId="8" fontId="15" fillId="3" borderId="0" xfId="2" applyFont="1" applyFill="1" applyBorder="1"/>
    <xf numFmtId="39" fontId="15" fillId="0" borderId="9" xfId="0" applyFont="1" applyBorder="1"/>
    <xf numFmtId="39" fontId="15" fillId="0" borderId="16" xfId="0" applyFont="1" applyBorder="1"/>
    <xf numFmtId="43" fontId="15" fillId="0" borderId="0" xfId="0" applyNumberFormat="1" applyFont="1" applyFill="1" applyBorder="1"/>
    <xf numFmtId="39" fontId="15" fillId="0" borderId="9" xfId="0" applyFont="1" applyFill="1" applyBorder="1"/>
    <xf numFmtId="39" fontId="16" fillId="0" borderId="0" xfId="0" applyFont="1" applyFill="1"/>
    <xf numFmtId="164" fontId="16" fillId="0" borderId="0" xfId="0" applyNumberFormat="1" applyFont="1" applyAlignment="1">
      <alignment horizontal="left"/>
    </xf>
    <xf numFmtId="166" fontId="15" fillId="0" borderId="0" xfId="4" applyNumberFormat="1" applyFont="1"/>
    <xf numFmtId="164" fontId="15" fillId="0" borderId="0" xfId="0" applyNumberFormat="1" applyFont="1"/>
    <xf numFmtId="164" fontId="16" fillId="0" borderId="0" xfId="0" applyNumberFormat="1" applyFont="1" applyAlignment="1">
      <alignment horizontal="center"/>
    </xf>
    <xf numFmtId="39" fontId="16" fillId="0" borderId="0" xfId="0" applyFont="1" applyAlignment="1">
      <alignment horizontal="center"/>
    </xf>
    <xf numFmtId="39" fontId="16" fillId="0" borderId="0" xfId="0" applyFont="1" applyBorder="1" applyAlignment="1">
      <alignment horizontal="center"/>
    </xf>
    <xf numFmtId="166" fontId="16" fillId="0" borderId="0" xfId="4" applyNumberFormat="1" applyFont="1" applyFill="1"/>
    <xf numFmtId="164" fontId="20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 applyAlignment="1">
      <alignment horizontal="left"/>
    </xf>
    <xf numFmtId="39" fontId="20" fillId="0" borderId="0" xfId="0" applyFont="1" applyFill="1" applyProtection="1">
      <protection locked="0"/>
    </xf>
    <xf numFmtId="164" fontId="16" fillId="0" borderId="0" xfId="0" applyNumberFormat="1" applyFont="1" applyFill="1"/>
    <xf numFmtId="164" fontId="16" fillId="0" borderId="0" xfId="0" applyNumberFormat="1" applyFont="1"/>
    <xf numFmtId="39" fontId="16" fillId="0" borderId="9" xfId="0" applyFont="1" applyBorder="1"/>
    <xf numFmtId="39" fontId="16" fillId="0" borderId="9" xfId="0" applyFont="1" applyFill="1" applyBorder="1"/>
    <xf numFmtId="39" fontId="15" fillId="0" borderId="0" xfId="0" applyFont="1" applyFill="1" applyBorder="1" applyAlignment="1">
      <alignment horizontal="right"/>
    </xf>
    <xf numFmtId="39" fontId="15" fillId="0" borderId="0" xfId="0" applyFont="1" applyFill="1" applyAlignment="1">
      <alignment horizontal="right"/>
    </xf>
    <xf numFmtId="39" fontId="15" fillId="0" borderId="0" xfId="0" applyFont="1" applyBorder="1" applyAlignment="1">
      <alignment horizontal="right"/>
    </xf>
    <xf numFmtId="8" fontId="16" fillId="0" borderId="0" xfId="2" applyFont="1" applyFill="1" applyBorder="1"/>
    <xf numFmtId="39" fontId="21" fillId="0" borderId="0" xfId="0" applyFont="1"/>
    <xf numFmtId="37" fontId="16" fillId="0" borderId="0" xfId="0" applyNumberFormat="1" applyFont="1" applyAlignment="1">
      <alignment horizontal="left"/>
    </xf>
    <xf numFmtId="37" fontId="16" fillId="0" borderId="0" xfId="0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39" fontId="16" fillId="0" borderId="18" xfId="0" applyFont="1" applyBorder="1" applyAlignment="1">
      <alignment horizontal="left"/>
    </xf>
    <xf numFmtId="39" fontId="15" fillId="0" borderId="19" xfId="0" applyFont="1" applyBorder="1" applyAlignment="1">
      <alignment horizontal="center"/>
    </xf>
    <xf numFmtId="39" fontId="16" fillId="0" borderId="19" xfId="0" applyFont="1" applyBorder="1" applyAlignment="1">
      <alignment horizontal="center"/>
    </xf>
    <xf numFmtId="173" fontId="20" fillId="0" borderId="19" xfId="0" applyNumberFormat="1" applyFont="1" applyFill="1" applyBorder="1" applyAlignment="1">
      <alignment horizontal="center"/>
    </xf>
    <xf numFmtId="43" fontId="16" fillId="0" borderId="8" xfId="0" applyNumberFormat="1" applyFont="1" applyBorder="1"/>
    <xf numFmtId="37" fontId="16" fillId="0" borderId="19" xfId="0" applyNumberFormat="1" applyFont="1" applyBorder="1" applyAlignment="1">
      <alignment horizontal="center"/>
    </xf>
    <xf numFmtId="39" fontId="16" fillId="0" borderId="19" xfId="0" applyFont="1" applyBorder="1"/>
    <xf numFmtId="14" fontId="16" fillId="0" borderId="19" xfId="0" applyNumberFormat="1" applyFont="1" applyBorder="1"/>
    <xf numFmtId="43" fontId="16" fillId="0" borderId="20" xfId="0" applyNumberFormat="1" applyFont="1" applyBorder="1"/>
    <xf numFmtId="39" fontId="16" fillId="0" borderId="0" xfId="0" applyNumberFormat="1" applyFont="1" applyAlignment="1">
      <alignment horizontal="left" vertical="top"/>
    </xf>
    <xf numFmtId="39" fontId="15" fillId="0" borderId="0" xfId="0" applyNumberFormat="1" applyFont="1" applyAlignment="1">
      <alignment horizontal="left" vertical="top"/>
    </xf>
    <xf numFmtId="39" fontId="15" fillId="0" borderId="0" xfId="0" applyNumberFormat="1" applyFont="1" applyAlignment="1">
      <alignment horizontal="center" vertical="top"/>
    </xf>
    <xf numFmtId="39" fontId="16" fillId="0" borderId="0" xfId="0" applyFont="1" applyFill="1" applyBorder="1" applyAlignment="1">
      <alignment horizontal="left"/>
    </xf>
    <xf numFmtId="39" fontId="15" fillId="0" borderId="0" xfId="0" applyFont="1" applyFill="1" applyBorder="1" applyAlignment="1">
      <alignment horizontal="center"/>
    </xf>
    <xf numFmtId="39" fontId="20" fillId="0" borderId="0" xfId="0" applyFont="1" applyFill="1"/>
    <xf numFmtId="39" fontId="22" fillId="0" borderId="0" xfId="0" applyFont="1" applyFill="1" applyBorder="1"/>
    <xf numFmtId="39" fontId="22" fillId="0" borderId="8" xfId="0" applyFont="1" applyFill="1" applyBorder="1"/>
    <xf numFmtId="14" fontId="16" fillId="0" borderId="0" xfId="0" applyNumberFormat="1" applyFont="1" applyFill="1"/>
    <xf numFmtId="164" fontId="14" fillId="0" borderId="0" xfId="0" quotePrefix="1" applyNumberFormat="1" applyFont="1" applyFill="1" applyBorder="1"/>
    <xf numFmtId="39" fontId="21" fillId="0" borderId="0" xfId="0" applyFont="1" applyFill="1" applyBorder="1"/>
    <xf numFmtId="39" fontId="22" fillId="0" borderId="11" xfId="0" applyFont="1" applyFill="1" applyBorder="1"/>
    <xf numFmtId="39" fontId="22" fillId="0" borderId="17" xfId="0" applyFont="1" applyFill="1" applyBorder="1"/>
    <xf numFmtId="37" fontId="16" fillId="0" borderId="0" xfId="0" applyNumberFormat="1" applyFont="1" applyFill="1" applyAlignment="1">
      <alignment horizontal="center"/>
    </xf>
    <xf numFmtId="174" fontId="15" fillId="0" borderId="0" xfId="0" applyNumberFormat="1" applyFont="1"/>
    <xf numFmtId="7" fontId="15" fillId="0" borderId="3" xfId="0" applyNumberFormat="1" applyFont="1" applyFill="1" applyBorder="1"/>
    <xf numFmtId="39" fontId="15" fillId="0" borderId="8" xfId="0" applyFont="1" applyFill="1" applyBorder="1"/>
    <xf numFmtId="9" fontId="20" fillId="0" borderId="0" xfId="4" applyFont="1" applyFill="1" applyAlignment="1">
      <alignment horizontal="center"/>
    </xf>
    <xf numFmtId="44" fontId="15" fillId="0" borderId="0" xfId="0" applyNumberFormat="1" applyFont="1" applyFill="1" applyBorder="1"/>
    <xf numFmtId="44" fontId="16" fillId="5" borderId="0" xfId="0" applyNumberFormat="1" applyFont="1" applyFill="1" applyBorder="1"/>
    <xf numFmtId="39" fontId="16" fillId="0" borderId="10" xfId="0" applyFont="1" applyFill="1" applyBorder="1"/>
    <xf numFmtId="164" fontId="16" fillId="0" borderId="0" xfId="0" applyNumberFormat="1" applyFont="1" applyFill="1" applyAlignment="1">
      <alignment horizontal="left"/>
    </xf>
    <xf numFmtId="164" fontId="16" fillId="0" borderId="0" xfId="0" applyNumberFormat="1" applyFont="1" applyFill="1" applyAlignment="1" applyProtection="1">
      <alignment horizontal="left"/>
      <protection locked="0"/>
    </xf>
    <xf numFmtId="39" fontId="17" fillId="0" borderId="0" xfId="0" applyFont="1" applyFill="1"/>
    <xf numFmtId="39" fontId="25" fillId="0" borderId="0" xfId="0" applyFont="1" applyFill="1" applyAlignment="1">
      <alignment horizontal="center"/>
    </xf>
    <xf numFmtId="43" fontId="15" fillId="0" borderId="6" xfId="0" applyNumberFormat="1" applyFont="1" applyFill="1" applyBorder="1"/>
    <xf numFmtId="7" fontId="15" fillId="0" borderId="2" xfId="0" applyNumberFormat="1" applyFont="1" applyFill="1" applyBorder="1"/>
    <xf numFmtId="167" fontId="15" fillId="0" borderId="8" xfId="0" applyNumberFormat="1" applyFont="1" applyFill="1" applyBorder="1"/>
    <xf numFmtId="43" fontId="15" fillId="0" borderId="5" xfId="0" applyNumberFormat="1" applyFont="1" applyFill="1" applyBorder="1"/>
    <xf numFmtId="39" fontId="22" fillId="0" borderId="6" xfId="0" applyFont="1" applyFill="1" applyBorder="1"/>
    <xf numFmtId="39" fontId="22" fillId="0" borderId="0" xfId="0" applyFont="1" applyFill="1" applyBorder="1" applyAlignment="1">
      <alignment horizontal="right"/>
    </xf>
    <xf numFmtId="39" fontId="16" fillId="0" borderId="1" xfId="0" applyFont="1" applyFill="1" applyBorder="1"/>
    <xf numFmtId="37" fontId="15" fillId="0" borderId="0" xfId="0" applyNumberFormat="1" applyFont="1" applyFill="1" applyBorder="1" applyProtection="1"/>
    <xf numFmtId="44" fontId="16" fillId="0" borderId="0" xfId="2" applyNumberFormat="1" applyFont="1" applyFill="1" applyBorder="1" applyProtection="1"/>
    <xf numFmtId="39" fontId="22" fillId="0" borderId="5" xfId="0" applyFont="1" applyFill="1" applyBorder="1" applyAlignment="1">
      <alignment horizontal="right"/>
    </xf>
    <xf numFmtId="39" fontId="22" fillId="0" borderId="3" xfId="0" applyFont="1" applyFill="1" applyBorder="1" applyAlignment="1">
      <alignment horizontal="right"/>
    </xf>
    <xf numFmtId="39" fontId="22" fillId="0" borderId="5" xfId="0" applyFont="1" applyFill="1" applyBorder="1"/>
    <xf numFmtId="7" fontId="16" fillId="0" borderId="9" xfId="0" applyNumberFormat="1" applyFont="1" applyFill="1" applyBorder="1"/>
    <xf numFmtId="39" fontId="26" fillId="5" borderId="0" xfId="0" applyFont="1" applyFill="1"/>
    <xf numFmtId="171" fontId="20" fillId="0" borderId="0" xfId="0" applyNumberFormat="1" applyFont="1" applyFill="1" applyAlignment="1">
      <alignment horizontal="right"/>
    </xf>
    <xf numFmtId="44" fontId="27" fillId="0" borderId="0" xfId="0" applyNumberFormat="1" applyFont="1" applyFill="1" applyBorder="1"/>
    <xf numFmtId="17" fontId="16" fillId="0" borderId="0" xfId="0" applyNumberFormat="1" applyFont="1" applyFill="1" applyBorder="1" applyAlignment="1">
      <alignment horizontal="left"/>
    </xf>
    <xf numFmtId="8" fontId="15" fillId="0" borderId="0" xfId="2" applyFont="1" applyFill="1"/>
    <xf numFmtId="44" fontId="16" fillId="3" borderId="23" xfId="0" applyNumberFormat="1" applyFont="1" applyFill="1" applyBorder="1"/>
    <xf numFmtId="39" fontId="16" fillId="0" borderId="14" xfId="0" applyFont="1" applyFill="1" applyBorder="1" applyAlignment="1">
      <alignment horizontal="center"/>
    </xf>
    <xf numFmtId="39" fontId="16" fillId="0" borderId="3" xfId="0" applyFont="1" applyFill="1" applyBorder="1" applyAlignment="1">
      <alignment horizontal="center"/>
    </xf>
    <xf numFmtId="39" fontId="16" fillId="0" borderId="6" xfId="0" applyFont="1" applyFill="1" applyBorder="1" applyAlignment="1">
      <alignment horizontal="center"/>
    </xf>
    <xf numFmtId="39" fontId="16" fillId="0" borderId="1" xfId="0" applyFont="1" applyFill="1" applyBorder="1" applyAlignment="1">
      <alignment horizontal="center"/>
    </xf>
    <xf numFmtId="39" fontId="16" fillId="0" borderId="4" xfId="0" applyFont="1" applyFill="1" applyBorder="1" applyAlignment="1">
      <alignment horizontal="center"/>
    </xf>
    <xf numFmtId="39" fontId="16" fillId="0" borderId="5" xfId="0" applyFont="1" applyFill="1" applyBorder="1" applyAlignment="1">
      <alignment horizontal="center"/>
    </xf>
    <xf numFmtId="44" fontId="16" fillId="0" borderId="15" xfId="2" applyNumberFormat="1" applyFont="1" applyFill="1" applyBorder="1" applyProtection="1"/>
    <xf numFmtId="10" fontId="16" fillId="0" borderId="0" xfId="4" applyNumberFormat="1" applyFont="1" applyFill="1"/>
    <xf numFmtId="10" fontId="27" fillId="0" borderId="0" xfId="4" applyNumberFormat="1" applyFont="1" applyFill="1"/>
    <xf numFmtId="44" fontId="15" fillId="4" borderId="0" xfId="0" applyNumberFormat="1" applyFont="1" applyFill="1" applyBorder="1"/>
    <xf numFmtId="171" fontId="20" fillId="0" borderId="0" xfId="0" applyNumberFormat="1" applyFont="1" applyFill="1"/>
    <xf numFmtId="37" fontId="16" fillId="0" borderId="0" xfId="0" applyNumberFormat="1" applyFont="1" applyFill="1" applyBorder="1" applyAlignment="1">
      <alignment horizontal="center"/>
    </xf>
    <xf numFmtId="14" fontId="16" fillId="0" borderId="0" xfId="0" applyNumberFormat="1" applyFont="1" applyFill="1" applyBorder="1"/>
    <xf numFmtId="39" fontId="16" fillId="0" borderId="4" xfId="0" applyFont="1" applyFill="1" applyBorder="1"/>
    <xf numFmtId="37" fontId="16" fillId="0" borderId="5" xfId="0" applyNumberFormat="1" applyFont="1" applyFill="1" applyBorder="1" applyAlignment="1">
      <alignment horizontal="center"/>
    </xf>
    <xf numFmtId="37" fontId="16" fillId="0" borderId="0" xfId="0" applyNumberFormat="1" applyFont="1" applyFill="1" applyAlignment="1">
      <alignment horizontal="left"/>
    </xf>
    <xf numFmtId="39" fontId="16" fillId="0" borderId="0" xfId="0" applyFont="1" applyFill="1" applyAlignment="1">
      <alignment horizontal="right"/>
    </xf>
    <xf numFmtId="17" fontId="15" fillId="0" borderId="0" xfId="0" applyNumberFormat="1" applyFont="1" applyFill="1" applyBorder="1"/>
    <xf numFmtId="0" fontId="15" fillId="0" borderId="0" xfId="0" applyNumberFormat="1" applyFont="1"/>
    <xf numFmtId="17" fontId="16" fillId="0" borderId="10" xfId="0" applyNumberFormat="1" applyFont="1" applyBorder="1"/>
    <xf numFmtId="17" fontId="16" fillId="0" borderId="5" xfId="0" applyNumberFormat="1" applyFont="1" applyFill="1" applyBorder="1" applyAlignment="1">
      <alignment horizontal="left"/>
    </xf>
    <xf numFmtId="39" fontId="15" fillId="0" borderId="5" xfId="0" applyFont="1" applyFill="1" applyBorder="1"/>
    <xf numFmtId="39" fontId="15" fillId="0" borderId="11" xfId="0" applyFont="1" applyFill="1" applyBorder="1"/>
    <xf numFmtId="39" fontId="16" fillId="0" borderId="12" xfId="0" applyFont="1" applyFill="1" applyBorder="1" applyAlignment="1">
      <alignment horizontal="center"/>
    </xf>
    <xf numFmtId="39" fontId="16" fillId="0" borderId="13" xfId="0" applyFont="1" applyFill="1" applyBorder="1" applyAlignment="1">
      <alignment horizontal="center"/>
    </xf>
    <xf numFmtId="39" fontId="15" fillId="0" borderId="1" xfId="0" applyFont="1" applyFill="1" applyBorder="1"/>
    <xf numFmtId="39" fontId="15" fillId="0" borderId="2" xfId="0" applyFont="1" applyFill="1" applyBorder="1"/>
    <xf numFmtId="39" fontId="15" fillId="0" borderId="7" xfId="0" applyFont="1" applyFill="1" applyBorder="1"/>
    <xf numFmtId="39" fontId="15" fillId="0" borderId="4" xfId="0" applyFont="1" applyFill="1" applyBorder="1"/>
    <xf numFmtId="39" fontId="23" fillId="0" borderId="0" xfId="0" applyFont="1" applyFill="1"/>
    <xf numFmtId="43" fontId="16" fillId="0" borderId="9" xfId="0" applyNumberFormat="1" applyFont="1" applyFill="1" applyBorder="1"/>
    <xf numFmtId="39" fontId="15" fillId="5" borderId="0" xfId="0" applyNumberFormat="1" applyFont="1" applyFill="1"/>
    <xf numFmtId="39" fontId="16" fillId="0" borderId="22" xfId="0" applyFont="1" applyFill="1" applyBorder="1"/>
    <xf numFmtId="37" fontId="15" fillId="0" borderId="22" xfId="0" applyNumberFormat="1" applyFont="1" applyFill="1" applyBorder="1"/>
    <xf numFmtId="44" fontId="16" fillId="0" borderId="22" xfId="0" applyNumberFormat="1" applyFont="1" applyFill="1" applyBorder="1"/>
    <xf numFmtId="39" fontId="16" fillId="6" borderId="0" xfId="0" applyFont="1" applyFill="1"/>
    <xf numFmtId="169" fontId="16" fillId="0" borderId="14" xfId="0" applyNumberFormat="1" applyFont="1" applyFill="1" applyBorder="1" applyAlignment="1" applyProtection="1">
      <alignment horizontal="center"/>
    </xf>
    <xf numFmtId="169" fontId="16" fillId="0" borderId="15" xfId="0" applyNumberFormat="1" applyFont="1" applyFill="1" applyBorder="1" applyAlignment="1" applyProtection="1">
      <alignment horizontal="center"/>
    </xf>
    <xf numFmtId="39" fontId="16" fillId="0" borderId="15" xfId="0" applyFont="1" applyFill="1" applyBorder="1" applyAlignment="1">
      <alignment horizontal="center"/>
    </xf>
    <xf numFmtId="39" fontId="16" fillId="0" borderId="16" xfId="0" applyFont="1" applyFill="1" applyBorder="1" applyAlignment="1">
      <alignment horizontal="center"/>
    </xf>
    <xf numFmtId="168" fontId="15" fillId="0" borderId="0" xfId="0" applyNumberFormat="1" applyFont="1" applyFill="1" applyAlignment="1" applyProtection="1">
      <alignment horizontal="left"/>
    </xf>
    <xf numFmtId="44" fontId="15" fillId="0" borderId="0" xfId="0" applyNumberFormat="1" applyFont="1" applyFill="1" applyProtection="1">
      <protection locked="0"/>
    </xf>
    <xf numFmtId="44" fontId="15" fillId="0" borderId="0" xfId="0" applyNumberFormat="1" applyFont="1" applyFill="1"/>
    <xf numFmtId="39" fontId="15" fillId="0" borderId="0" xfId="0" applyFont="1" applyFill="1" applyAlignment="1">
      <alignment horizontal="left"/>
    </xf>
    <xf numFmtId="44" fontId="15" fillId="0" borderId="9" xfId="0" applyNumberFormat="1" applyFont="1" applyFill="1" applyBorder="1" applyProtection="1">
      <protection locked="0"/>
    </xf>
    <xf numFmtId="39" fontId="18" fillId="0" borderId="0" xfId="0" applyFont="1" applyFill="1"/>
    <xf numFmtId="39" fontId="18" fillId="0" borderId="0" xfId="0" applyFont="1" applyFill="1" applyAlignment="1">
      <alignment horizontal="right"/>
    </xf>
    <xf numFmtId="44" fontId="18" fillId="0" borderId="0" xfId="0" applyNumberFormat="1" applyFont="1" applyFill="1" applyAlignment="1" applyProtection="1">
      <alignment horizontal="center"/>
    </xf>
    <xf numFmtId="44" fontId="15" fillId="0" borderId="0" xfId="0" applyNumberFormat="1" applyFont="1" applyFill="1" applyProtection="1"/>
    <xf numFmtId="168" fontId="16" fillId="0" borderId="0" xfId="0" applyNumberFormat="1" applyFont="1" applyFill="1" applyAlignment="1" applyProtection="1">
      <alignment horizontal="left"/>
    </xf>
    <xf numFmtId="44" fontId="16" fillId="0" borderId="22" xfId="0" applyNumberFormat="1" applyFont="1" applyFill="1" applyBorder="1" applyProtection="1">
      <protection locked="0"/>
    </xf>
    <xf numFmtId="49" fontId="15" fillId="0" borderId="0" xfId="0" applyNumberFormat="1" applyFont="1" applyFill="1" applyProtection="1"/>
    <xf numFmtId="176" fontId="18" fillId="0" borderId="0" xfId="1" applyNumberFormat="1" applyFont="1" applyFill="1"/>
    <xf numFmtId="7" fontId="18" fillId="0" borderId="0" xfId="0" applyNumberFormat="1" applyFont="1" applyFill="1" applyAlignment="1" applyProtection="1">
      <alignment horizontal="center"/>
    </xf>
    <xf numFmtId="7" fontId="15" fillId="0" borderId="0" xfId="0" applyNumberFormat="1" applyFont="1" applyFill="1" applyProtection="1"/>
    <xf numFmtId="37" fontId="15" fillId="0" borderId="22" xfId="0" applyNumberFormat="1" applyFont="1" applyFill="1" applyBorder="1" applyProtection="1"/>
    <xf numFmtId="171" fontId="23" fillId="0" borderId="0" xfId="0" applyNumberFormat="1" applyFont="1" applyFill="1" applyBorder="1" applyAlignment="1" applyProtection="1">
      <alignment horizontal="center"/>
      <protection locked="0"/>
    </xf>
    <xf numFmtId="7" fontId="18" fillId="0" borderId="0" xfId="0" applyNumberFormat="1" applyFont="1" applyFill="1" applyBorder="1" applyAlignment="1" applyProtection="1">
      <alignment horizontal="center"/>
    </xf>
    <xf numFmtId="39" fontId="16" fillId="0" borderId="7" xfId="0" applyFont="1" applyFill="1" applyBorder="1"/>
    <xf numFmtId="39" fontId="16" fillId="0" borderId="8" xfId="0" applyFont="1" applyFill="1" applyBorder="1" applyAlignment="1">
      <alignment horizontal="center"/>
    </xf>
    <xf numFmtId="39" fontId="15" fillId="0" borderId="7" xfId="0" applyFont="1" applyFill="1" applyBorder="1" applyAlignment="1">
      <alignment horizontal="left"/>
    </xf>
    <xf numFmtId="171" fontId="15" fillId="0" borderId="0" xfId="0" applyNumberFormat="1" applyFont="1" applyFill="1" applyBorder="1" applyAlignment="1" applyProtection="1">
      <alignment horizontal="left"/>
      <protection locked="0"/>
    </xf>
    <xf numFmtId="39" fontId="15" fillId="0" borderId="4" xfId="0" applyFont="1" applyFill="1" applyBorder="1" applyAlignment="1">
      <alignment horizontal="left"/>
    </xf>
    <xf numFmtId="171" fontId="15" fillId="0" borderId="5" xfId="0" applyNumberFormat="1" applyFont="1" applyFill="1" applyBorder="1" applyAlignment="1" applyProtection="1">
      <alignment horizontal="left"/>
      <protection locked="0"/>
    </xf>
    <xf numFmtId="8" fontId="16" fillId="0" borderId="8" xfId="2" applyFont="1" applyFill="1" applyBorder="1"/>
    <xf numFmtId="8" fontId="15" fillId="0" borderId="0" xfId="2" applyFont="1" applyFill="1" applyBorder="1"/>
    <xf numFmtId="8" fontId="15" fillId="0" borderId="7" xfId="2" applyFont="1" applyFill="1" applyBorder="1"/>
    <xf numFmtId="165" fontId="15" fillId="0" borderId="0" xfId="4" applyNumberFormat="1" applyFont="1" applyFill="1" applyBorder="1"/>
    <xf numFmtId="39" fontId="16" fillId="0" borderId="4" xfId="0" applyFont="1" applyFill="1" applyBorder="1" applyAlignment="1">
      <alignment horizontal="left"/>
    </xf>
    <xf numFmtId="39" fontId="16" fillId="0" borderId="16" xfId="0" applyFont="1" applyFill="1" applyBorder="1"/>
    <xf numFmtId="44" fontId="15" fillId="0" borderId="8" xfId="2" applyNumberFormat="1" applyFont="1" applyFill="1" applyBorder="1"/>
    <xf numFmtId="44" fontId="16" fillId="0" borderId="21" xfId="2" applyNumberFormat="1" applyFont="1" applyFill="1" applyBorder="1"/>
    <xf numFmtId="8" fontId="15" fillId="0" borderId="8" xfId="2" applyFont="1" applyFill="1" applyBorder="1"/>
    <xf numFmtId="39" fontId="16" fillId="0" borderId="7" xfId="0" applyFont="1" applyFill="1" applyBorder="1" applyAlignment="1">
      <alignment horizontal="right"/>
    </xf>
    <xf numFmtId="39" fontId="15" fillId="0" borderId="7" xfId="0" applyFont="1" applyFill="1" applyBorder="1" applyAlignment="1">
      <alignment horizontal="right"/>
    </xf>
    <xf numFmtId="39" fontId="16" fillId="0" borderId="15" xfId="0" applyFont="1" applyFill="1" applyBorder="1"/>
    <xf numFmtId="39" fontId="15" fillId="6" borderId="0" xfId="0" applyFont="1" applyFill="1"/>
    <xf numFmtId="39" fontId="16" fillId="6" borderId="9" xfId="0" applyFont="1" applyFill="1" applyBorder="1"/>
    <xf numFmtId="2" fontId="15" fillId="5" borderId="0" xfId="0" applyNumberFormat="1" applyFont="1" applyFill="1"/>
    <xf numFmtId="39" fontId="15" fillId="0" borderId="3" xfId="0" applyFont="1" applyFill="1" applyBorder="1"/>
    <xf numFmtId="37" fontId="29" fillId="0" borderId="0" xfId="0" applyNumberFormat="1" applyFont="1" applyFill="1" applyAlignment="1">
      <alignment horizontal="right"/>
    </xf>
    <xf numFmtId="44" fontId="16" fillId="0" borderId="0" xfId="0" applyNumberFormat="1" applyFont="1" applyFill="1"/>
    <xf numFmtId="0" fontId="15" fillId="0" borderId="0" xfId="0" applyNumberFormat="1" applyFont="1" applyFill="1" applyBorder="1"/>
    <xf numFmtId="0" fontId="15" fillId="0" borderId="9" xfId="0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/>
    <xf numFmtId="44" fontId="16" fillId="0" borderId="7" xfId="2" applyNumberFormat="1" applyFont="1" applyFill="1" applyBorder="1" applyProtection="1"/>
    <xf numFmtId="44" fontId="15" fillId="4" borderId="24" xfId="0" applyNumberFormat="1" applyFont="1" applyFill="1" applyBorder="1"/>
    <xf numFmtId="39" fontId="15" fillId="0" borderId="25" xfId="0" applyFont="1" applyBorder="1"/>
    <xf numFmtId="177" fontId="15" fillId="0" borderId="6" xfId="0" applyNumberFormat="1" applyFont="1" applyFill="1" applyBorder="1" applyAlignment="1">
      <alignment horizontal="right"/>
    </xf>
    <xf numFmtId="177" fontId="15" fillId="0" borderId="8" xfId="0" applyNumberFormat="1" applyFont="1" applyFill="1" applyBorder="1"/>
    <xf numFmtId="178" fontId="15" fillId="0" borderId="6" xfId="2" applyNumberFormat="1" applyFont="1" applyFill="1" applyBorder="1"/>
    <xf numFmtId="39" fontId="15" fillId="0" borderId="0" xfId="0" applyFont="1" applyFill="1" applyBorder="1" applyAlignment="1">
      <alignment horizontal="center"/>
    </xf>
    <xf numFmtId="17" fontId="31" fillId="0" borderId="7" xfId="0" applyNumberFormat="1" applyFont="1" applyFill="1" applyBorder="1"/>
    <xf numFmtId="171" fontId="31" fillId="0" borderId="0" xfId="0" applyNumberFormat="1" applyFont="1" applyFill="1" applyAlignment="1">
      <alignment horizontal="right"/>
    </xf>
    <xf numFmtId="39" fontId="16" fillId="6" borderId="0" xfId="0" applyFont="1" applyFill="1" applyBorder="1"/>
    <xf numFmtId="7" fontId="15" fillId="0" borderId="8" xfId="4" applyNumberFormat="1" applyFont="1" applyFill="1" applyBorder="1"/>
    <xf numFmtId="7" fontId="15" fillId="0" borderId="8" xfId="0" applyNumberFormat="1" applyFont="1" applyFill="1" applyBorder="1"/>
    <xf numFmtId="37" fontId="31" fillId="0" borderId="0" xfId="0" applyNumberFormat="1" applyFont="1" applyFill="1"/>
    <xf numFmtId="10" fontId="31" fillId="0" borderId="0" xfId="0" applyNumberFormat="1" applyFont="1" applyFill="1" applyAlignment="1">
      <alignment horizontal="right"/>
    </xf>
    <xf numFmtId="8" fontId="31" fillId="0" borderId="9" xfId="2" applyFont="1" applyFill="1" applyBorder="1"/>
    <xf numFmtId="39" fontId="22" fillId="0" borderId="8" xfId="0" applyFont="1" applyFill="1" applyBorder="1" applyAlignment="1">
      <alignment horizontal="right"/>
    </xf>
    <xf numFmtId="39" fontId="15" fillId="0" borderId="17" xfId="0" applyFont="1" applyBorder="1"/>
    <xf numFmtId="39" fontId="15" fillId="0" borderId="0" xfId="0" applyFont="1" applyFill="1" applyBorder="1" applyAlignment="1">
      <alignment horizontal="center"/>
    </xf>
    <xf numFmtId="37" fontId="30" fillId="0" borderId="0" xfId="0" applyNumberFormat="1" applyFont="1" applyFill="1" applyBorder="1"/>
    <xf numFmtId="37" fontId="31" fillId="0" borderId="0" xfId="0" applyNumberFormat="1" applyFont="1" applyFill="1" applyBorder="1" applyProtection="1"/>
    <xf numFmtId="37" fontId="31" fillId="0" borderId="5" xfId="0" applyNumberFormat="1" applyFont="1" applyFill="1" applyBorder="1" applyProtection="1"/>
    <xf numFmtId="171" fontId="31" fillId="0" borderId="0" xfId="0" applyNumberFormat="1" applyFont="1" applyFill="1" applyBorder="1" applyAlignment="1" applyProtection="1">
      <alignment horizontal="center"/>
      <protection locked="0"/>
    </xf>
    <xf numFmtId="44" fontId="31" fillId="0" borderId="10" xfId="2" applyNumberFormat="1" applyFont="1" applyFill="1" applyBorder="1" applyProtection="1"/>
    <xf numFmtId="44" fontId="31" fillId="0" borderId="11" xfId="2" applyNumberFormat="1" applyFont="1" applyFill="1" applyBorder="1" applyProtection="1"/>
    <xf numFmtId="44" fontId="31" fillId="0" borderId="17" xfId="2" applyNumberFormat="1" applyFont="1" applyFill="1" applyBorder="1" applyProtection="1"/>
    <xf numFmtId="10" fontId="20" fillId="0" borderId="0" xfId="4" applyNumberFormat="1" applyFont="1" applyFill="1"/>
    <xf numFmtId="171" fontId="31" fillId="0" borderId="0" xfId="0" applyNumberFormat="1" applyFont="1" applyFill="1" applyAlignment="1">
      <alignment horizontal="center"/>
    </xf>
    <xf numFmtId="39" fontId="30" fillId="0" borderId="0" xfId="0" applyFont="1"/>
    <xf numFmtId="39" fontId="27" fillId="6" borderId="0" xfId="0" applyFont="1" applyFill="1" applyProtection="1">
      <protection locked="0"/>
    </xf>
    <xf numFmtId="39" fontId="20" fillId="6" borderId="0" xfId="0" applyFont="1" applyFill="1" applyProtection="1">
      <protection locked="0"/>
    </xf>
    <xf numFmtId="39" fontId="20" fillId="6" borderId="0" xfId="0" applyFont="1" applyFill="1"/>
    <xf numFmtId="39" fontId="29" fillId="6" borderId="0" xfId="0" applyNumberFormat="1" applyFont="1" applyFill="1" applyAlignment="1">
      <alignment horizontal="right"/>
    </xf>
    <xf numFmtId="39" fontId="27" fillId="6" borderId="0" xfId="0" applyFont="1" applyFill="1"/>
    <xf numFmtId="2" fontId="15" fillId="0" borderId="0" xfId="0" applyNumberFormat="1" applyFont="1" applyFill="1" applyBorder="1" applyAlignment="1">
      <alignment horizontal="right"/>
    </xf>
    <xf numFmtId="39" fontId="16" fillId="7" borderId="0" xfId="0" applyFont="1" applyFill="1"/>
    <xf numFmtId="39" fontId="27" fillId="7" borderId="0" xfId="0" applyFont="1" applyFill="1" applyProtection="1">
      <protection locked="0"/>
    </xf>
    <xf numFmtId="39" fontId="20" fillId="7" borderId="0" xfId="0" applyFont="1" applyFill="1" applyProtection="1">
      <protection locked="0"/>
    </xf>
    <xf numFmtId="39" fontId="20" fillId="7" borderId="0" xfId="0" applyFont="1" applyFill="1"/>
    <xf numFmtId="37" fontId="20" fillId="7" borderId="0" xfId="0" applyNumberFormat="1" applyFont="1" applyFill="1"/>
    <xf numFmtId="37" fontId="27" fillId="7" borderId="0" xfId="0" applyNumberFormat="1" applyFont="1" applyFill="1" applyBorder="1" applyAlignment="1" applyProtection="1">
      <alignment horizontal="center"/>
    </xf>
    <xf numFmtId="37" fontId="20" fillId="7" borderId="0" xfId="0" applyNumberFormat="1" applyFont="1" applyFill="1" applyAlignment="1">
      <alignment horizontal="right"/>
    </xf>
    <xf numFmtId="37" fontId="15" fillId="7" borderId="22" xfId="0" applyNumberFormat="1" applyFont="1" applyFill="1" applyBorder="1"/>
    <xf numFmtId="37" fontId="31" fillId="7" borderId="0" xfId="0" applyNumberFormat="1" applyFont="1" applyFill="1"/>
    <xf numFmtId="164" fontId="15" fillId="6" borderId="0" xfId="0" applyNumberFormat="1" applyFont="1" applyFill="1"/>
    <xf numFmtId="44" fontId="15" fillId="6" borderId="0" xfId="0" applyNumberFormat="1" applyFont="1" applyFill="1" applyBorder="1"/>
    <xf numFmtId="39" fontId="16" fillId="6" borderId="22" xfId="0" applyFont="1" applyFill="1" applyBorder="1"/>
    <xf numFmtId="39" fontId="16" fillId="6" borderId="0" xfId="0" applyFont="1" applyFill="1" applyAlignment="1">
      <alignment horizontal="right"/>
    </xf>
    <xf numFmtId="7" fontId="15" fillId="4" borderId="0" xfId="0" applyNumberFormat="1" applyFont="1" applyFill="1" applyBorder="1"/>
    <xf numFmtId="44" fontId="16" fillId="0" borderId="26" xfId="2" applyNumberFormat="1" applyFont="1" applyFill="1" applyBorder="1" applyProtection="1"/>
    <xf numFmtId="38" fontId="27" fillId="0" borderId="0" xfId="1" applyNumberFormat="1" applyFont="1" applyFill="1" applyBorder="1" applyProtection="1"/>
    <xf numFmtId="38" fontId="15" fillId="0" borderId="0" xfId="1" applyNumberFormat="1" applyFont="1" applyFill="1" applyBorder="1" applyProtection="1"/>
    <xf numFmtId="38" fontId="27" fillId="0" borderId="9" xfId="1" applyNumberFormat="1" applyFont="1" applyFill="1" applyBorder="1" applyProtection="1"/>
    <xf numFmtId="39" fontId="11" fillId="0" borderId="0" xfId="0" applyFont="1" applyFill="1" applyBorder="1"/>
    <xf numFmtId="175" fontId="34" fillId="8" borderId="0" xfId="0" applyNumberFormat="1" applyFont="1" applyFill="1"/>
    <xf numFmtId="39" fontId="11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1" fillId="0" borderId="27" xfId="0" applyFont="1" applyBorder="1"/>
    <xf numFmtId="179" fontId="11" fillId="0" borderId="27" xfId="1" applyNumberFormat="1" applyFont="1" applyBorder="1"/>
    <xf numFmtId="38" fontId="15" fillId="0" borderId="0" xfId="1" applyNumberFormat="1" applyFont="1"/>
    <xf numFmtId="0" fontId="36" fillId="0" borderId="0" xfId="6" applyFont="1"/>
    <xf numFmtId="0" fontId="35" fillId="0" borderId="0" xfId="6"/>
    <xf numFmtId="37" fontId="16" fillId="0" borderId="0" xfId="6" applyNumberFormat="1" applyFont="1" applyFill="1" applyBorder="1" applyAlignment="1">
      <alignment horizontal="center"/>
    </xf>
    <xf numFmtId="39" fontId="16" fillId="0" borderId="0" xfId="6" applyNumberFormat="1" applyFont="1" applyFill="1" applyBorder="1" applyAlignment="1">
      <alignment horizontal="center"/>
    </xf>
    <xf numFmtId="14" fontId="16" fillId="0" borderId="0" xfId="6" applyNumberFormat="1" applyFont="1" applyFill="1" applyBorder="1"/>
    <xf numFmtId="43" fontId="16" fillId="0" borderId="8" xfId="6" applyNumberFormat="1" applyFont="1" applyBorder="1"/>
    <xf numFmtId="39" fontId="16" fillId="0" borderId="4" xfId="6" applyNumberFormat="1" applyFont="1" applyFill="1" applyBorder="1"/>
    <xf numFmtId="37" fontId="16" fillId="0" borderId="5" xfId="6" applyNumberFormat="1" applyFont="1" applyFill="1" applyBorder="1" applyAlignment="1">
      <alignment horizontal="center"/>
    </xf>
    <xf numFmtId="39" fontId="16" fillId="0" borderId="5" xfId="6" applyNumberFormat="1" applyFont="1" applyFill="1" applyBorder="1" applyAlignment="1">
      <alignment horizontal="center"/>
    </xf>
    <xf numFmtId="39" fontId="16" fillId="0" borderId="6" xfId="6" applyNumberFormat="1" applyFont="1" applyFill="1" applyBorder="1" applyAlignment="1">
      <alignment horizontal="center"/>
    </xf>
    <xf numFmtId="39" fontId="16" fillId="0" borderId="0" xfId="6" applyNumberFormat="1" applyFont="1" applyFill="1"/>
    <xf numFmtId="37" fontId="16" fillId="0" borderId="0" xfId="6" applyNumberFormat="1" applyFont="1" applyFill="1" applyAlignment="1">
      <alignment horizontal="center"/>
    </xf>
    <xf numFmtId="37" fontId="29" fillId="0" borderId="0" xfId="6" applyNumberFormat="1" applyFont="1" applyFill="1" applyAlignment="1">
      <alignment horizontal="right"/>
    </xf>
    <xf numFmtId="171" fontId="31" fillId="0" borderId="0" xfId="6" applyNumberFormat="1" applyFont="1" applyFill="1" applyBorder="1" applyAlignment="1" applyProtection="1">
      <alignment horizontal="center"/>
      <protection locked="0"/>
    </xf>
    <xf numFmtId="44" fontId="15" fillId="0" borderId="0" xfId="6" applyNumberFormat="1" applyFont="1" applyFill="1"/>
    <xf numFmtId="17" fontId="16" fillId="0" borderId="0" xfId="6" applyNumberFormat="1" applyFont="1" applyFill="1" applyBorder="1" applyAlignment="1">
      <alignment horizontal="left"/>
    </xf>
    <xf numFmtId="39" fontId="15" fillId="0" borderId="0" xfId="6" applyNumberFormat="1" applyFont="1" applyFill="1"/>
    <xf numFmtId="39" fontId="16" fillId="0" borderId="23" xfId="6" applyNumberFormat="1" applyFont="1" applyFill="1" applyBorder="1"/>
    <xf numFmtId="39" fontId="15" fillId="0" borderId="23" xfId="6" applyNumberFormat="1" applyFont="1" applyFill="1" applyBorder="1"/>
    <xf numFmtId="39" fontId="16" fillId="0" borderId="23" xfId="6" applyNumberFormat="1" applyFont="1" applyFill="1" applyBorder="1" applyAlignment="1">
      <alignment horizontal="center"/>
    </xf>
    <xf numFmtId="39" fontId="15" fillId="0" borderId="7" xfId="6" applyNumberFormat="1" applyFont="1" applyFill="1" applyBorder="1"/>
    <xf numFmtId="39" fontId="15" fillId="0" borderId="0" xfId="6" applyNumberFormat="1" applyFont="1" applyFill="1" applyBorder="1"/>
    <xf numFmtId="44" fontId="15" fillId="0" borderId="0" xfId="6" applyNumberFormat="1" applyFont="1" applyFill="1" applyBorder="1"/>
    <xf numFmtId="43" fontId="15" fillId="0" borderId="8" xfId="8" applyFont="1" applyFill="1" applyBorder="1"/>
    <xf numFmtId="39" fontId="15" fillId="0" borderId="4" xfId="6" applyNumberFormat="1" applyFont="1" applyFill="1" applyBorder="1"/>
    <xf numFmtId="39" fontId="15" fillId="0" borderId="5" xfId="6" applyNumberFormat="1" applyFont="1" applyFill="1" applyBorder="1"/>
    <xf numFmtId="43" fontId="15" fillId="0" borderId="5" xfId="6" applyNumberFormat="1" applyFont="1" applyFill="1" applyBorder="1"/>
    <xf numFmtId="43" fontId="15" fillId="0" borderId="6" xfId="6" applyNumberFormat="1" applyFont="1" applyFill="1" applyBorder="1"/>
    <xf numFmtId="44" fontId="15" fillId="4" borderId="0" xfId="6" applyNumberFormat="1" applyFont="1" applyFill="1" applyBorder="1"/>
    <xf numFmtId="44" fontId="15" fillId="0" borderId="9" xfId="6" applyNumberFormat="1" applyFont="1" applyFill="1" applyBorder="1"/>
    <xf numFmtId="37" fontId="15" fillId="0" borderId="22" xfId="6" applyNumberFormat="1" applyFont="1" applyFill="1" applyBorder="1"/>
    <xf numFmtId="39" fontId="16" fillId="0" borderId="0" xfId="6" applyNumberFormat="1" applyFont="1" applyFill="1" applyAlignment="1">
      <alignment horizontal="right"/>
    </xf>
    <xf numFmtId="44" fontId="16" fillId="0" borderId="0" xfId="6" applyNumberFormat="1" applyFont="1" applyFill="1"/>
    <xf numFmtId="37" fontId="30" fillId="0" borderId="0" xfId="6" applyNumberFormat="1" applyFont="1" applyFill="1" applyBorder="1"/>
    <xf numFmtId="14" fontId="16" fillId="0" borderId="0" xfId="6" applyNumberFormat="1" applyFont="1" applyFill="1"/>
    <xf numFmtId="43" fontId="16" fillId="0" borderId="0" xfId="6" applyNumberFormat="1" applyFont="1" applyFill="1" applyBorder="1"/>
    <xf numFmtId="37" fontId="31" fillId="9" borderId="0" xfId="6" applyNumberFormat="1" applyFont="1" applyFill="1"/>
    <xf numFmtId="44" fontId="16" fillId="7" borderId="0" xfId="0" applyNumberFormat="1" applyFont="1" applyFill="1" applyBorder="1"/>
    <xf numFmtId="44" fontId="27" fillId="7" borderId="0" xfId="0" applyNumberFormat="1" applyFont="1" applyFill="1" applyBorder="1"/>
    <xf numFmtId="8" fontId="27" fillId="7" borderId="0" xfId="0" applyNumberFormat="1" applyFont="1" applyFill="1" applyBorder="1"/>
    <xf numFmtId="8" fontId="27" fillId="7" borderId="9" xfId="0" applyNumberFormat="1" applyFont="1" applyFill="1" applyBorder="1"/>
    <xf numFmtId="39" fontId="16" fillId="7" borderId="0" xfId="0" applyFont="1" applyFill="1" applyBorder="1"/>
    <xf numFmtId="37" fontId="30" fillId="7" borderId="0" xfId="0" applyNumberFormat="1" applyFont="1" applyFill="1" applyBorder="1"/>
    <xf numFmtId="39" fontId="15" fillId="0" borderId="4" xfId="0" applyFont="1" applyBorder="1"/>
    <xf numFmtId="39" fontId="15" fillId="0" borderId="6" xfId="0" applyFont="1" applyBorder="1"/>
    <xf numFmtId="181" fontId="15" fillId="0" borderId="0" xfId="0" applyNumberFormat="1" applyFont="1"/>
    <xf numFmtId="181" fontId="16" fillId="0" borderId="20" xfId="0" applyNumberFormat="1" applyFont="1" applyBorder="1" applyAlignment="1">
      <alignment horizontal="center"/>
    </xf>
    <xf numFmtId="181" fontId="16" fillId="0" borderId="8" xfId="0" applyNumberFormat="1" applyFont="1" applyBorder="1" applyAlignment="1">
      <alignment horizontal="center"/>
    </xf>
    <xf numFmtId="181" fontId="16" fillId="0" borderId="6" xfId="0" applyNumberFormat="1" applyFont="1" applyFill="1" applyBorder="1" applyAlignment="1">
      <alignment horizontal="center"/>
    </xf>
    <xf numFmtId="181" fontId="15" fillId="0" borderId="0" xfId="0" applyNumberFormat="1" applyFont="1" applyFill="1"/>
    <xf numFmtId="181" fontId="31" fillId="0" borderId="9" xfId="0" applyNumberFormat="1" applyFont="1" applyFill="1" applyBorder="1"/>
    <xf numFmtId="181" fontId="16" fillId="0" borderId="0" xfId="0" applyNumberFormat="1" applyFont="1" applyFill="1"/>
    <xf numFmtId="181" fontId="15" fillId="0" borderId="9" xfId="0" applyNumberFormat="1" applyFont="1" applyFill="1" applyBorder="1"/>
    <xf numFmtId="181" fontId="16" fillId="0" borderId="9" xfId="0" applyNumberFormat="1" applyFont="1" applyFill="1" applyBorder="1"/>
    <xf numFmtId="181" fontId="16" fillId="0" borderId="22" xfId="0" applyNumberFormat="1" applyFont="1" applyFill="1" applyBorder="1"/>
    <xf numFmtId="7" fontId="15" fillId="6" borderId="0" xfId="0" applyNumberFormat="1" applyFont="1" applyFill="1" applyBorder="1"/>
    <xf numFmtId="39" fontId="15" fillId="0" borderId="0" xfId="0" applyFont="1"/>
    <xf numFmtId="39" fontId="15" fillId="0" borderId="11" xfId="0" applyFont="1" applyBorder="1"/>
    <xf numFmtId="39" fontId="15" fillId="0" borderId="0" xfId="0" applyFont="1" applyFill="1"/>
    <xf numFmtId="39" fontId="14" fillId="0" borderId="7" xfId="0" applyFont="1" applyFill="1" applyBorder="1"/>
    <xf numFmtId="39" fontId="21" fillId="0" borderId="0" xfId="0" applyFont="1" applyFill="1" applyBorder="1"/>
    <xf numFmtId="39" fontId="11" fillId="0" borderId="10" xfId="0" applyFont="1" applyFill="1" applyBorder="1"/>
    <xf numFmtId="39" fontId="21" fillId="0" borderId="8" xfId="0" applyFont="1" applyFill="1" applyBorder="1"/>
    <xf numFmtId="44" fontId="15" fillId="4" borderId="0" xfId="0" applyNumberFormat="1" applyFont="1" applyFill="1" applyBorder="1"/>
    <xf numFmtId="164" fontId="14" fillId="0" borderId="0" xfId="0" applyNumberFormat="1" applyFont="1" applyFill="1" applyBorder="1"/>
    <xf numFmtId="9" fontId="14" fillId="0" borderId="7" xfId="0" applyNumberFormat="1" applyFont="1" applyFill="1" applyBorder="1"/>
    <xf numFmtId="164" fontId="14" fillId="0" borderId="5" xfId="0" quotePrefix="1" applyNumberFormat="1" applyFont="1" applyFill="1" applyBorder="1"/>
    <xf numFmtId="39" fontId="21" fillId="0" borderId="7" xfId="0" applyFont="1" applyFill="1" applyBorder="1"/>
    <xf numFmtId="39" fontId="21" fillId="0" borderId="4" xfId="0" applyFont="1" applyFill="1" applyBorder="1"/>
    <xf numFmtId="39" fontId="14" fillId="0" borderId="0" xfId="0" applyFont="1" applyFill="1" applyBorder="1"/>
    <xf numFmtId="39" fontId="14" fillId="0" borderId="1" xfId="0" applyFont="1" applyFill="1" applyBorder="1"/>
    <xf numFmtId="164" fontId="14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5" fillId="0" borderId="10" xfId="0" applyNumberFormat="1" applyFont="1" applyFill="1" applyBorder="1"/>
    <xf numFmtId="7" fontId="31" fillId="7" borderId="0" xfId="0" applyNumberFormat="1" applyFont="1" applyFill="1" applyBorder="1"/>
    <xf numFmtId="7" fontId="15" fillId="0" borderId="0" xfId="1" applyNumberFormat="1" applyFont="1"/>
    <xf numFmtId="39" fontId="27" fillId="7" borderId="0" xfId="0" applyFont="1" applyFill="1" applyBorder="1" applyProtection="1">
      <protection locked="0"/>
    </xf>
    <xf numFmtId="39" fontId="20" fillId="7" borderId="0" xfId="0" applyFont="1" applyFill="1" applyBorder="1" applyProtection="1">
      <protection locked="0"/>
    </xf>
    <xf numFmtId="39" fontId="20" fillId="7" borderId="0" xfId="0" applyFont="1" applyFill="1" applyBorder="1"/>
    <xf numFmtId="164" fontId="15" fillId="7" borderId="0" xfId="0" applyNumberFormat="1" applyFont="1" applyFill="1" applyBorder="1"/>
    <xf numFmtId="39" fontId="15" fillId="7" borderId="0" xfId="0" applyFont="1" applyFill="1" applyBorder="1"/>
    <xf numFmtId="39" fontId="11" fillId="7" borderId="0" xfId="0" applyFont="1" applyFill="1" applyBorder="1"/>
    <xf numFmtId="164" fontId="20" fillId="7" borderId="0" xfId="0" applyNumberFormat="1" applyFont="1" applyFill="1" applyBorder="1" applyAlignment="1" applyProtection="1">
      <alignment horizontal="left"/>
      <protection locked="0"/>
    </xf>
    <xf numFmtId="39" fontId="16" fillId="7" borderId="0" xfId="0" applyFont="1" applyFill="1" applyBorder="1" applyAlignment="1">
      <alignment horizontal="left"/>
    </xf>
    <xf numFmtId="39" fontId="25" fillId="7" borderId="0" xfId="0" applyFont="1" applyFill="1" applyBorder="1" applyAlignment="1">
      <alignment horizontal="center"/>
    </xf>
    <xf numFmtId="39" fontId="14" fillId="7" borderId="0" xfId="0" applyFont="1" applyFill="1" applyBorder="1"/>
    <xf numFmtId="164" fontId="14" fillId="7" borderId="0" xfId="0" applyNumberFormat="1" applyFont="1" applyFill="1" applyBorder="1"/>
    <xf numFmtId="39" fontId="22" fillId="7" borderId="0" xfId="0" applyFont="1" applyFill="1" applyBorder="1" applyAlignment="1">
      <alignment horizontal="right"/>
    </xf>
    <xf numFmtId="164" fontId="16" fillId="7" borderId="0" xfId="0" applyNumberFormat="1" applyFont="1" applyFill="1" applyBorder="1"/>
    <xf numFmtId="39" fontId="0" fillId="7" borderId="0" xfId="0" applyFill="1" applyBorder="1"/>
    <xf numFmtId="164" fontId="0" fillId="7" borderId="0" xfId="0" applyNumberFormat="1" applyFill="1" applyBorder="1"/>
    <xf numFmtId="39" fontId="17" fillId="7" borderId="0" xfId="0" applyFont="1" applyFill="1" applyBorder="1"/>
    <xf numFmtId="9" fontId="14" fillId="7" borderId="0" xfId="0" applyNumberFormat="1" applyFont="1" applyFill="1" applyBorder="1"/>
    <xf numFmtId="39" fontId="22" fillId="7" borderId="0" xfId="0" applyFont="1" applyFill="1" applyBorder="1"/>
    <xf numFmtId="9" fontId="20" fillId="7" borderId="0" xfId="4" applyFont="1" applyFill="1" applyBorder="1" applyAlignment="1">
      <alignment horizontal="center"/>
    </xf>
    <xf numFmtId="39" fontId="21" fillId="7" borderId="0" xfId="0" applyFont="1" applyFill="1" applyBorder="1"/>
    <xf numFmtId="164" fontId="16" fillId="7" borderId="0" xfId="0" applyNumberFormat="1" applyFont="1" applyFill="1" applyBorder="1" applyAlignment="1" applyProtection="1">
      <alignment horizontal="left"/>
      <protection locked="0"/>
    </xf>
    <xf numFmtId="164" fontId="14" fillId="7" borderId="0" xfId="0" quotePrefix="1" applyNumberFormat="1" applyFont="1" applyFill="1" applyBorder="1"/>
    <xf numFmtId="44" fontId="15" fillId="7" borderId="0" xfId="0" applyNumberFormat="1" applyFont="1" applyFill="1" applyBorder="1"/>
    <xf numFmtId="7" fontId="15" fillId="7" borderId="0" xfId="0" applyNumberFormat="1" applyFont="1" applyFill="1" applyBorder="1"/>
    <xf numFmtId="39" fontId="15" fillId="7" borderId="0" xfId="0" applyFont="1" applyFill="1" applyBorder="1" applyAlignment="1">
      <alignment horizontal="left" indent="2"/>
    </xf>
    <xf numFmtId="39" fontId="16" fillId="7" borderId="0" xfId="0" applyFont="1" applyFill="1" applyBorder="1" applyAlignment="1">
      <alignment horizontal="center"/>
    </xf>
    <xf numFmtId="39" fontId="14" fillId="7" borderId="0" xfId="0" applyFont="1" applyFill="1" applyBorder="1" applyAlignment="1">
      <alignment horizontal="right"/>
    </xf>
    <xf numFmtId="40" fontId="15" fillId="7" borderId="0" xfId="1" applyFont="1" applyFill="1" applyBorder="1"/>
    <xf numFmtId="164" fontId="15" fillId="7" borderId="0" xfId="0" applyNumberFormat="1" applyFont="1" applyFill="1"/>
    <xf numFmtId="39" fontId="16" fillId="7" borderId="9" xfId="0" applyFont="1" applyFill="1" applyBorder="1"/>
    <xf numFmtId="39" fontId="15" fillId="7" borderId="0" xfId="0" applyFont="1" applyFill="1"/>
    <xf numFmtId="39" fontId="16" fillId="7" borderId="22" xfId="0" applyFont="1" applyFill="1" applyBorder="1"/>
    <xf numFmtId="39" fontId="15" fillId="0" borderId="0" xfId="0" applyFont="1"/>
    <xf numFmtId="39" fontId="15" fillId="0" borderId="0" xfId="0" applyFont="1" applyFill="1"/>
    <xf numFmtId="39" fontId="15" fillId="5" borderId="1" xfId="0" applyFont="1" applyFill="1" applyBorder="1"/>
    <xf numFmtId="39" fontId="15" fillId="5" borderId="3" xfId="0" applyFont="1" applyFill="1" applyBorder="1"/>
    <xf numFmtId="39" fontId="16" fillId="6" borderId="0" xfId="0" applyFont="1" applyFill="1" applyBorder="1"/>
    <xf numFmtId="171" fontId="31" fillId="0" borderId="0" xfId="0" applyNumberFormat="1" applyFont="1" applyFill="1" applyBorder="1" applyAlignment="1" applyProtection="1">
      <alignment horizontal="center"/>
      <protection locked="0"/>
    </xf>
    <xf numFmtId="39" fontId="16" fillId="6" borderId="22" xfId="0" applyFont="1" applyFill="1" applyBorder="1"/>
    <xf numFmtId="39" fontId="22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5" fillId="0" borderId="3" xfId="4" applyNumberFormat="1" applyFont="1" applyFill="1" applyBorder="1"/>
    <xf numFmtId="181" fontId="15" fillId="0" borderId="0" xfId="4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42" fillId="0" borderId="0" xfId="0" applyNumberFormat="1" applyFont="1"/>
    <xf numFmtId="39" fontId="15" fillId="0" borderId="0" xfId="0" applyFont="1" applyFill="1" applyBorder="1" applyAlignment="1">
      <alignment horizontal="center"/>
    </xf>
    <xf numFmtId="17" fontId="16" fillId="6" borderId="5" xfId="0" applyNumberFormat="1" applyFont="1" applyFill="1" applyBorder="1" applyAlignment="1">
      <alignment horizontal="left"/>
    </xf>
    <xf numFmtId="39" fontId="15" fillId="6" borderId="5" xfId="0" applyFont="1" applyFill="1" applyBorder="1"/>
    <xf numFmtId="39" fontId="16" fillId="6" borderId="10" xfId="0" applyFont="1" applyFill="1" applyBorder="1"/>
    <xf numFmtId="39" fontId="15" fillId="6" borderId="11" xfId="0" applyFont="1" applyFill="1" applyBorder="1"/>
    <xf numFmtId="39" fontId="16" fillId="6" borderId="12" xfId="0" applyFont="1" applyFill="1" applyBorder="1" applyAlignment="1">
      <alignment horizontal="center"/>
    </xf>
    <xf numFmtId="39" fontId="16" fillId="6" borderId="13" xfId="0" applyFont="1" applyFill="1" applyBorder="1" applyAlignment="1">
      <alignment horizontal="center"/>
    </xf>
    <xf numFmtId="39" fontId="15" fillId="6" borderId="1" xfId="0" applyFont="1" applyFill="1" applyBorder="1"/>
    <xf numFmtId="39" fontId="15" fillId="6" borderId="2" xfId="0" applyFont="1" applyFill="1" applyBorder="1"/>
    <xf numFmtId="7" fontId="15" fillId="6" borderId="2" xfId="0" applyNumberFormat="1" applyFont="1" applyFill="1" applyBorder="1"/>
    <xf numFmtId="181" fontId="15" fillId="6" borderId="3" xfId="4" applyNumberFormat="1" applyFont="1" applyFill="1" applyBorder="1"/>
    <xf numFmtId="39" fontId="15" fillId="6" borderId="7" xfId="0" applyFont="1" applyFill="1" applyBorder="1"/>
    <xf numFmtId="39" fontId="15" fillId="6" borderId="0" xfId="0" applyFont="1" applyFill="1" applyBorder="1"/>
    <xf numFmtId="181" fontId="15" fillId="6" borderId="0" xfId="4" applyNumberFormat="1" applyFont="1" applyFill="1" applyBorder="1"/>
    <xf numFmtId="7" fontId="15" fillId="6" borderId="8" xfId="4" applyNumberFormat="1" applyFont="1" applyFill="1" applyBorder="1"/>
    <xf numFmtId="39" fontId="15" fillId="6" borderId="8" xfId="0" applyFont="1" applyFill="1" applyBorder="1"/>
    <xf numFmtId="167" fontId="15" fillId="6" borderId="8" xfId="0" applyNumberFormat="1" applyFont="1" applyFill="1" applyBorder="1"/>
    <xf numFmtId="39" fontId="15" fillId="6" borderId="4" xfId="0" applyFont="1" applyFill="1" applyBorder="1"/>
    <xf numFmtId="43" fontId="15" fillId="6" borderId="5" xfId="0" applyNumberFormat="1" applyFont="1" applyFill="1" applyBorder="1"/>
    <xf numFmtId="7" fontId="15" fillId="6" borderId="6" xfId="0" applyNumberFormat="1" applyFont="1" applyFill="1" applyBorder="1"/>
    <xf numFmtId="39" fontId="11" fillId="6" borderId="10" xfId="0" applyFont="1" applyFill="1" applyBorder="1"/>
    <xf numFmtId="39" fontId="15" fillId="6" borderId="17" xfId="0" applyFont="1" applyFill="1" applyBorder="1"/>
    <xf numFmtId="164" fontId="20" fillId="6" borderId="0" xfId="0" applyNumberFormat="1" applyFont="1" applyFill="1" applyAlignment="1" applyProtection="1">
      <alignment horizontal="left"/>
      <protection locked="0"/>
    </xf>
    <xf numFmtId="39" fontId="16" fillId="6" borderId="0" xfId="0" applyFont="1" applyFill="1" applyAlignment="1">
      <alignment horizontal="left"/>
    </xf>
    <xf numFmtId="39" fontId="25" fillId="6" borderId="0" xfId="0" applyFont="1" applyFill="1" applyAlignment="1">
      <alignment horizontal="center"/>
    </xf>
    <xf numFmtId="39" fontId="14" fillId="6" borderId="1" xfId="0" applyFont="1" applyFill="1" applyBorder="1"/>
    <xf numFmtId="164" fontId="14" fillId="6" borderId="2" xfId="0" applyNumberFormat="1" applyFont="1" applyFill="1" applyBorder="1"/>
    <xf numFmtId="39" fontId="22" fillId="6" borderId="0" xfId="0" applyFont="1" applyFill="1" applyBorder="1" applyAlignment="1">
      <alignment horizontal="right"/>
    </xf>
    <xf numFmtId="39" fontId="22" fillId="6" borderId="3" xfId="0" applyFont="1" applyFill="1" applyBorder="1" applyAlignment="1">
      <alignment horizontal="right"/>
    </xf>
    <xf numFmtId="164" fontId="16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2" fillId="6" borderId="8" xfId="0" applyFont="1" applyFill="1" applyBorder="1" applyAlignment="1">
      <alignment horizontal="right"/>
    </xf>
    <xf numFmtId="39" fontId="17" fillId="6" borderId="0" xfId="0" applyFont="1" applyFill="1"/>
    <xf numFmtId="9" fontId="20" fillId="6" borderId="0" xfId="4" applyFont="1" applyFill="1" applyAlignment="1">
      <alignment horizontal="center"/>
    </xf>
    <xf numFmtId="9" fontId="14" fillId="6" borderId="7" xfId="0" applyNumberFormat="1" applyFont="1" applyFill="1" applyBorder="1"/>
    <xf numFmtId="164" fontId="14" fillId="6" borderId="0" xfId="0" applyNumberFormat="1" applyFont="1" applyFill="1" applyBorder="1"/>
    <xf numFmtId="39" fontId="22" fillId="6" borderId="0" xfId="0" applyFont="1" applyFill="1" applyBorder="1"/>
    <xf numFmtId="39" fontId="22" fillId="6" borderId="8" xfId="0" applyFont="1" applyFill="1" applyBorder="1"/>
    <xf numFmtId="164" fontId="16" fillId="6" borderId="0" xfId="0" applyNumberFormat="1" applyFont="1" applyFill="1" applyAlignment="1" applyProtection="1">
      <alignment horizontal="left"/>
      <protection locked="0"/>
    </xf>
    <xf numFmtId="39" fontId="21" fillId="6" borderId="7" xfId="0" applyFont="1" applyFill="1" applyBorder="1"/>
    <xf numFmtId="39" fontId="21" fillId="6" borderId="4" xfId="0" applyFont="1" applyFill="1" applyBorder="1"/>
    <xf numFmtId="164" fontId="14" fillId="6" borderId="5" xfId="0" quotePrefix="1" applyNumberFormat="1" applyFont="1" applyFill="1" applyBorder="1"/>
    <xf numFmtId="39" fontId="22" fillId="6" borderId="5" xfId="0" applyFont="1" applyFill="1" applyBorder="1"/>
    <xf numFmtId="39" fontId="22" fillId="6" borderId="6" xfId="0" applyFont="1" applyFill="1" applyBorder="1"/>
    <xf numFmtId="14" fontId="16" fillId="0" borderId="0" xfId="0" applyNumberFormat="1" applyFont="1" applyFill="1" applyAlignment="1">
      <alignment horizontal="right"/>
    </xf>
    <xf numFmtId="39" fontId="16" fillId="0" borderId="0" xfId="0" applyNumberFormat="1" applyFont="1" applyFill="1"/>
    <xf numFmtId="166" fontId="16" fillId="0" borderId="0" xfId="4" applyNumberFormat="1" applyFont="1" applyFill="1" applyAlignment="1">
      <alignment horizontal="center"/>
    </xf>
    <xf numFmtId="39" fontId="15" fillId="0" borderId="0" xfId="0" applyFont="1" applyFill="1" applyBorder="1" applyAlignment="1">
      <alignment horizontal="center"/>
    </xf>
    <xf numFmtId="0" fontId="36" fillId="0" borderId="0" xfId="6" applyFont="1" applyAlignment="1">
      <alignment horizontal="left"/>
    </xf>
    <xf numFmtId="39" fontId="15" fillId="0" borderId="0" xfId="0" applyFont="1" applyFill="1" applyBorder="1" applyAlignment="1">
      <alignment horizontal="center"/>
    </xf>
    <xf numFmtId="39" fontId="15" fillId="0" borderId="23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164" fontId="15" fillId="6" borderId="0" xfId="0" applyNumberFormat="1" applyFont="1" applyFill="1" applyBorder="1"/>
    <xf numFmtId="40" fontId="15" fillId="0" borderId="8" xfId="1" applyFont="1" applyFill="1" applyBorder="1"/>
    <xf numFmtId="17" fontId="16" fillId="0" borderId="0" xfId="0" applyNumberFormat="1" applyFont="1" applyFill="1" applyBorder="1" applyAlignment="1">
      <alignment horizontal="right"/>
    </xf>
    <xf numFmtId="40" fontId="15" fillId="0" borderId="5" xfId="1" applyFont="1" applyFill="1" applyBorder="1"/>
    <xf numFmtId="181" fontId="16" fillId="6" borderId="0" xfId="0" applyNumberFormat="1" applyFont="1" applyFill="1" applyBorder="1"/>
    <xf numFmtId="181" fontId="16" fillId="6" borderId="22" xfId="0" applyNumberFormat="1" applyFont="1" applyFill="1" applyBorder="1"/>
    <xf numFmtId="0" fontId="15" fillId="0" borderId="8" xfId="2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quotePrefix="1" applyFont="1" applyFill="1" applyBorder="1"/>
    <xf numFmtId="40" fontId="15" fillId="0" borderId="2" xfId="1" applyFont="1" applyFill="1" applyBorder="1"/>
    <xf numFmtId="40" fontId="15" fillId="0" borderId="3" xfId="1" applyFont="1" applyFill="1" applyBorder="1"/>
    <xf numFmtId="40" fontId="15" fillId="0" borderId="0" xfId="1" applyFont="1" applyFill="1" applyBorder="1"/>
    <xf numFmtId="40" fontId="15" fillId="0" borderId="6" xfId="1" applyFont="1" applyFill="1" applyBorder="1"/>
    <xf numFmtId="39" fontId="15" fillId="0" borderId="0" xfId="0" applyFont="1" applyFill="1" applyBorder="1" applyAlignment="1">
      <alignment horizontal="center"/>
    </xf>
    <xf numFmtId="39" fontId="15" fillId="7" borderId="0" xfId="0" applyFont="1" applyFill="1" applyAlignment="1">
      <alignment horizontal="center"/>
    </xf>
    <xf numFmtId="39" fontId="16" fillId="0" borderId="28" xfId="0" applyFont="1" applyFill="1" applyBorder="1"/>
    <xf numFmtId="39" fontId="16" fillId="10" borderId="0" xfId="0" applyFont="1" applyFill="1" applyBorder="1" applyAlignment="1">
      <alignment horizontal="right"/>
    </xf>
    <xf numFmtId="39" fontId="16" fillId="10" borderId="0" xfId="0" applyFont="1" applyFill="1" applyBorder="1"/>
    <xf numFmtId="0" fontId="16" fillId="10" borderId="0" xfId="0" applyNumberFormat="1" applyFont="1" applyFill="1" applyBorder="1"/>
    <xf numFmtId="39" fontId="44" fillId="7" borderId="0" xfId="0" applyFont="1" applyFill="1"/>
    <xf numFmtId="39" fontId="45" fillId="7" borderId="0" xfId="0" applyFont="1" applyFill="1" applyAlignment="1">
      <alignment horizontal="right"/>
    </xf>
    <xf numFmtId="39" fontId="45" fillId="7" borderId="0" xfId="0" applyFont="1" applyFill="1"/>
    <xf numFmtId="39" fontId="46" fillId="7" borderId="0" xfId="0" applyFont="1" applyFill="1"/>
    <xf numFmtId="0" fontId="46" fillId="7" borderId="0" xfId="0" applyNumberFormat="1" applyFont="1" applyFill="1"/>
    <xf numFmtId="39" fontId="46" fillId="7" borderId="0" xfId="0" applyFont="1" applyFill="1" applyAlignment="1">
      <alignment horizontal="right"/>
    </xf>
    <xf numFmtId="39" fontId="46" fillId="7" borderId="0" xfId="0" applyFont="1" applyFill="1" applyAlignment="1">
      <alignment horizontal="center"/>
    </xf>
    <xf numFmtId="39" fontId="46" fillId="7" borderId="0" xfId="0" applyFont="1" applyFill="1" applyAlignment="1">
      <alignment horizontal="center" wrapText="1"/>
    </xf>
    <xf numFmtId="10" fontId="45" fillId="7" borderId="0" xfId="4" applyNumberFormat="1" applyFont="1" applyFill="1"/>
    <xf numFmtId="39" fontId="47" fillId="7" borderId="0" xfId="0" applyFont="1" applyFill="1"/>
    <xf numFmtId="38" fontId="45" fillId="7" borderId="0" xfId="1" applyNumberFormat="1" applyFont="1" applyFill="1"/>
    <xf numFmtId="171" fontId="45" fillId="7" borderId="0" xfId="0" applyNumberFormat="1" applyFont="1" applyFill="1"/>
    <xf numFmtId="39" fontId="45" fillId="7" borderId="0" xfId="0" applyFont="1" applyFill="1" applyAlignment="1">
      <alignment horizontal="center"/>
    </xf>
    <xf numFmtId="40" fontId="45" fillId="7" borderId="0" xfId="1" applyNumberFormat="1" applyFont="1" applyFill="1"/>
    <xf numFmtId="171" fontId="45" fillId="7" borderId="0" xfId="0" applyNumberFormat="1" applyFont="1" applyFill="1" applyAlignment="1">
      <alignment horizontal="center"/>
    </xf>
    <xf numFmtId="39" fontId="15" fillId="7" borderId="1" xfId="0" applyFont="1" applyFill="1" applyBorder="1"/>
    <xf numFmtId="39" fontId="15" fillId="7" borderId="2" xfId="0" applyFont="1" applyFill="1" applyBorder="1"/>
    <xf numFmtId="39" fontId="15" fillId="7" borderId="7" xfId="0" applyFont="1" applyFill="1" applyBorder="1"/>
    <xf numFmtId="40" fontId="15" fillId="7" borderId="8" xfId="1" applyFont="1" applyFill="1" applyBorder="1"/>
    <xf numFmtId="39" fontId="15" fillId="7" borderId="4" xfId="0" applyFont="1" applyFill="1" applyBorder="1"/>
    <xf numFmtId="40" fontId="15" fillId="7" borderId="5" xfId="1" applyFont="1" applyFill="1" applyBorder="1"/>
    <xf numFmtId="0" fontId="48" fillId="0" borderId="0" xfId="69" applyFont="1" applyFill="1" applyBorder="1" applyAlignment="1">
      <alignment horizontal="center"/>
    </xf>
    <xf numFmtId="182" fontId="48" fillId="0" borderId="0" xfId="69" applyNumberFormat="1" applyFont="1" applyFill="1" applyBorder="1" applyAlignment="1">
      <alignment horizontal="left"/>
    </xf>
    <xf numFmtId="0" fontId="48" fillId="0" borderId="0" xfId="69" applyFont="1" applyFill="1" applyBorder="1"/>
    <xf numFmtId="183" fontId="48" fillId="0" borderId="0" xfId="69" applyNumberFormat="1" applyFont="1" applyFill="1" applyBorder="1" applyAlignment="1">
      <alignment horizontal="left"/>
    </xf>
    <xf numFmtId="43" fontId="48" fillId="0" borderId="0" xfId="74" applyFont="1" applyFill="1" applyBorder="1" applyAlignment="1">
      <alignment horizontal="center"/>
    </xf>
    <xf numFmtId="0" fontId="5" fillId="0" borderId="0" xfId="69" applyFont="1" applyBorder="1" applyAlignment="1">
      <alignment horizontal="center"/>
    </xf>
    <xf numFmtId="0" fontId="5" fillId="0" borderId="0" xfId="69" applyFont="1" applyBorder="1"/>
    <xf numFmtId="0" fontId="48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6" fillId="7" borderId="1" xfId="0" applyNumberFormat="1" applyFont="1" applyFill="1" applyBorder="1"/>
    <xf numFmtId="39" fontId="45" fillId="7" borderId="2" xfId="0" applyFont="1" applyFill="1" applyBorder="1"/>
    <xf numFmtId="39" fontId="45" fillId="7" borderId="3" xfId="0" applyFont="1" applyFill="1" applyBorder="1"/>
    <xf numFmtId="39" fontId="45" fillId="7" borderId="4" xfId="0" applyFont="1" applyFill="1" applyBorder="1"/>
    <xf numFmtId="39" fontId="45" fillId="7" borderId="5" xfId="0" applyFont="1" applyFill="1" applyBorder="1"/>
    <xf numFmtId="39" fontId="45" fillId="7" borderId="6" xfId="0" applyFont="1" applyFill="1" applyBorder="1"/>
    <xf numFmtId="40" fontId="15" fillId="7" borderId="2" xfId="1" applyFont="1" applyFill="1" applyBorder="1"/>
    <xf numFmtId="40" fontId="15" fillId="7" borderId="3" xfId="1" applyFont="1" applyFill="1" applyBorder="1"/>
    <xf numFmtId="40" fontId="15" fillId="7" borderId="6" xfId="1" applyFont="1" applyFill="1" applyBorder="1"/>
    <xf numFmtId="0" fontId="46" fillId="7" borderId="10" xfId="0" applyNumberFormat="1" applyFont="1" applyFill="1" applyBorder="1"/>
    <xf numFmtId="39" fontId="45" fillId="7" borderId="11" xfId="0" applyFont="1" applyFill="1" applyBorder="1"/>
    <xf numFmtId="39" fontId="45" fillId="7" borderId="17" xfId="0" applyFont="1" applyFill="1" applyBorder="1"/>
    <xf numFmtId="0" fontId="45" fillId="7" borderId="0" xfId="0" applyNumberFormat="1" applyFont="1" applyFill="1"/>
    <xf numFmtId="0" fontId="45" fillId="7" borderId="2" xfId="0" applyNumberFormat="1" applyFont="1" applyFill="1" applyBorder="1"/>
    <xf numFmtId="0" fontId="15" fillId="7" borderId="2" xfId="0" applyNumberFormat="1" applyFont="1" applyFill="1" applyBorder="1"/>
    <xf numFmtId="0" fontId="15" fillId="7" borderId="0" xfId="0" applyNumberFormat="1" applyFont="1" applyFill="1" applyBorder="1"/>
    <xf numFmtId="0" fontId="15" fillId="7" borderId="5" xfId="0" applyNumberFormat="1" applyFont="1" applyFill="1" applyBorder="1"/>
    <xf numFmtId="0" fontId="45" fillId="7" borderId="5" xfId="0" applyNumberFormat="1" applyFont="1" applyFill="1" applyBorder="1"/>
    <xf numFmtId="0" fontId="45" fillId="7" borderId="11" xfId="0" applyNumberFormat="1" applyFont="1" applyFill="1" applyBorder="1"/>
    <xf numFmtId="39" fontId="5" fillId="0" borderId="0" xfId="69" applyNumberFormat="1" applyFont="1" applyAlignment="1"/>
    <xf numFmtId="0" fontId="31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39" fontId="46" fillId="7" borderId="0" xfId="0" applyFont="1" applyFill="1" applyAlignment="1"/>
    <xf numFmtId="40" fontId="45" fillId="7" borderId="0" xfId="0" applyNumberFormat="1" applyFont="1" applyFill="1"/>
    <xf numFmtId="39" fontId="15" fillId="0" borderId="0" xfId="0" applyFont="1" applyFill="1" applyBorder="1" applyAlignment="1">
      <alignment horizontal="center"/>
    </xf>
    <xf numFmtId="39" fontId="49" fillId="7" borderId="29" xfId="73" applyNumberFormat="1" applyFont="1" applyFill="1"/>
    <xf numFmtId="37" fontId="49" fillId="7" borderId="29" xfId="73" applyNumberFormat="1" applyFont="1" applyFill="1"/>
    <xf numFmtId="37" fontId="45" fillId="7" borderId="0" xfId="0" applyNumberFormat="1" applyFont="1" applyFill="1"/>
    <xf numFmtId="0" fontId="50" fillId="7" borderId="1" xfId="0" applyNumberFormat="1" applyFont="1" applyFill="1" applyBorder="1"/>
    <xf numFmtId="7" fontId="0" fillId="0" borderId="0" xfId="1" applyNumberFormat="1" applyFont="1"/>
    <xf numFmtId="39" fontId="48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2" fillId="0" borderId="0" xfId="0" applyNumberFormat="1" applyFont="1" applyAlignment="1">
      <alignment horizontal="right"/>
    </xf>
    <xf numFmtId="39" fontId="53" fillId="0" borderId="0" xfId="0" applyFont="1"/>
    <xf numFmtId="39" fontId="47" fillId="0" borderId="0" xfId="0" applyFont="1" applyFill="1"/>
    <xf numFmtId="0" fontId="15" fillId="0" borderId="5" xfId="0" applyNumberFormat="1" applyFont="1" applyFill="1" applyBorder="1"/>
    <xf numFmtId="39" fontId="3" fillId="0" borderId="0" xfId="69" applyNumberFormat="1" applyFont="1" applyAlignment="1"/>
    <xf numFmtId="39" fontId="45" fillId="0" borderId="0" xfId="0" applyFont="1" applyFill="1"/>
    <xf numFmtId="39" fontId="45" fillId="7" borderId="0" xfId="0" applyFont="1" applyFill="1" applyBorder="1"/>
    <xf numFmtId="0" fontId="45" fillId="7" borderId="0" xfId="0" applyNumberFormat="1" applyFont="1" applyFill="1" applyBorder="1"/>
    <xf numFmtId="37" fontId="45" fillId="0" borderId="0" xfId="0" applyNumberFormat="1" applyFont="1" applyFill="1"/>
    <xf numFmtId="38" fontId="45" fillId="0" borderId="0" xfId="1" applyNumberFormat="1" applyFont="1" applyFill="1"/>
    <xf numFmtId="171" fontId="45" fillId="0" borderId="0" xfId="0" applyNumberFormat="1" applyFont="1" applyFill="1"/>
    <xf numFmtId="39" fontId="45" fillId="0" borderId="0" xfId="0" applyFont="1" applyFill="1" applyAlignment="1">
      <alignment horizontal="right"/>
    </xf>
    <xf numFmtId="44" fontId="27" fillId="0" borderId="9" xfId="0" applyNumberFormat="1" applyFont="1" applyFill="1" applyBorder="1"/>
    <xf numFmtId="178" fontId="15" fillId="0" borderId="0" xfId="2" applyNumberFormat="1" applyFont="1" applyFill="1" applyBorder="1"/>
    <xf numFmtId="8" fontId="27" fillId="0" borderId="0" xfId="0" applyNumberFormat="1" applyFont="1" applyFill="1" applyBorder="1"/>
    <xf numFmtId="8" fontId="27" fillId="0" borderId="9" xfId="0" applyNumberFormat="1" applyFont="1" applyFill="1" applyBorder="1"/>
    <xf numFmtId="44" fontId="27" fillId="11" borderId="0" xfId="0" applyNumberFormat="1" applyFont="1" applyFill="1" applyBorder="1"/>
    <xf numFmtId="44" fontId="27" fillId="11" borderId="9" xfId="0" applyNumberFormat="1" applyFont="1" applyFill="1" applyBorder="1"/>
    <xf numFmtId="38" fontId="27" fillId="11" borderId="0" xfId="1" applyNumberFormat="1" applyFont="1" applyFill="1" applyBorder="1" applyProtection="1"/>
    <xf numFmtId="38" fontId="27" fillId="12" borderId="0" xfId="1" applyNumberFormat="1" applyFont="1" applyFill="1" applyBorder="1" applyProtection="1"/>
    <xf numFmtId="39" fontId="46" fillId="7" borderId="0" xfId="0" applyFont="1" applyFill="1" applyBorder="1"/>
    <xf numFmtId="38" fontId="45" fillId="7" borderId="0" xfId="1" applyNumberFormat="1" applyFont="1" applyFill="1" applyBorder="1"/>
    <xf numFmtId="44" fontId="16" fillId="0" borderId="0" xfId="0" applyNumberFormat="1" applyFont="1" applyFill="1" applyBorder="1"/>
    <xf numFmtId="44" fontId="27" fillId="12" borderId="0" xfId="0" applyNumberFormat="1" applyFont="1" applyFill="1" applyBorder="1"/>
    <xf numFmtId="44" fontId="27" fillId="12" borderId="9" xfId="0" applyNumberFormat="1" applyFont="1" applyFill="1" applyBorder="1"/>
    <xf numFmtId="10" fontId="45" fillId="0" borderId="0" xfId="4" applyNumberFormat="1" applyFont="1" applyFill="1"/>
    <xf numFmtId="0" fontId="46" fillId="0" borderId="0" xfId="0" applyNumberFormat="1" applyFont="1" applyFill="1"/>
    <xf numFmtId="39" fontId="45" fillId="13" borderId="0" xfId="0" applyFont="1" applyFill="1"/>
    <xf numFmtId="39" fontId="45" fillId="12" borderId="0" xfId="0" applyFont="1" applyFill="1"/>
    <xf numFmtId="39" fontId="47" fillId="10" borderId="0" xfId="0" applyFont="1" applyFill="1"/>
    <xf numFmtId="44" fontId="16" fillId="11" borderId="0" xfId="0" applyNumberFormat="1" applyFont="1" applyFill="1" applyBorder="1"/>
    <xf numFmtId="44" fontId="15" fillId="11" borderId="0" xfId="0" applyNumberFormat="1" applyFont="1" applyFill="1" applyBorder="1"/>
    <xf numFmtId="38" fontId="15" fillId="11" borderId="0" xfId="1" applyNumberFormat="1" applyFont="1" applyFill="1" applyBorder="1" applyProtection="1"/>
    <xf numFmtId="38" fontId="27" fillId="11" borderId="9" xfId="1" applyNumberFormat="1" applyFont="1" applyFill="1" applyBorder="1" applyProtection="1"/>
    <xf numFmtId="44" fontId="15" fillId="11" borderId="8" xfId="2" applyNumberFormat="1" applyFont="1" applyFill="1" applyBorder="1"/>
    <xf numFmtId="39" fontId="45" fillId="15" borderId="0" xfId="0" applyFont="1" applyFill="1"/>
    <xf numFmtId="39" fontId="49" fillId="7" borderId="31" xfId="73" applyNumberFormat="1" applyFont="1" applyFill="1" applyBorder="1"/>
    <xf numFmtId="39" fontId="45" fillId="13" borderId="32" xfId="0" applyFont="1" applyFill="1" applyBorder="1"/>
    <xf numFmtId="39" fontId="45" fillId="12" borderId="33" xfId="0" applyFont="1" applyFill="1" applyBorder="1"/>
    <xf numFmtId="39" fontId="45" fillId="10" borderId="33" xfId="0" applyFont="1" applyFill="1" applyBorder="1"/>
    <xf numFmtId="39" fontId="45" fillId="14" borderId="34" xfId="0" applyFont="1" applyFill="1" applyBorder="1"/>
    <xf numFmtId="39" fontId="45" fillId="15" borderId="30" xfId="0" applyFont="1" applyFill="1" applyBorder="1"/>
    <xf numFmtId="39" fontId="49" fillId="0" borderId="29" xfId="73" applyNumberFormat="1" applyFont="1" applyFill="1"/>
    <xf numFmtId="10" fontId="16" fillId="11" borderId="0" xfId="4" applyNumberFormat="1" applyFont="1" applyFill="1" applyAlignment="1">
      <alignment horizontal="center"/>
    </xf>
    <xf numFmtId="171" fontId="45" fillId="11" borderId="0" xfId="0" applyNumberFormat="1" applyFont="1" applyFill="1" applyAlignment="1">
      <alignment horizontal="center"/>
    </xf>
    <xf numFmtId="10" fontId="45" fillId="11" borderId="0" xfId="4" applyNumberFormat="1" applyFont="1" applyFill="1"/>
    <xf numFmtId="37" fontId="45" fillId="11" borderId="0" xfId="0" applyNumberFormat="1" applyFont="1" applyFill="1"/>
    <xf numFmtId="38" fontId="45" fillId="11" borderId="0" xfId="1" applyNumberFormat="1" applyFont="1" applyFill="1"/>
    <xf numFmtId="39" fontId="45" fillId="7" borderId="10" xfId="0" applyFont="1" applyFill="1" applyBorder="1"/>
    <xf numFmtId="38" fontId="15" fillId="12" borderId="0" xfId="1" applyNumberFormat="1" applyFont="1" applyFill="1" applyBorder="1" applyProtection="1"/>
    <xf numFmtId="38" fontId="27" fillId="12" borderId="9" xfId="1" applyNumberFormat="1" applyFont="1" applyFill="1" applyBorder="1" applyProtection="1"/>
    <xf numFmtId="7" fontId="31" fillId="0" borderId="0" xfId="0" applyNumberFormat="1" applyFont="1" applyFill="1" applyBorder="1"/>
    <xf numFmtId="39" fontId="45" fillId="10" borderId="0" xfId="0" applyFont="1" applyFill="1"/>
    <xf numFmtId="39" fontId="45" fillId="10" borderId="32" xfId="0" applyFont="1" applyFill="1" applyBorder="1"/>
    <xf numFmtId="39" fontId="45" fillId="14" borderId="0" xfId="0" applyFont="1" applyFill="1"/>
    <xf numFmtId="39" fontId="45" fillId="13" borderId="33" xfId="0" applyFont="1" applyFill="1" applyBorder="1"/>
    <xf numFmtId="39" fontId="47" fillId="15" borderId="0" xfId="0" applyFont="1" applyFill="1"/>
    <xf numFmtId="39" fontId="45" fillId="15" borderId="33" xfId="0" applyFont="1" applyFill="1" applyBorder="1"/>
    <xf numFmtId="0" fontId="54" fillId="7" borderId="11" xfId="0" applyNumberFormat="1" applyFont="1" applyFill="1" applyBorder="1"/>
    <xf numFmtId="37" fontId="49" fillId="0" borderId="29" xfId="73" applyNumberFormat="1" applyFont="1" applyFill="1"/>
    <xf numFmtId="39" fontId="46" fillId="0" borderId="0" xfId="0" applyFont="1" applyFill="1" applyAlignment="1"/>
    <xf numFmtId="39" fontId="45" fillId="6" borderId="0" xfId="0" applyFont="1" applyFill="1"/>
    <xf numFmtId="39" fontId="15" fillId="0" borderId="0" xfId="0" applyFont="1" applyFill="1" applyBorder="1" applyAlignment="1">
      <alignment horizontal="center"/>
    </xf>
    <xf numFmtId="171" fontId="31" fillId="12" borderId="0" xfId="0" applyNumberFormat="1" applyFont="1" applyFill="1" applyBorder="1" applyAlignment="1" applyProtection="1">
      <alignment horizontal="center"/>
      <protection locked="0"/>
    </xf>
    <xf numFmtId="171" fontId="45" fillId="11" borderId="0" xfId="0" applyNumberFormat="1" applyFont="1" applyFill="1" applyAlignment="1">
      <alignment horizontal="right"/>
    </xf>
    <xf numFmtId="171" fontId="45" fillId="0" borderId="0" xfId="0" applyNumberFormat="1" applyFont="1" applyFill="1" applyAlignment="1">
      <alignment horizontal="right"/>
    </xf>
    <xf numFmtId="39" fontId="54" fillId="7" borderId="35" xfId="0" applyFont="1" applyFill="1" applyBorder="1"/>
    <xf numFmtId="39" fontId="45" fillId="7" borderId="28" xfId="0" applyFont="1" applyFill="1" applyBorder="1"/>
    <xf numFmtId="39" fontId="45" fillId="7" borderId="36" xfId="0" applyFont="1" applyFill="1" applyBorder="1"/>
    <xf numFmtId="39" fontId="45" fillId="7" borderId="37" xfId="0" applyFont="1" applyFill="1" applyBorder="1"/>
    <xf numFmtId="39" fontId="45" fillId="7" borderId="38" xfId="0" applyFont="1" applyFill="1" applyBorder="1"/>
    <xf numFmtId="39" fontId="45" fillId="7" borderId="39" xfId="0" applyFont="1" applyFill="1" applyBorder="1"/>
    <xf numFmtId="39" fontId="45" fillId="7" borderId="9" xfId="0" applyFont="1" applyFill="1" applyBorder="1"/>
    <xf numFmtId="39" fontId="45" fillId="7" borderId="4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164" fontId="55" fillId="0" borderId="0" xfId="93" applyNumberFormat="1" applyFont="1" applyAlignment="1">
      <alignment horizontal="left"/>
    </xf>
    <xf numFmtId="0" fontId="15" fillId="0" borderId="0" xfId="93" applyFont="1"/>
    <xf numFmtId="39" fontId="45" fillId="0" borderId="0" xfId="137" applyFont="1" applyFill="1" applyBorder="1"/>
    <xf numFmtId="164" fontId="56" fillId="0" borderId="0" xfId="93" applyNumberFormat="1" applyFont="1" applyAlignment="1">
      <alignment horizontal="left"/>
    </xf>
    <xf numFmtId="0" fontId="21" fillId="0" borderId="0" xfId="93"/>
    <xf numFmtId="39" fontId="14" fillId="0" borderId="0" xfId="137" applyFill="1" applyBorder="1"/>
    <xf numFmtId="0" fontId="57" fillId="0" borderId="0" xfId="138" applyFont="1" applyFill="1" applyBorder="1"/>
    <xf numFmtId="0" fontId="1" fillId="0" borderId="0" xfId="138"/>
    <xf numFmtId="0" fontId="1" fillId="0" borderId="0" xfId="138" applyFill="1" applyBorder="1"/>
    <xf numFmtId="184" fontId="21" fillId="0" borderId="0" xfId="138" applyNumberFormat="1" applyFont="1" applyFill="1" applyBorder="1" applyAlignment="1"/>
    <xf numFmtId="0" fontId="15" fillId="0" borderId="0" xfId="138" applyFont="1"/>
    <xf numFmtId="0" fontId="58" fillId="0" borderId="32" xfId="138" applyFont="1" applyBorder="1" applyAlignment="1">
      <alignment horizontal="center" wrapText="1"/>
    </xf>
    <xf numFmtId="0" fontId="58" fillId="0" borderId="30" xfId="138" applyFont="1" applyBorder="1" applyAlignment="1">
      <alignment horizontal="center" wrapText="1"/>
    </xf>
    <xf numFmtId="0" fontId="58" fillId="0" borderId="0" xfId="138" applyFont="1" applyFill="1" applyBorder="1" applyAlignment="1">
      <alignment horizontal="center" wrapText="1"/>
    </xf>
    <xf numFmtId="0" fontId="58" fillId="0" borderId="34" xfId="138" applyFont="1" applyBorder="1" applyAlignment="1">
      <alignment horizontal="center" wrapText="1"/>
    </xf>
    <xf numFmtId="0" fontId="58" fillId="16" borderId="30" xfId="138" applyFont="1" applyFill="1" applyBorder="1" applyAlignment="1">
      <alignment horizontal="center" wrapText="1"/>
    </xf>
    <xf numFmtId="14" fontId="58" fillId="0" borderId="30" xfId="138" quotePrefix="1" applyNumberFormat="1" applyFont="1" applyFill="1" applyBorder="1" applyAlignment="1">
      <alignment horizontal="right"/>
    </xf>
    <xf numFmtId="43" fontId="59" fillId="0" borderId="30" xfId="139" applyFont="1" applyFill="1" applyBorder="1"/>
    <xf numFmtId="43" fontId="59" fillId="16" borderId="30" xfId="139" applyFont="1" applyFill="1" applyBorder="1"/>
    <xf numFmtId="43" fontId="60" fillId="16" borderId="30" xfId="139" applyFont="1" applyFill="1" applyBorder="1"/>
    <xf numFmtId="165" fontId="61" fillId="8" borderId="30" xfId="140" applyNumberFormat="1" applyFont="1" applyFill="1" applyBorder="1"/>
    <xf numFmtId="165" fontId="61" fillId="0" borderId="0" xfId="140" applyNumberFormat="1" applyFont="1" applyFill="1" applyBorder="1"/>
    <xf numFmtId="43" fontId="61" fillId="8" borderId="30" xfId="139" applyFont="1" applyFill="1" applyBorder="1"/>
    <xf numFmtId="43" fontId="61" fillId="0" borderId="0" xfId="139" applyFont="1" applyFill="1" applyBorder="1"/>
    <xf numFmtId="14" fontId="58" fillId="0" borderId="41" xfId="138" quotePrefix="1" applyNumberFormat="1" applyFont="1" applyFill="1" applyBorder="1" applyAlignment="1">
      <alignment horizontal="right"/>
    </xf>
    <xf numFmtId="165" fontId="61" fillId="8" borderId="41" xfId="140" applyNumberFormat="1" applyFont="1" applyFill="1" applyBorder="1"/>
    <xf numFmtId="43" fontId="61" fillId="8" borderId="41" xfId="139" applyFont="1" applyFill="1" applyBorder="1"/>
    <xf numFmtId="43" fontId="59" fillId="0" borderId="41" xfId="139" applyFont="1" applyFill="1" applyBorder="1"/>
    <xf numFmtId="43" fontId="59" fillId="16" borderId="41" xfId="139" applyFont="1" applyFill="1" applyBorder="1"/>
    <xf numFmtId="43" fontId="60" fillId="16" borderId="41" xfId="139" applyFont="1" applyFill="1" applyBorder="1"/>
    <xf numFmtId="14" fontId="58" fillId="0" borderId="34" xfId="138" quotePrefix="1" applyNumberFormat="1" applyFont="1" applyFill="1" applyBorder="1" applyAlignment="1">
      <alignment horizontal="right"/>
    </xf>
    <xf numFmtId="165" fontId="61" fillId="8" borderId="34" xfId="140" applyNumberFormat="1" applyFont="1" applyFill="1" applyBorder="1"/>
    <xf numFmtId="43" fontId="61" fillId="8" borderId="34" xfId="139" applyFont="1" applyFill="1" applyBorder="1"/>
    <xf numFmtId="43" fontId="59" fillId="0" borderId="34" xfId="139" applyFont="1" applyFill="1" applyBorder="1"/>
    <xf numFmtId="43" fontId="59" fillId="16" borderId="34" xfId="139" applyFont="1" applyFill="1" applyBorder="1"/>
    <xf numFmtId="0" fontId="21" fillId="0" borderId="0" xfId="138" applyFont="1" applyFill="1" applyBorder="1"/>
    <xf numFmtId="43" fontId="21" fillId="0" borderId="0" xfId="139" applyFont="1" applyFill="1" applyBorder="1"/>
    <xf numFmtId="1" fontId="15" fillId="0" borderId="0" xfId="63" applyNumberFormat="1" applyFont="1" applyFill="1" applyBorder="1" applyAlignment="1">
      <alignment horizontal="left"/>
    </xf>
    <xf numFmtId="0" fontId="1" fillId="0" borderId="0" xfId="138" applyFont="1"/>
    <xf numFmtId="43" fontId="15" fillId="0" borderId="0" xfId="138" applyNumberFormat="1" applyFont="1"/>
    <xf numFmtId="0" fontId="58" fillId="16" borderId="34" xfId="138" applyFont="1" applyFill="1" applyBorder="1" applyAlignment="1">
      <alignment horizontal="center" wrapText="1"/>
    </xf>
    <xf numFmtId="0" fontId="58" fillId="0" borderId="0" xfId="138" applyFont="1" applyFill="1" applyBorder="1" applyAlignment="1"/>
    <xf numFmtId="0" fontId="58" fillId="0" borderId="9" xfId="138" applyFont="1" applyFill="1" applyBorder="1" applyAlignment="1"/>
    <xf numFmtId="184" fontId="21" fillId="0" borderId="9" xfId="138" applyNumberFormat="1" applyFont="1" applyFill="1" applyBorder="1" applyAlignment="1"/>
    <xf numFmtId="40" fontId="59" fillId="0" borderId="0" xfId="1" applyFont="1"/>
    <xf numFmtId="171" fontId="31" fillId="6" borderId="0" xfId="0" applyNumberFormat="1" applyFont="1" applyFill="1" applyBorder="1" applyAlignment="1" applyProtection="1">
      <alignment horizontal="center"/>
      <protection locked="0"/>
    </xf>
    <xf numFmtId="0" fontId="50" fillId="7" borderId="10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1" fillId="0" borderId="0" xfId="0" applyFont="1" applyAlignment="1">
      <alignment horizontal="center"/>
    </xf>
    <xf numFmtId="39" fontId="32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3" fillId="0" borderId="0" xfId="0" applyFont="1" applyAlignment="1">
      <alignment horizontal="center"/>
    </xf>
    <xf numFmtId="0" fontId="58" fillId="0" borderId="10" xfId="138" applyFont="1" applyFill="1" applyBorder="1" applyAlignment="1">
      <alignment horizontal="center"/>
    </xf>
    <xf numFmtId="0" fontId="58" fillId="0" borderId="11" xfId="138" applyFont="1" applyFill="1" applyBorder="1" applyAlignment="1">
      <alignment horizontal="center"/>
    </xf>
    <xf numFmtId="0" fontId="58" fillId="0" borderId="17" xfId="138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8" xfId="0" applyFont="1" applyFill="1" applyBorder="1" applyAlignment="1">
      <alignment horizontal="center"/>
    </xf>
    <xf numFmtId="39" fontId="16" fillId="0" borderId="10" xfId="0" applyFont="1" applyFill="1" applyBorder="1" applyAlignment="1">
      <alignment horizontal="center"/>
    </xf>
    <xf numFmtId="39" fontId="16" fillId="0" borderId="11" xfId="0" applyFont="1" applyFill="1" applyBorder="1" applyAlignment="1">
      <alignment horizontal="center"/>
    </xf>
    <xf numFmtId="39" fontId="16" fillId="0" borderId="17" xfId="0" applyFont="1" applyFill="1" applyBorder="1" applyAlignment="1">
      <alignment horizontal="center"/>
    </xf>
    <xf numFmtId="164" fontId="16" fillId="6" borderId="0" xfId="0" applyNumberFormat="1" applyFont="1" applyFill="1" applyAlignment="1">
      <alignment horizontal="center"/>
    </xf>
    <xf numFmtId="39" fontId="16" fillId="0" borderId="18" xfId="6" applyNumberFormat="1" applyFont="1" applyBorder="1" applyAlignment="1">
      <alignment horizontal="left"/>
    </xf>
    <xf numFmtId="39" fontId="16" fillId="0" borderId="19" xfId="6" applyNumberFormat="1" applyFont="1" applyBorder="1" applyAlignment="1">
      <alignment horizontal="left"/>
    </xf>
    <xf numFmtId="39" fontId="16" fillId="0" borderId="20" xfId="6" applyNumberFormat="1" applyFont="1" applyBorder="1" applyAlignment="1">
      <alignment horizontal="left"/>
    </xf>
    <xf numFmtId="39" fontId="15" fillId="0" borderId="2" xfId="0" applyFont="1" applyFill="1" applyBorder="1" applyAlignment="1">
      <alignment horizontal="left" vertical="top" wrapText="1"/>
    </xf>
    <xf numFmtId="39" fontId="15" fillId="0" borderId="0" xfId="0" applyFont="1" applyFill="1" applyAlignment="1">
      <alignment horizontal="left" vertical="top" wrapText="1"/>
    </xf>
  </cellXfs>
  <cellStyles count="144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4 5" xfId="139"/>
    <cellStyle name="Comma 5" xfId="10"/>
    <cellStyle name="Comma 5 2" xfId="142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5 2" xfId="138"/>
    <cellStyle name="Normal 6" xfId="25"/>
    <cellStyle name="Normal 6 2" xfId="26"/>
    <cellStyle name="Normal 6 3" xfId="141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Normal_02-06 WA-Id Deferral &amp; Amort" xfId="137"/>
    <cellStyle name="Percent" xfId="4" builtinId="5"/>
    <cellStyle name="Percent 10" xfId="72"/>
    <cellStyle name="Percent 2" xfId="29"/>
    <cellStyle name="Percent 2 2" xfId="61"/>
    <cellStyle name="Percent 2 3" xfId="60"/>
    <cellStyle name="Percent 2 4" xfId="140"/>
    <cellStyle name="Percent 3" xfId="30"/>
    <cellStyle name="Percent 3 2" xfId="67"/>
    <cellStyle name="Percent 3 3" xfId="62"/>
    <cellStyle name="Percent 3 4" xfId="143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233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ont>
        <color theme="5" tint="0.39994506668294322"/>
      </font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287447920"/>
        <c:axId val="287451056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447920"/>
        <c:axId val="287451056"/>
      </c:lineChart>
      <c:catAx>
        <c:axId val="28744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87451056"/>
        <c:crosses val="autoZero"/>
        <c:auto val="1"/>
        <c:lblAlgn val="ctr"/>
        <c:lblOffset val="10"/>
        <c:noMultiLvlLbl val="0"/>
      </c:catAx>
      <c:valAx>
        <c:axId val="287451056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287447920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221384416"/>
        <c:axId val="221384808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84416"/>
        <c:axId val="221384808"/>
      </c:lineChart>
      <c:catAx>
        <c:axId val="22138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21384808"/>
        <c:crosses val="autoZero"/>
        <c:auto val="1"/>
        <c:lblAlgn val="ctr"/>
        <c:lblOffset val="0"/>
        <c:noMultiLvlLbl val="0"/>
      </c:catAx>
      <c:valAx>
        <c:axId val="221384808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22138441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2.1817000000000006</c:v>
                </c:pt>
                <c:pt idx="4">
                  <c:v>1.4844931785530684</c:v>
                </c:pt>
                <c:pt idx="5">
                  <c:v>1.6408659872789688</c:v>
                </c:pt>
                <c:pt idx="6">
                  <c:v>1.6408659872789688</c:v>
                </c:pt>
                <c:pt idx="7">
                  <c:v>1.6408659872789688</c:v>
                </c:pt>
                <c:pt idx="8">
                  <c:v>1.6408659872789688</c:v>
                </c:pt>
                <c:pt idx="9">
                  <c:v>1.6408659872789688</c:v>
                </c:pt>
                <c:pt idx="10">
                  <c:v>1.6408659872789688</c:v>
                </c:pt>
                <c:pt idx="11">
                  <c:v>1.6408659872789688</c:v>
                </c:pt>
                <c:pt idx="12">
                  <c:v>1.6408659872789688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1.9109764729943237</c:v>
                </c:pt>
                <c:pt idx="4">
                  <c:v>2.0607503649396444</c:v>
                </c:pt>
                <c:pt idx="5">
                  <c:v>1.7605439757226338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838888"/>
        <c:axId val="222838496"/>
      </c:lineChart>
      <c:catAx>
        <c:axId val="222838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22838496"/>
        <c:crosses val="autoZero"/>
        <c:auto val="1"/>
        <c:lblAlgn val="ctr"/>
        <c:lblOffset val="100"/>
        <c:noMultiLvlLbl val="0"/>
      </c:catAx>
      <c:valAx>
        <c:axId val="22283849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22838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0.92847436019644525</c:v>
                </c:pt>
                <c:pt idx="4">
                  <c:v>0.98246968830434289</c:v>
                </c:pt>
                <c:pt idx="5">
                  <c:v>0.90898238183410318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0.50045120250443931</c:v>
                </c:pt>
                <c:pt idx="4">
                  <c:v>0.47829937322915161</c:v>
                </c:pt>
                <c:pt idx="5">
                  <c:v>0.60308315586841887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839672"/>
        <c:axId val="222840064"/>
      </c:lineChart>
      <c:catAx>
        <c:axId val="222839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22840064"/>
        <c:crosses val="autoZero"/>
        <c:auto val="1"/>
        <c:lblAlgn val="ctr"/>
        <c:lblOffset val="100"/>
        <c:noMultiLvlLbl val="0"/>
      </c:catAx>
      <c:valAx>
        <c:axId val="222840064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22839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1.0496999999999999</c:v>
                </c:pt>
                <c:pt idx="4">
                  <c:v>1.1157640072436985</c:v>
                </c:pt>
                <c:pt idx="5">
                  <c:v>1.0518903962583694</c:v>
                </c:pt>
                <c:pt idx="6">
                  <c:v>1.0497000000000001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0.60168243200814919</c:v>
                </c:pt>
                <c:pt idx="4">
                  <c:v>0.51321777211373421</c:v>
                </c:pt>
                <c:pt idx="5">
                  <c:v>0.67676667496835818</c:v>
                </c:pt>
                <c:pt idx="6">
                  <c:v>0.93274455310206039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840848"/>
        <c:axId val="222841240"/>
      </c:lineChart>
      <c:catAx>
        <c:axId val="22284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22841240"/>
        <c:crosses val="autoZero"/>
        <c:auto val="1"/>
        <c:lblAlgn val="ctr"/>
        <c:lblOffset val="100"/>
        <c:noMultiLvlLbl val="0"/>
      </c:catAx>
      <c:valAx>
        <c:axId val="22284124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2284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2.1724999999999999</c:v>
                </c:pt>
                <c:pt idx="4">
                  <c:v>1.4722145172786092</c:v>
                </c:pt>
                <c:pt idx="5">
                  <c:v>1.6266661960612308</c:v>
                </c:pt>
                <c:pt idx="6">
                  <c:v>1.6235999999999997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1.9124975010616809</c:v>
                </c:pt>
                <c:pt idx="4">
                  <c:v>2.0592958211022916</c:v>
                </c:pt>
                <c:pt idx="5">
                  <c:v>1.7605908567523985</c:v>
                </c:pt>
                <c:pt idx="6">
                  <c:v>0.75256414460221688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2589408"/>
        <c:axId val="292589800"/>
      </c:lineChart>
      <c:catAx>
        <c:axId val="29258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92589800"/>
        <c:crosses val="autoZero"/>
        <c:auto val="1"/>
        <c:lblAlgn val="ctr"/>
        <c:lblOffset val="100"/>
        <c:noMultiLvlLbl val="0"/>
      </c:catAx>
      <c:valAx>
        <c:axId val="29258980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92589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65" t="s">
        <v>191</v>
      </c>
      <c r="D1" s="665"/>
      <c r="E1" s="665"/>
      <c r="F1" s="665"/>
      <c r="G1" s="665"/>
      <c r="H1" s="665"/>
      <c r="I1" s="665"/>
      <c r="J1" s="665"/>
      <c r="K1" s="665"/>
      <c r="P1" s="667"/>
      <c r="Q1" s="667"/>
      <c r="R1" s="667"/>
      <c r="S1" s="667"/>
      <c r="T1" s="667"/>
      <c r="U1" s="667"/>
      <c r="V1" s="667"/>
      <c r="W1" s="667"/>
      <c r="X1" s="667"/>
    </row>
    <row r="2" spans="1:34" ht="23.25">
      <c r="C2" s="666" t="s">
        <v>246</v>
      </c>
      <c r="D2" s="666"/>
      <c r="E2" s="666"/>
      <c r="F2" s="666"/>
      <c r="G2" s="666"/>
      <c r="H2" s="666"/>
      <c r="I2" s="666"/>
      <c r="J2" s="666"/>
      <c r="K2" s="666"/>
      <c r="P2" s="665"/>
      <c r="Q2" s="665"/>
      <c r="R2" s="665"/>
      <c r="S2" s="665"/>
      <c r="T2" s="665"/>
      <c r="U2" s="665"/>
      <c r="V2" s="665"/>
      <c r="W2" s="665"/>
      <c r="X2" s="665"/>
      <c r="Z2" s="665"/>
      <c r="AA2" s="665"/>
      <c r="AB2" s="665"/>
      <c r="AC2" s="665"/>
      <c r="AD2" s="665"/>
      <c r="AE2" s="665"/>
      <c r="AF2" s="665"/>
      <c r="AG2" s="665"/>
      <c r="AH2" s="665"/>
    </row>
    <row r="3" spans="1:34" ht="23.25">
      <c r="C3" s="665" t="s">
        <v>193</v>
      </c>
      <c r="D3" s="665"/>
      <c r="E3" s="665"/>
      <c r="F3" s="665"/>
      <c r="G3" s="665"/>
      <c r="H3" s="665"/>
      <c r="I3" s="665"/>
      <c r="J3" s="665"/>
      <c r="K3" s="665"/>
      <c r="P3" s="666"/>
      <c r="Q3" s="666"/>
      <c r="R3" s="666"/>
      <c r="S3" s="666"/>
      <c r="T3" s="666"/>
      <c r="U3" s="666"/>
      <c r="V3" s="666"/>
      <c r="W3" s="666"/>
      <c r="X3" s="666"/>
      <c r="Z3" s="668"/>
      <c r="AA3" s="668"/>
      <c r="AB3" s="668"/>
      <c r="AC3" s="668"/>
      <c r="AD3" s="668"/>
      <c r="AE3" s="668"/>
      <c r="AF3" s="668"/>
      <c r="AG3" s="668"/>
      <c r="AH3" s="668"/>
    </row>
    <row r="4" spans="1:34">
      <c r="A4" t="s">
        <v>192</v>
      </c>
      <c r="B4" s="265">
        <v>41183</v>
      </c>
      <c r="C4" s="265">
        <v>41214</v>
      </c>
      <c r="D4" s="265">
        <v>41244</v>
      </c>
      <c r="E4" s="265">
        <v>41275</v>
      </c>
      <c r="F4" s="265">
        <v>41306</v>
      </c>
      <c r="G4" s="265">
        <v>41334</v>
      </c>
      <c r="H4" s="265">
        <v>41365</v>
      </c>
      <c r="I4" s="265">
        <v>41395</v>
      </c>
      <c r="J4" s="265">
        <v>41426</v>
      </c>
      <c r="K4" s="265">
        <v>41456</v>
      </c>
      <c r="L4" s="265">
        <v>41487</v>
      </c>
      <c r="M4" s="265">
        <v>41518</v>
      </c>
      <c r="N4" s="265">
        <v>41548</v>
      </c>
      <c r="P4" s="665"/>
      <c r="Q4" s="665"/>
      <c r="R4" s="665"/>
      <c r="S4" s="665"/>
      <c r="T4" s="665"/>
      <c r="U4" s="665"/>
      <c r="V4" s="665"/>
      <c r="W4" s="665"/>
      <c r="X4" s="665"/>
      <c r="Z4" s="665"/>
      <c r="AA4" s="665"/>
      <c r="AB4" s="665"/>
      <c r="AC4" s="665"/>
      <c r="AD4" s="665"/>
      <c r="AE4" s="665"/>
      <c r="AF4" s="665"/>
      <c r="AG4" s="665"/>
    </row>
    <row r="6" spans="1:34">
      <c r="A6" s="266" t="s">
        <v>194</v>
      </c>
    </row>
    <row r="7" spans="1:34">
      <c r="A7" s="267"/>
      <c r="B7" s="268" t="str">
        <f>TEXT(B4,"mmmmm-YY")</f>
        <v>O-12</v>
      </c>
      <c r="C7" s="268" t="str">
        <f>TEXT(C4,"mmmmm-YY")</f>
        <v>N-12</v>
      </c>
      <c r="D7" s="268" t="str">
        <f>TEXT(D4,"mmmmm")</f>
        <v>D</v>
      </c>
      <c r="E7" s="268" t="str">
        <f>TEXT(E4,"mmmmm-YY")</f>
        <v>J-13</v>
      </c>
      <c r="F7" s="268" t="str">
        <f>TEXT(F4,"mmmmm-YY")</f>
        <v>F-13</v>
      </c>
      <c r="G7" s="268" t="str">
        <f t="shared" ref="G7:N7" si="0">TEXT(G4,"mmmmm")</f>
        <v>M</v>
      </c>
      <c r="H7" s="268" t="str">
        <f t="shared" si="0"/>
        <v>A</v>
      </c>
      <c r="I7" s="268" t="str">
        <f t="shared" si="0"/>
        <v>M</v>
      </c>
      <c r="J7" s="268" t="str">
        <f t="shared" si="0"/>
        <v>J</v>
      </c>
      <c r="K7" s="268" t="str">
        <f t="shared" si="0"/>
        <v>J</v>
      </c>
      <c r="L7" s="268" t="str">
        <f t="shared" si="0"/>
        <v>A</v>
      </c>
      <c r="M7" s="268" t="str">
        <f t="shared" si="0"/>
        <v>S</v>
      </c>
      <c r="N7" s="268" t="str">
        <f t="shared" si="0"/>
        <v>O</v>
      </c>
    </row>
    <row r="8" spans="1:34">
      <c r="A8" t="s">
        <v>2</v>
      </c>
      <c r="B8" s="269">
        <f>'WA Def 191010'!D8/-1000000</f>
        <v>6.691252092754679</v>
      </c>
      <c r="C8" s="269">
        <f>'WA Def 191010'!D19/-1000000</f>
        <v>0.90240319623620857</v>
      </c>
      <c r="D8" s="269">
        <f>'WA Def 191010'!D27/-1000000</f>
        <v>-0.24153536134178891</v>
      </c>
      <c r="E8" s="269">
        <f>'WA Def 191010'!D35/-1000000</f>
        <v>1.612370665690211</v>
      </c>
      <c r="F8" s="269">
        <f>'WA Def 191010'!D43/-1000000</f>
        <v>0.64834278387021227</v>
      </c>
      <c r="G8" s="269">
        <f>'WA Def 191010'!D51/-1000000</f>
        <v>0.33671900480321282</v>
      </c>
      <c r="H8" s="269">
        <f>'WA Def 191010'!D59/-1000000</f>
        <v>0.63119416496921332</v>
      </c>
      <c r="I8" s="269">
        <f>'WA Def 191010'!D67/-1000000</f>
        <v>1.2090547576992148</v>
      </c>
      <c r="J8" s="269">
        <f>'WA Def 191010'!D75/-1000000</f>
        <v>1.3830479967132137</v>
      </c>
      <c r="K8" s="269">
        <f>'WA Def 191010'!D83/-1000000</f>
        <v>1.8775711130472124</v>
      </c>
      <c r="L8" s="269">
        <f>'WA Def 191010'!D91/-1000000</f>
        <v>2.5238373414722122</v>
      </c>
      <c r="M8" s="269">
        <f>'WA Def 191010'!D99/-1000000</f>
        <v>3.3385260271402131</v>
      </c>
      <c r="N8" s="269">
        <f>'WA Def 191010'!E99/-1000000</f>
        <v>-6.0831075290700021</v>
      </c>
    </row>
    <row r="9" spans="1:34">
      <c r="A9" t="s">
        <v>3</v>
      </c>
      <c r="B9" s="269">
        <f>'WA Def 191010'!E8/-1000000</f>
        <v>-0.80916936732299949</v>
      </c>
      <c r="C9" s="269">
        <f>'WA Def 191010'!E19/-1000000</f>
        <v>-3.8730244701439993</v>
      </c>
      <c r="D9" s="269">
        <f>'WA Def 191010'!E27/-1000000</f>
        <v>-3.0674777859969997</v>
      </c>
      <c r="E9" s="269">
        <f>'WA Def 191010'!E35/-1000000</f>
        <v>-1.6934499394870002</v>
      </c>
      <c r="F9" s="269">
        <f>'WA Def 191010'!E43/-1000000</f>
        <v>-0.95669013858100027</v>
      </c>
      <c r="G9" s="269">
        <f>'WA Def 191010'!E51/-1000000</f>
        <v>-0.56131225301100107</v>
      </c>
      <c r="H9" s="269">
        <f>'WA Def 191010'!E59/-1000000</f>
        <v>-0.69541010451100072</v>
      </c>
      <c r="I9" s="269">
        <f>'WA Def 191010'!E67/-1000000</f>
        <v>-1.5643559408390004</v>
      </c>
      <c r="J9" s="269">
        <f>'WA Def 191010'!E75/-1000000</f>
        <v>-2.5778206653800004</v>
      </c>
      <c r="K9" s="269">
        <f>'WA Def 191010'!E83/-1000000</f>
        <v>-3.8494386956210014</v>
      </c>
      <c r="L9" s="269">
        <f>'WA Def 191010'!E91/-1000000</f>
        <v>-5.0597053680260018</v>
      </c>
      <c r="M9" s="269">
        <f>'WA Def 191010'!E99/-1000000</f>
        <v>-6.0831075290700021</v>
      </c>
      <c r="N9" s="269">
        <f>'WA Def 191010'!F99/-1000000</f>
        <v>3.1801240000000015E-2</v>
      </c>
    </row>
    <row r="10" spans="1:34">
      <c r="A10" s="270" t="s">
        <v>21</v>
      </c>
      <c r="B10" s="271">
        <f>SUM(B8:B9)</f>
        <v>5.8820827254316796</v>
      </c>
      <c r="C10" s="271">
        <f>SUM(C8:C9)</f>
        <v>-2.9706212739077906</v>
      </c>
      <c r="D10" s="271">
        <f t="shared" ref="D10:N10" si="1">SUM(D8:D9)</f>
        <v>-3.3090131473387885</v>
      </c>
      <c r="E10" s="271">
        <f t="shared" si="1"/>
        <v>-8.1079273796789142E-2</v>
      </c>
      <c r="F10" s="271">
        <f t="shared" ref="F10" si="2">SUM(F8:F9)</f>
        <v>-0.308347354710788</v>
      </c>
      <c r="G10" s="271">
        <f t="shared" si="1"/>
        <v>-0.22459324820778825</v>
      </c>
      <c r="H10" s="271">
        <f t="shared" si="1"/>
        <v>-6.4215939541787392E-2</v>
      </c>
      <c r="I10" s="271">
        <f t="shared" si="1"/>
        <v>-0.35530118313978565</v>
      </c>
      <c r="J10" s="271">
        <f t="shared" si="1"/>
        <v>-1.1947726686667868</v>
      </c>
      <c r="K10" s="271">
        <f t="shared" ref="K10" si="3">SUM(K8:K9)</f>
        <v>-1.971867582573789</v>
      </c>
      <c r="L10" s="271">
        <f t="shared" si="1"/>
        <v>-2.5358680265537896</v>
      </c>
      <c r="M10" s="271">
        <f t="shared" ref="M10" si="4">SUM(M8:M9)</f>
        <v>-2.744581501929789</v>
      </c>
      <c r="N10" s="271">
        <f t="shared" si="1"/>
        <v>-6.051306289070002</v>
      </c>
    </row>
    <row r="12" spans="1:34">
      <c r="A12" s="266" t="s">
        <v>221</v>
      </c>
    </row>
    <row r="13" spans="1:34">
      <c r="A13" s="267"/>
      <c r="B13" s="268" t="str">
        <f>TEXT(B4,"mmmmm-YY")</f>
        <v>O-12</v>
      </c>
      <c r="C13" s="268" t="str">
        <f>TEXT(C4,"mmmmm")</f>
        <v>N</v>
      </c>
      <c r="D13" s="268" t="str">
        <f>TEXT(D4,"mmmmm")</f>
        <v>D</v>
      </c>
      <c r="E13" s="268" t="str">
        <f t="shared" ref="E13:F13" si="5">TEXT(E4,"mmmmm-YY")</f>
        <v>J-13</v>
      </c>
      <c r="F13" s="268" t="str">
        <f t="shared" si="5"/>
        <v>F-13</v>
      </c>
      <c r="G13" s="268" t="str">
        <f t="shared" ref="G13:L13" si="6">TEXT(G4,"mmmmm")</f>
        <v>M</v>
      </c>
      <c r="H13" s="268" t="str">
        <f t="shared" si="6"/>
        <v>A</v>
      </c>
      <c r="I13" s="268" t="str">
        <f t="shared" si="6"/>
        <v>M</v>
      </c>
      <c r="J13" s="268" t="str">
        <f t="shared" si="6"/>
        <v>J</v>
      </c>
      <c r="K13" s="268" t="str">
        <f t="shared" ref="K13" si="7">TEXT(K4,"mmmmm")</f>
        <v>J</v>
      </c>
      <c r="L13" s="268" t="str">
        <f t="shared" si="6"/>
        <v>A</v>
      </c>
      <c r="M13" s="268" t="str">
        <f t="shared" ref="M13" si="8">TEXT(M4,"mmmmm")</f>
        <v>S</v>
      </c>
      <c r="N13" s="268" t="s">
        <v>245</v>
      </c>
    </row>
    <row r="14" spans="1:34">
      <c r="A14" t="s">
        <v>2</v>
      </c>
      <c r="B14" s="269">
        <f>('ID Def 191010'!D20+'ID Holdback 191015'!D16)/-1000000</f>
        <v>2.1383911983473967</v>
      </c>
      <c r="C14" s="269">
        <f>('ID Def 191010'!D29+'ID Holdback 191015'!D23)/-1000000</f>
        <v>1.2444255776995812</v>
      </c>
      <c r="D14" s="269">
        <f>('ID Def 191010'!D47+'ID Holdback 191015'!D30)/-1000000</f>
        <v>0.87195540999758092</v>
      </c>
      <c r="E14" s="269">
        <f>('ID Def 191010'!D56+'ID Holdback 191015'!D37)/-1000000</f>
        <v>1.6660490220255828</v>
      </c>
      <c r="F14" s="269">
        <f>('ID Def 191010'!D65+'ID Holdback 191015'!D45)/-1000000</f>
        <v>1.2966995405455823</v>
      </c>
      <c r="G14" s="269">
        <f>('ID Def 191010'!D74+'ID Holdback 191015'!D53)/-1000000</f>
        <v>1.1561449650525837</v>
      </c>
      <c r="H14" s="269">
        <f>('ID Def 191010'!D83+'ID Holdback 191015'!D61)/-1000000</f>
        <v>1.2996516898465837</v>
      </c>
      <c r="I14" s="269">
        <f>('ID Def 191010'!D92+'ID Holdback 191015'!D69)/-1000000</f>
        <v>1.5610150065365844</v>
      </c>
      <c r="J14" s="269">
        <f>('ID Def 191010'!D101+'ID Holdback 191015'!D77)/-1000000</f>
        <v>1.6482739833225839</v>
      </c>
      <c r="K14" s="269">
        <f>('ID Def 191010'!D110+'ID Holdback 191015'!D85)/-1000000</f>
        <v>1.8954571715485831</v>
      </c>
      <c r="L14" s="269">
        <f>('ID Def 191010'!D119+'ID Holdback 191015'!D93)/-1000000</f>
        <v>2.2528616869035827</v>
      </c>
      <c r="M14" s="269">
        <f>('ID Def 191010'!D128+'ID Holdback 191015'!D101)/-1000000</f>
        <v>2.7080381318555831</v>
      </c>
      <c r="N14" s="269">
        <f>('ID Def 191010'!D137+'ID Holdback 191015'!D109)/-1000000</f>
        <v>0.56600077745999999</v>
      </c>
    </row>
    <row r="15" spans="1:34">
      <c r="A15" t="s">
        <v>3</v>
      </c>
      <c r="B15" s="269">
        <f>('ID Def 191010'!E20+'ID Holdback 191015'!E16)/-1000000</f>
        <v>-0.82418407251353221</v>
      </c>
      <c r="C15" s="269">
        <f>('ID Def 191010'!E29+'ID Holdback 191015'!E23)/-1000000</f>
        <v>-0.80322416033553246</v>
      </c>
      <c r="D15" s="269">
        <f>('ID Def 191010'!E47+'ID Holdback 191015'!E30)/-1000000</f>
        <v>-0.39310178017253256</v>
      </c>
      <c r="E15" s="269">
        <f>('ID Def 191010'!E56+'ID Holdback 191015'!E37)/-1000000</f>
        <v>0.17129077183746722</v>
      </c>
      <c r="F15" s="269">
        <f>('ID Def 191010'!E65+'ID Holdback 191015'!E45)/-1000000</f>
        <v>0.35307272873146694</v>
      </c>
      <c r="G15" s="269">
        <f>('ID Def 191010'!E74+'ID Holdback 191015'!E53)/-1000000</f>
        <v>0.56382016840146643</v>
      </c>
      <c r="H15" s="269">
        <f>('ID Def 191010'!E83+'ID Holdback 191015'!E61)/-1000000</f>
        <v>0.53955121001146655</v>
      </c>
      <c r="I15" s="269">
        <f>('ID Def 191010'!E92+'ID Holdback 191015'!E69)/-1000000</f>
        <v>0.18205832733946647</v>
      </c>
      <c r="J15" s="269">
        <f>('ID Def 191010'!E101+'ID Holdback 191015'!E77)/-1000000</f>
        <v>-0.22184721294953361</v>
      </c>
      <c r="K15" s="269">
        <f>('ID Def 191010'!E110+'ID Holdback 191015'!E85)/-1000000</f>
        <v>-0.73848372468853407</v>
      </c>
      <c r="L15" s="269">
        <f>('ID Def 191010'!E119+'ID Holdback 191015'!E93)/-1000000</f>
        <v>-1.2085874236835343</v>
      </c>
      <c r="M15" s="269">
        <f>('ID Def 191010'!E128+'ID Holdback 191015'!E101)/-1000000</f>
        <v>-1.5854874293295345</v>
      </c>
      <c r="N15" s="269">
        <f>('ID Def 191010'!E137+'ID Holdback 191015'!E109)/-1000000</f>
        <v>-8.1480250077000355E-2</v>
      </c>
    </row>
    <row r="16" spans="1:34">
      <c r="A16" s="270" t="s">
        <v>21</v>
      </c>
      <c r="B16" s="271">
        <f>SUM(B14:B15)</f>
        <v>1.3142071258338643</v>
      </c>
      <c r="C16" s="271">
        <f>SUM(C14:C15)</f>
        <v>0.44120141736404872</v>
      </c>
      <c r="D16" s="271">
        <f t="shared" ref="D16:L16" si="9">SUM(D14:D15)</f>
        <v>0.47885362982504837</v>
      </c>
      <c r="E16" s="271">
        <f t="shared" si="9"/>
        <v>1.83733979386305</v>
      </c>
      <c r="F16" s="271">
        <f t="shared" ref="F16" si="10">SUM(F14:F15)</f>
        <v>1.6497722692770493</v>
      </c>
      <c r="G16" s="271">
        <f t="shared" si="9"/>
        <v>1.7199651334540502</v>
      </c>
      <c r="H16" s="271">
        <f t="shared" si="9"/>
        <v>1.8392028998580503</v>
      </c>
      <c r="I16" s="271">
        <f t="shared" si="9"/>
        <v>1.7430733338760509</v>
      </c>
      <c r="J16" s="271">
        <f t="shared" si="9"/>
        <v>1.4264267703730502</v>
      </c>
      <c r="K16" s="271">
        <f t="shared" si="9"/>
        <v>1.156973446860049</v>
      </c>
      <c r="L16" s="271">
        <f t="shared" si="9"/>
        <v>1.0442742632200483</v>
      </c>
      <c r="M16" s="271">
        <f t="shared" ref="M16:N16" si="11">SUM(M14:M15)</f>
        <v>1.1225507025260486</v>
      </c>
      <c r="N16" s="271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H2" sqref="H2"/>
    </sheetView>
  </sheetViews>
  <sheetFormatPr defaultRowHeight="12.75"/>
  <cols>
    <col min="1" max="1" width="17.5703125" bestFit="1" customWidth="1"/>
    <col min="2" max="2" width="7.28515625" bestFit="1" customWidth="1"/>
    <col min="3" max="3" width="4.85546875" bestFit="1" customWidth="1"/>
    <col min="4" max="4" width="16.7109375" bestFit="1" customWidth="1"/>
    <col min="5" max="5" width="12.28515625" bestFit="1" customWidth="1"/>
    <col min="6" max="6" width="9.28515625" bestFit="1" customWidth="1"/>
    <col min="7" max="7" width="7.140625" bestFit="1" customWidth="1"/>
    <col min="8" max="8" width="12.42578125" bestFit="1" customWidth="1"/>
    <col min="9" max="9" width="22.85546875" bestFit="1" customWidth="1"/>
    <col min="10" max="10" width="18.140625" bestFit="1" customWidth="1"/>
    <col min="11" max="11" width="12.42578125" bestFit="1" customWidth="1"/>
    <col min="12" max="12" width="23.5703125" bestFit="1" customWidth="1"/>
    <col min="13" max="13" width="40.42578125" bestFit="1" customWidth="1"/>
    <col min="15" max="15" width="12.85546875" customWidth="1"/>
  </cols>
  <sheetData>
    <row r="1" spans="1:13" ht="15">
      <c r="A1" s="497" t="s">
        <v>266</v>
      </c>
      <c r="B1" s="498" t="s">
        <v>267</v>
      </c>
      <c r="C1" s="499" t="s">
        <v>268</v>
      </c>
      <c r="D1" s="500" t="s">
        <v>269</v>
      </c>
      <c r="E1" s="499" t="s">
        <v>270</v>
      </c>
      <c r="F1" s="497" t="s">
        <v>271</v>
      </c>
      <c r="G1" s="497" t="s">
        <v>272</v>
      </c>
      <c r="H1" s="497" t="s">
        <v>273</v>
      </c>
      <c r="I1" s="497" t="s">
        <v>274</v>
      </c>
      <c r="J1" s="497" t="s">
        <v>275</v>
      </c>
      <c r="K1" s="501" t="s">
        <v>276</v>
      </c>
      <c r="L1" s="501" t="s">
        <v>277</v>
      </c>
      <c r="M1" s="499" t="s">
        <v>278</v>
      </c>
    </row>
    <row r="2" spans="1:13" ht="15">
      <c r="A2" s="502" t="s">
        <v>279</v>
      </c>
      <c r="B2" s="503"/>
      <c r="C2" s="503"/>
      <c r="D2" s="503"/>
      <c r="E2" s="503"/>
      <c r="F2" s="502">
        <v>1</v>
      </c>
      <c r="G2" s="504" t="str">
        <f>LEFT('WA - Def-Amtz (current)'!AI5,6)</f>
        <v>419600</v>
      </c>
      <c r="H2" s="504" t="str">
        <f>LEFT('WA - Def-Amtz (current)'!AJ5,6)</f>
        <v>GD</v>
      </c>
      <c r="I2" s="504" t="str">
        <f>LEFT('WA - Def-Amtz (current)'!AK5,6)</f>
        <v>WA</v>
      </c>
      <c r="J2" s="502" t="s">
        <v>282</v>
      </c>
      <c r="K2" s="505">
        <f>'WA - Def-Amtz (current)'!AL5</f>
        <v>0</v>
      </c>
      <c r="L2" s="505">
        <f>'WA - Def-Amtz (current)'!AM5</f>
        <v>0</v>
      </c>
      <c r="M2" s="525" t="str">
        <f>'WA - Def-Amtz (current)'!AH5</f>
        <v>WA Deferral Interest Income</v>
      </c>
    </row>
    <row r="3" spans="1:13" ht="15">
      <c r="A3" s="502" t="s">
        <v>279</v>
      </c>
      <c r="B3" s="503"/>
      <c r="C3" s="503"/>
      <c r="D3" s="503"/>
      <c r="E3" s="503"/>
      <c r="F3" s="502">
        <v>1</v>
      </c>
      <c r="G3" s="504" t="str">
        <f>LEFT('WA - Def-Amtz (current)'!AI6,6)</f>
        <v>431600</v>
      </c>
      <c r="H3" s="504" t="str">
        <f>LEFT('WA - Def-Amtz (current)'!AJ6,6)</f>
        <v>GD</v>
      </c>
      <c r="I3" s="504" t="str">
        <f>LEFT('WA - Def-Amtz (current)'!AK6,6)</f>
        <v>WA</v>
      </c>
      <c r="J3" s="502" t="s">
        <v>282</v>
      </c>
      <c r="K3" s="505">
        <f>'WA - Def-Amtz (current)'!AL6</f>
        <v>53973.95</v>
      </c>
      <c r="L3" s="505">
        <f>'WA - Def-Amtz (current)'!AM6</f>
        <v>0</v>
      </c>
      <c r="M3" s="525" t="str">
        <f>'WA - Def-Amtz (current)'!AH6</f>
        <v>WA Deferral Interest Expense</v>
      </c>
    </row>
    <row r="4" spans="1:13" ht="15">
      <c r="A4" s="502" t="s">
        <v>279</v>
      </c>
      <c r="B4" s="503"/>
      <c r="C4" s="503"/>
      <c r="D4" s="503"/>
      <c r="E4" s="503"/>
      <c r="F4" s="502">
        <v>1</v>
      </c>
      <c r="G4" s="504" t="str">
        <f>LEFT('WA - Def-Amtz (current)'!AI7,6)</f>
        <v>191010</v>
      </c>
      <c r="H4" s="504" t="str">
        <f>LEFT('WA - Def-Amtz (current)'!AJ7,6)</f>
        <v>GD</v>
      </c>
      <c r="I4" s="504" t="str">
        <f>LEFT('WA - Def-Amtz (current)'!AK7,6)</f>
        <v>WA</v>
      </c>
      <c r="J4" s="502" t="s">
        <v>282</v>
      </c>
      <c r="K4" s="505">
        <f>'WA - Def-Amtz (current)'!AL7</f>
        <v>0</v>
      </c>
      <c r="L4" s="505">
        <f>'WA - Def-Amtz (current)'!AM7</f>
        <v>1388249.7702520003</v>
      </c>
      <c r="M4" s="525" t="str">
        <f>'WA - Def-Amtz (current)'!AH7</f>
        <v>WA Deferral</v>
      </c>
    </row>
    <row r="5" spans="1:13" ht="15">
      <c r="A5" s="502" t="s">
        <v>279</v>
      </c>
      <c r="B5" s="503"/>
      <c r="C5" s="503"/>
      <c r="D5" s="503"/>
      <c r="E5" s="503"/>
      <c r="F5" s="502">
        <v>1</v>
      </c>
      <c r="G5" s="504" t="str">
        <f>LEFT('WA - Def-Amtz (current)'!AI8,6)</f>
        <v>805120</v>
      </c>
      <c r="H5" s="504" t="str">
        <f>LEFT('WA - Def-Amtz (current)'!AJ8,6)</f>
        <v>GD</v>
      </c>
      <c r="I5" s="504" t="str">
        <f>LEFT('WA - Def-Amtz (current)'!AK8,6)</f>
        <v>WA</v>
      </c>
      <c r="J5" s="502" t="s">
        <v>282</v>
      </c>
      <c r="K5" s="505">
        <f>'WA - Def-Amtz (current)'!AL8</f>
        <v>1334275.8202520004</v>
      </c>
      <c r="L5" s="505">
        <f>'WA - Def-Amtz (current)'!AM8</f>
        <v>0</v>
      </c>
      <c r="M5" s="525" t="str">
        <f>'WA - Def-Amtz (current)'!AH8</f>
        <v>WA Deferral Expense</v>
      </c>
    </row>
    <row r="6" spans="1:13" ht="15">
      <c r="A6" s="502" t="s">
        <v>279</v>
      </c>
      <c r="B6" s="503"/>
      <c r="C6" s="503"/>
      <c r="D6" s="503"/>
      <c r="E6" s="503"/>
      <c r="F6" s="502">
        <v>1</v>
      </c>
      <c r="G6" s="504" t="str">
        <f>LEFT('WA - Def-Amtz (current)'!AI36,6)</f>
        <v>431600</v>
      </c>
      <c r="H6" s="504" t="str">
        <f>LEFT('WA - Def-Amtz (current)'!AJ36,6)</f>
        <v>GD</v>
      </c>
      <c r="I6" s="504" t="str">
        <f>LEFT('WA - Def-Amtz (current)'!AK36,6)</f>
        <v>WA</v>
      </c>
      <c r="J6" s="502" t="s">
        <v>282</v>
      </c>
      <c r="K6" s="505">
        <f>'WA - Def-Amtz (current)'!AL36</f>
        <v>6682.6320707092254</v>
      </c>
      <c r="L6" s="505">
        <f>'WA - Def-Amtz (current)'!AM36</f>
        <v>0</v>
      </c>
      <c r="M6" s="525" t="str">
        <f>'WA - Def-Amtz (current)'!AH36</f>
        <v>WA Amortization Interest Expense</v>
      </c>
    </row>
    <row r="7" spans="1:13" ht="15">
      <c r="A7" s="502" t="s">
        <v>279</v>
      </c>
      <c r="B7" s="503"/>
      <c r="C7" s="503"/>
      <c r="D7" s="503"/>
      <c r="E7" s="503"/>
      <c r="F7" s="502">
        <v>1</v>
      </c>
      <c r="G7" s="504" t="str">
        <f>LEFT('WA - Def-Amtz (current)'!AI37,6)</f>
        <v>191000</v>
      </c>
      <c r="H7" s="504" t="str">
        <f>LEFT('WA - Def-Amtz (current)'!AJ37,6)</f>
        <v>GD</v>
      </c>
      <c r="I7" s="504" t="str">
        <f>LEFT('WA - Def-Amtz (current)'!AK37,6)</f>
        <v>WA</v>
      </c>
      <c r="J7" s="502" t="s">
        <v>282</v>
      </c>
      <c r="K7" s="505">
        <f>'WA - Def-Amtz (current)'!AL37</f>
        <v>1212769.1507992907</v>
      </c>
      <c r="L7" s="505">
        <f>'WA - Def-Amtz (current)'!AM37</f>
        <v>0</v>
      </c>
      <c r="M7" s="525" t="str">
        <f>'WA - Def-Amtz (current)'!AH37</f>
        <v>WA Amortization</v>
      </c>
    </row>
    <row r="8" spans="1:13" ht="15">
      <c r="A8" s="502" t="s">
        <v>279</v>
      </c>
      <c r="B8" s="503"/>
      <c r="C8" s="503"/>
      <c r="D8" s="503"/>
      <c r="E8" s="503"/>
      <c r="F8" s="502">
        <v>1</v>
      </c>
      <c r="G8" s="504" t="str">
        <f>LEFT('WA - Def-Amtz (current)'!AI38,6)</f>
        <v>805110</v>
      </c>
      <c r="H8" s="504" t="str">
        <f>LEFT('WA - Def-Amtz (current)'!AJ38,6)</f>
        <v>GD</v>
      </c>
      <c r="I8" s="504" t="str">
        <f>LEFT('WA - Def-Amtz (current)'!AK38,6)</f>
        <v>WA</v>
      </c>
      <c r="J8" s="502" t="s">
        <v>282</v>
      </c>
      <c r="K8" s="505">
        <f>'WA - Def-Amtz (current)'!AL38</f>
        <v>0</v>
      </c>
      <c r="L8" s="505">
        <f>'WA - Def-Amtz (current)'!AM38</f>
        <v>1219451.78287</v>
      </c>
      <c r="M8" s="525" t="str">
        <f>'WA - Def-Amtz (current)'!AH38</f>
        <v>WA Amortization Expense</v>
      </c>
    </row>
    <row r="9" spans="1:13" ht="15">
      <c r="A9" s="502" t="s">
        <v>279</v>
      </c>
      <c r="B9" s="503"/>
      <c r="C9" s="503"/>
      <c r="D9" s="503"/>
      <c r="E9" s="503"/>
      <c r="F9" s="502">
        <v>1</v>
      </c>
      <c r="G9" s="504" t="str">
        <f>LEFT('WA - Def-Amtz (current)'!AI70,6)</f>
        <v>191025</v>
      </c>
      <c r="H9" s="504" t="str">
        <f>LEFT('WA - Def-Amtz (current)'!AJ70,6)</f>
        <v>GD</v>
      </c>
      <c r="I9" s="504" t="str">
        <f>LEFT('WA - Def-Amtz (current)'!AK70,6)</f>
        <v>WA</v>
      </c>
      <c r="J9" s="502" t="s">
        <v>282</v>
      </c>
      <c r="K9" s="505">
        <f>'WA - Def-Amtz (current)'!AL70</f>
        <v>0</v>
      </c>
      <c r="L9" s="505">
        <f>'WA - Def-Amtz (current)'!AM70</f>
        <v>0</v>
      </c>
      <c r="M9" s="525" t="str">
        <f>'WA - Def-Amtz (current)'!AH70</f>
        <v>WA Amortization JP</v>
      </c>
    </row>
    <row r="10" spans="1:13" ht="15">
      <c r="A10" s="502" t="s">
        <v>279</v>
      </c>
      <c r="B10" s="503"/>
      <c r="C10" s="503"/>
      <c r="D10" s="503"/>
      <c r="E10" s="503"/>
      <c r="F10" s="502">
        <v>1</v>
      </c>
      <c r="G10" s="504" t="str">
        <f>LEFT('WA - Def-Amtz (current)'!AI71,6)</f>
        <v>805110</v>
      </c>
      <c r="H10" s="504" t="str">
        <f>LEFT('WA - Def-Amtz (current)'!AJ71,6)</f>
        <v>GD</v>
      </c>
      <c r="I10" s="504" t="str">
        <f>LEFT('WA - Def-Amtz (current)'!AK71,6)</f>
        <v>WA</v>
      </c>
      <c r="J10" s="502" t="s">
        <v>282</v>
      </c>
      <c r="K10" s="505">
        <f>'WA - Def-Amtz (current)'!AL71</f>
        <v>0</v>
      </c>
      <c r="L10" s="505">
        <f>'WA - Def-Amtz (current)'!AM71</f>
        <v>0</v>
      </c>
      <c r="M10" s="525" t="str">
        <f>'WA - Def-Amtz (current)'!AH71</f>
        <v>WA Amortization Expense JP</v>
      </c>
    </row>
    <row r="11" spans="1:13" ht="15">
      <c r="A11" s="502"/>
      <c r="B11" s="503"/>
      <c r="C11" s="503"/>
      <c r="D11" s="503"/>
      <c r="E11" s="503"/>
      <c r="F11" s="502"/>
      <c r="G11" s="504"/>
      <c r="H11" s="504"/>
      <c r="I11" s="504"/>
      <c r="J11" s="502"/>
      <c r="K11" s="505"/>
      <c r="L11" s="505"/>
      <c r="M11" s="525"/>
    </row>
    <row r="12" spans="1:13" ht="15">
      <c r="A12" s="502"/>
      <c r="B12" s="503"/>
      <c r="C12" s="503"/>
      <c r="D12" s="503"/>
      <c r="E12" s="503"/>
      <c r="F12" s="502"/>
      <c r="G12" s="504"/>
      <c r="H12" s="504"/>
      <c r="I12" s="504"/>
      <c r="J12" s="502"/>
      <c r="K12" s="505"/>
      <c r="L12" s="505"/>
      <c r="M12" s="525"/>
    </row>
    <row r="13" spans="1:13" ht="15">
      <c r="A13" s="502" t="s">
        <v>279</v>
      </c>
      <c r="B13" s="503"/>
      <c r="C13" s="503"/>
      <c r="D13" s="503"/>
      <c r="E13" s="503"/>
      <c r="F13" s="502">
        <v>1</v>
      </c>
      <c r="G13" s="504" t="e">
        <f>LEFT(#REF!,6)</f>
        <v>#REF!</v>
      </c>
      <c r="H13" s="504" t="e">
        <f>LEFT(#REF!,6)</f>
        <v>#REF!</v>
      </c>
      <c r="I13" s="504" t="e">
        <f>LEFT(#REF!,6)</f>
        <v>#REF!</v>
      </c>
      <c r="J13" s="502" t="s">
        <v>282</v>
      </c>
      <c r="K13" s="505" t="e">
        <f>#REF!</f>
        <v>#REF!</v>
      </c>
      <c r="L13" s="505" t="e">
        <f>#REF!</f>
        <v>#REF!</v>
      </c>
      <c r="M13" s="525" t="e">
        <f>#REF!</f>
        <v>#REF!</v>
      </c>
    </row>
    <row r="14" spans="1:13" ht="15">
      <c r="A14" s="502" t="s">
        <v>279</v>
      </c>
      <c r="B14" s="503"/>
      <c r="C14" s="503"/>
      <c r="D14" s="503"/>
      <c r="E14" s="503"/>
      <c r="F14" s="502">
        <v>1</v>
      </c>
      <c r="G14" s="504" t="e">
        <f>LEFT(#REF!,6)</f>
        <v>#REF!</v>
      </c>
      <c r="H14" s="504" t="e">
        <f>LEFT(#REF!,6)</f>
        <v>#REF!</v>
      </c>
      <c r="I14" s="504" t="e">
        <f>LEFT(#REF!,6)</f>
        <v>#REF!</v>
      </c>
      <c r="J14" s="502" t="s">
        <v>282</v>
      </c>
      <c r="K14" s="505" t="e">
        <f>#REF!</f>
        <v>#REF!</v>
      </c>
      <c r="L14" s="505" t="e">
        <f>#REF!</f>
        <v>#REF!</v>
      </c>
      <c r="M14" s="525" t="e">
        <f>#REF!</f>
        <v>#REF!</v>
      </c>
    </row>
    <row r="15" spans="1:13" ht="15">
      <c r="A15" s="502" t="s">
        <v>279</v>
      </c>
      <c r="B15" s="503"/>
      <c r="C15" s="503"/>
      <c r="D15" s="503"/>
      <c r="E15" s="503"/>
      <c r="F15" s="502">
        <v>1</v>
      </c>
      <c r="G15" s="504" t="e">
        <f>LEFT(#REF!,6)</f>
        <v>#REF!</v>
      </c>
      <c r="H15" s="504" t="e">
        <f>LEFT(#REF!,6)</f>
        <v>#REF!</v>
      </c>
      <c r="I15" s="504" t="e">
        <f>LEFT(#REF!,6)</f>
        <v>#REF!</v>
      </c>
      <c r="J15" s="502" t="s">
        <v>282</v>
      </c>
      <c r="K15" s="505" t="e">
        <f>#REF!</f>
        <v>#REF!</v>
      </c>
      <c r="L15" s="505" t="e">
        <f>#REF!</f>
        <v>#REF!</v>
      </c>
      <c r="M15" s="525" t="e">
        <f>#REF!</f>
        <v>#REF!</v>
      </c>
    </row>
    <row r="16" spans="1:13" ht="15">
      <c r="A16" s="502" t="s">
        <v>279</v>
      </c>
      <c r="B16" s="503"/>
      <c r="C16" s="503"/>
      <c r="D16" s="503"/>
      <c r="E16" s="503"/>
      <c r="F16" s="502">
        <v>1</v>
      </c>
      <c r="G16" s="504" t="e">
        <f>LEFT(#REF!,6)</f>
        <v>#REF!</v>
      </c>
      <c r="H16" s="504" t="e">
        <f>LEFT(#REF!,6)</f>
        <v>#REF!</v>
      </c>
      <c r="I16" s="504" t="e">
        <f>LEFT(#REF!,6)</f>
        <v>#REF!</v>
      </c>
      <c r="J16" s="502" t="s">
        <v>282</v>
      </c>
      <c r="K16" s="505" t="e">
        <f>#REF!</f>
        <v>#REF!</v>
      </c>
      <c r="L16" s="505" t="e">
        <f>#REF!</f>
        <v>#REF!</v>
      </c>
      <c r="M16" s="525" t="e">
        <f>#REF!</f>
        <v>#REF!</v>
      </c>
    </row>
    <row r="17" spans="1:13" ht="15">
      <c r="A17" s="502" t="s">
        <v>279</v>
      </c>
      <c r="B17" s="503"/>
      <c r="C17" s="503"/>
      <c r="D17" s="503"/>
      <c r="E17" s="503"/>
      <c r="F17" s="502">
        <v>1</v>
      </c>
      <c r="G17" s="504" t="e">
        <f>LEFT(#REF!,6)</f>
        <v>#REF!</v>
      </c>
      <c r="H17" s="504" t="e">
        <f>LEFT(#REF!,6)</f>
        <v>#REF!</v>
      </c>
      <c r="I17" s="504" t="e">
        <f>LEFT(#REF!,6)</f>
        <v>#REF!</v>
      </c>
      <c r="J17" s="502" t="s">
        <v>282</v>
      </c>
      <c r="K17" s="505" t="e">
        <f>#REF!</f>
        <v>#REF!</v>
      </c>
      <c r="L17" s="505" t="e">
        <f>#REF!</f>
        <v>#REF!</v>
      </c>
      <c r="M17" s="525" t="e">
        <f>#REF!</f>
        <v>#REF!</v>
      </c>
    </row>
    <row r="18" spans="1:13" ht="15">
      <c r="A18" s="502" t="s">
        <v>279</v>
      </c>
      <c r="B18" s="503"/>
      <c r="C18" s="503"/>
      <c r="D18" s="503"/>
      <c r="E18" s="503"/>
      <c r="F18" s="502">
        <v>1</v>
      </c>
      <c r="G18" s="504" t="e">
        <f>LEFT(#REF!,6)</f>
        <v>#REF!</v>
      </c>
      <c r="H18" s="504" t="e">
        <f>LEFT(#REF!,6)</f>
        <v>#REF!</v>
      </c>
      <c r="I18" s="504" t="e">
        <f>LEFT(#REF!,6)</f>
        <v>#REF!</v>
      </c>
      <c r="J18" s="502" t="s">
        <v>282</v>
      </c>
      <c r="K18" s="505" t="e">
        <f>#REF!</f>
        <v>#REF!</v>
      </c>
      <c r="L18" s="505" t="e">
        <f>#REF!</f>
        <v>#REF!</v>
      </c>
      <c r="M18" s="525" t="e">
        <f>#REF!</f>
        <v>#REF!</v>
      </c>
    </row>
    <row r="19" spans="1:13" ht="15">
      <c r="A19" s="502" t="s">
        <v>279</v>
      </c>
      <c r="B19" s="503"/>
      <c r="C19" s="503"/>
      <c r="D19" s="503"/>
      <c r="E19" s="503"/>
      <c r="F19" s="502">
        <v>1</v>
      </c>
      <c r="G19" s="504" t="e">
        <f>LEFT(#REF!,6)</f>
        <v>#REF!</v>
      </c>
      <c r="H19" s="504" t="e">
        <f>LEFT(#REF!,6)</f>
        <v>#REF!</v>
      </c>
      <c r="I19" s="504" t="e">
        <f>LEFT(#REF!,6)</f>
        <v>#REF!</v>
      </c>
      <c r="J19" s="502" t="s">
        <v>282</v>
      </c>
      <c r="K19" s="505" t="e">
        <f>#REF!</f>
        <v>#REF!</v>
      </c>
      <c r="L19" s="505" t="e">
        <f>#REF!</f>
        <v>#REF!</v>
      </c>
      <c r="M19" s="525" t="e">
        <f>#REF!</f>
        <v>#REF!</v>
      </c>
    </row>
    <row r="20" spans="1:13" ht="15">
      <c r="A20" s="502" t="s">
        <v>279</v>
      </c>
      <c r="B20" s="503"/>
      <c r="C20" s="503"/>
      <c r="D20" s="503"/>
      <c r="E20" s="503"/>
      <c r="F20" s="502">
        <v>1</v>
      </c>
      <c r="G20" s="504" t="e">
        <f>LEFT(#REF!,6)</f>
        <v>#REF!</v>
      </c>
      <c r="H20" s="504" t="e">
        <f>LEFT(#REF!,6)</f>
        <v>#REF!</v>
      </c>
      <c r="I20" s="504" t="e">
        <f>LEFT(#REF!,6)</f>
        <v>#REF!</v>
      </c>
      <c r="J20" s="502" t="s">
        <v>282</v>
      </c>
      <c r="K20" s="505" t="e">
        <f>#REF!</f>
        <v>#REF!</v>
      </c>
      <c r="L20" s="505" t="e">
        <f>#REF!</f>
        <v>#REF!</v>
      </c>
      <c r="M20" s="525" t="e">
        <f>#REF!</f>
        <v>#REF!</v>
      </c>
    </row>
    <row r="21" spans="1:13" ht="15">
      <c r="A21" s="502"/>
      <c r="B21" s="503"/>
      <c r="C21" s="503"/>
      <c r="D21" s="503"/>
      <c r="E21" s="503"/>
      <c r="F21" s="502"/>
      <c r="G21" s="504"/>
      <c r="H21" s="504"/>
      <c r="I21" s="504"/>
      <c r="J21" s="502"/>
      <c r="K21" s="505"/>
      <c r="L21" s="505"/>
      <c r="M21" s="525"/>
    </row>
    <row r="22" spans="1:13" ht="15">
      <c r="A22" s="502"/>
      <c r="B22" s="503"/>
      <c r="C22" s="503"/>
      <c r="D22" s="503"/>
      <c r="E22" s="503"/>
      <c r="F22" s="502"/>
      <c r="G22" s="504"/>
      <c r="H22" s="504"/>
      <c r="I22" s="504"/>
      <c r="J22" s="502"/>
      <c r="K22" s="505"/>
      <c r="L22" s="505"/>
      <c r="M22" s="525"/>
    </row>
    <row r="23" spans="1:13" s="539" customFormat="1" ht="15">
      <c r="A23" s="502"/>
      <c r="B23" s="503"/>
      <c r="C23" s="503"/>
      <c r="D23" s="503"/>
      <c r="E23" s="503"/>
      <c r="F23" s="502"/>
      <c r="G23" s="504"/>
      <c r="H23" s="504"/>
      <c r="I23" s="504"/>
      <c r="J23" s="502"/>
      <c r="K23" s="505"/>
      <c r="L23" s="505"/>
      <c r="M23" s="545"/>
    </row>
    <row r="24" spans="1:13" s="539" customFormat="1" ht="15">
      <c r="A24" s="502"/>
      <c r="B24" s="503"/>
      <c r="C24" s="503"/>
      <c r="D24" s="503"/>
      <c r="E24" s="503"/>
      <c r="F24" s="502"/>
      <c r="G24" s="504"/>
      <c r="H24" s="504"/>
      <c r="I24" s="504"/>
      <c r="J24" s="502"/>
      <c r="K24" s="505"/>
      <c r="L24" s="505"/>
      <c r="M24" s="545"/>
    </row>
    <row r="25" spans="1:13" ht="15">
      <c r="A25" s="502" t="s">
        <v>279</v>
      </c>
      <c r="B25" s="503"/>
      <c r="C25" s="503"/>
      <c r="D25" s="503"/>
      <c r="E25" s="503"/>
      <c r="F25" s="502">
        <v>1</v>
      </c>
      <c r="G25" s="504" t="e">
        <f>LEFT(#REF!,6)</f>
        <v>#REF!</v>
      </c>
      <c r="H25" s="504" t="e">
        <f>LEFT(#REF!,6)</f>
        <v>#REF!</v>
      </c>
      <c r="I25" s="504" t="e">
        <f>LEFT(#REF!,6)</f>
        <v>#REF!</v>
      </c>
      <c r="J25" s="502" t="s">
        <v>282</v>
      </c>
      <c r="K25" s="505" t="e">
        <f>#REF!</f>
        <v>#REF!</v>
      </c>
      <c r="L25" s="505" t="e">
        <f>#REF!</f>
        <v>#REF!</v>
      </c>
      <c r="M25" s="525" t="e">
        <f>#REF!</f>
        <v>#REF!</v>
      </c>
    </row>
    <row r="26" spans="1:13" ht="15">
      <c r="A26" s="502" t="s">
        <v>279</v>
      </c>
      <c r="B26" s="503"/>
      <c r="C26" s="503"/>
      <c r="D26" s="503"/>
      <c r="E26" s="503"/>
      <c r="F26" s="502">
        <v>1</v>
      </c>
      <c r="G26" s="504" t="e">
        <f>LEFT(#REF!,6)</f>
        <v>#REF!</v>
      </c>
      <c r="H26" s="504" t="e">
        <f>LEFT(#REF!,6)</f>
        <v>#REF!</v>
      </c>
      <c r="I26" s="504" t="e">
        <f>LEFT(#REF!,6)</f>
        <v>#REF!</v>
      </c>
      <c r="J26" s="502" t="s">
        <v>282</v>
      </c>
      <c r="K26" s="505" t="e">
        <f>#REF!</f>
        <v>#REF!</v>
      </c>
      <c r="L26" s="505" t="e">
        <f>#REF!</f>
        <v>#REF!</v>
      </c>
      <c r="M26" s="525" t="e">
        <f>#REF!</f>
        <v>#REF!</v>
      </c>
    </row>
    <row r="27" spans="1:13" ht="15">
      <c r="A27" s="502" t="s">
        <v>279</v>
      </c>
      <c r="B27" s="503"/>
      <c r="C27" s="503"/>
      <c r="D27" s="503"/>
      <c r="E27" s="503"/>
      <c r="F27" s="502">
        <v>1</v>
      </c>
      <c r="G27" s="504" t="e">
        <f>LEFT(#REF!,6)</f>
        <v>#REF!</v>
      </c>
      <c r="H27" s="504" t="e">
        <f>LEFT(#REF!,6)</f>
        <v>#REF!</v>
      </c>
      <c r="I27" s="504" t="e">
        <f>LEFT(#REF!,6)</f>
        <v>#REF!</v>
      </c>
      <c r="J27" s="502" t="s">
        <v>282</v>
      </c>
      <c r="K27" s="505" t="e">
        <f>#REF!</f>
        <v>#REF!</v>
      </c>
      <c r="L27" s="505" t="e">
        <f>#REF!</f>
        <v>#REF!</v>
      </c>
      <c r="M27" s="525" t="e">
        <f>#REF!</f>
        <v>#REF!</v>
      </c>
    </row>
    <row r="28" spans="1:13" ht="15">
      <c r="A28" s="502" t="s">
        <v>279</v>
      </c>
      <c r="B28" s="503"/>
      <c r="C28" s="503"/>
      <c r="D28" s="503"/>
      <c r="E28" s="503"/>
      <c r="F28" s="502">
        <v>1</v>
      </c>
      <c r="G28" s="504" t="e">
        <f>LEFT(#REF!,6)</f>
        <v>#REF!</v>
      </c>
      <c r="H28" s="504" t="e">
        <f>LEFT(#REF!,6)</f>
        <v>#REF!</v>
      </c>
      <c r="I28" s="504" t="e">
        <f>LEFT(#REF!,6)</f>
        <v>#REF!</v>
      </c>
      <c r="J28" s="502" t="s">
        <v>282</v>
      </c>
      <c r="K28" s="505" t="e">
        <f>#REF!</f>
        <v>#REF!</v>
      </c>
      <c r="L28" s="505" t="e">
        <f>#REF!</f>
        <v>#REF!</v>
      </c>
      <c r="M28" s="525" t="e">
        <f>#REF!</f>
        <v>#REF!</v>
      </c>
    </row>
    <row r="29" spans="1:13" ht="15">
      <c r="A29" s="502" t="s">
        <v>279</v>
      </c>
      <c r="B29" s="503"/>
      <c r="C29" s="503"/>
      <c r="D29" s="503"/>
      <c r="E29" s="503"/>
      <c r="F29" s="502">
        <v>1</v>
      </c>
      <c r="G29" s="504" t="e">
        <f>LEFT(#REF!,6)</f>
        <v>#REF!</v>
      </c>
      <c r="H29" s="504" t="e">
        <f>LEFT(#REF!,6)</f>
        <v>#REF!</v>
      </c>
      <c r="I29" s="504" t="e">
        <f>LEFT(#REF!,6)</f>
        <v>#REF!</v>
      </c>
      <c r="J29" s="502" t="s">
        <v>282</v>
      </c>
      <c r="K29" s="505" t="e">
        <f>#REF!</f>
        <v>#REF!</v>
      </c>
      <c r="L29" s="505" t="e">
        <f>#REF!</f>
        <v>#REF!</v>
      </c>
      <c r="M29" s="525" t="e">
        <f>#REF!</f>
        <v>#REF!</v>
      </c>
    </row>
    <row r="30" spans="1:13" ht="15">
      <c r="A30" s="502" t="s">
        <v>279</v>
      </c>
      <c r="B30" s="503"/>
      <c r="C30" s="503"/>
      <c r="D30" s="503"/>
      <c r="E30" s="503"/>
      <c r="F30" s="502">
        <v>1</v>
      </c>
      <c r="G30" s="504" t="e">
        <f>LEFT(#REF!,6)</f>
        <v>#REF!</v>
      </c>
      <c r="H30" s="504" t="e">
        <f>LEFT(#REF!,6)</f>
        <v>#REF!</v>
      </c>
      <c r="I30" s="504" t="e">
        <f>LEFT(#REF!,6)</f>
        <v>#REF!</v>
      </c>
      <c r="J30" s="502" t="s">
        <v>282</v>
      </c>
      <c r="K30" s="505" t="e">
        <f>#REF!</f>
        <v>#REF!</v>
      </c>
      <c r="L30" s="505" t="e">
        <f>#REF!</f>
        <v>#REF!</v>
      </c>
      <c r="M30" s="525" t="e">
        <f>#REF!</f>
        <v>#REF!</v>
      </c>
    </row>
    <row r="31" spans="1:13" ht="15">
      <c r="A31" s="502"/>
      <c r="B31" s="503"/>
      <c r="C31" s="503"/>
      <c r="D31" s="503"/>
      <c r="E31" s="503"/>
      <c r="F31" s="502"/>
      <c r="G31" s="504"/>
      <c r="H31" s="504"/>
      <c r="I31" s="504"/>
      <c r="J31" s="502"/>
    </row>
    <row r="32" spans="1:13">
      <c r="K32" t="e">
        <f>SUM(K2:K31)</f>
        <v>#REF!</v>
      </c>
      <c r="L32" t="e">
        <f>SUM(L2:L31)</f>
        <v>#REF!</v>
      </c>
    </row>
  </sheetData>
  <pageMargins left="0.7" right="0.7" top="0.75" bottom="0.75" header="0.3" footer="0.3"/>
  <pageSetup scale="61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W24"/>
  <sheetViews>
    <sheetView zoomScale="85" zoomScaleNormal="85" workbookViewId="0">
      <selection activeCell="E24" sqref="E24"/>
    </sheetView>
  </sheetViews>
  <sheetFormatPr defaultColWidth="8.85546875" defaultRowHeight="15"/>
  <cols>
    <col min="1" max="1" width="9.140625" style="624" customWidth="1"/>
    <col min="2" max="2" width="8.85546875" style="624"/>
    <col min="3" max="3" width="1.7109375" style="625" customWidth="1"/>
    <col min="4" max="4" width="11.7109375" style="625" customWidth="1"/>
    <col min="5" max="5" width="13.7109375" style="624" customWidth="1"/>
    <col min="6" max="7" width="14.28515625" style="655" customWidth="1"/>
    <col min="8" max="8" width="14.7109375" style="624" bestFit="1" customWidth="1"/>
    <col min="9" max="9" width="12.140625" style="624" customWidth="1"/>
    <col min="10" max="10" width="15.28515625" style="655" bestFit="1" customWidth="1"/>
    <col min="11" max="11" width="1.7109375" style="625" customWidth="1"/>
    <col min="12" max="12" width="13.5703125" style="624" customWidth="1"/>
    <col min="13" max="13" width="13.85546875" style="624" bestFit="1" customWidth="1"/>
    <col min="14" max="16" width="8.85546875" style="624"/>
    <col min="17" max="17" width="12.7109375" style="624" customWidth="1"/>
    <col min="18" max="19" width="13.140625" style="624" bestFit="1" customWidth="1"/>
    <col min="20" max="16384" width="8.85546875" style="624"/>
  </cols>
  <sheetData>
    <row r="1" spans="1:15" s="619" customFormat="1" ht="15.75">
      <c r="A1" s="617" t="s">
        <v>13</v>
      </c>
      <c r="B1" s="618"/>
      <c r="C1" s="618"/>
      <c r="D1" s="618"/>
      <c r="E1" s="618"/>
      <c r="F1" s="618"/>
      <c r="G1" s="618"/>
      <c r="H1" s="618"/>
    </row>
    <row r="2" spans="1:15" s="619" customFormat="1" ht="15.75">
      <c r="A2" s="617" t="s">
        <v>0</v>
      </c>
      <c r="B2" s="618"/>
      <c r="C2" s="618"/>
      <c r="D2" s="618"/>
      <c r="E2" s="618"/>
      <c r="F2" s="618"/>
      <c r="G2" s="618"/>
      <c r="H2" s="618"/>
    </row>
    <row r="3" spans="1:15" s="619" customFormat="1" ht="15.75">
      <c r="A3" s="617" t="s">
        <v>340</v>
      </c>
      <c r="B3" s="618"/>
      <c r="C3" s="618"/>
      <c r="D3" s="618"/>
      <c r="E3" s="618"/>
      <c r="F3" s="618"/>
      <c r="G3" s="618"/>
      <c r="H3" s="618"/>
    </row>
    <row r="4" spans="1:15" s="622" customFormat="1" ht="18.75" thickBot="1">
      <c r="A4" s="620"/>
      <c r="B4" s="621"/>
      <c r="C4" s="621"/>
      <c r="D4" s="621"/>
      <c r="E4" s="621"/>
      <c r="F4" s="621"/>
      <c r="G4" s="621"/>
      <c r="H4" s="621"/>
    </row>
    <row r="5" spans="1:15" s="627" customFormat="1" ht="16.5" thickBot="1">
      <c r="A5" s="623"/>
      <c r="B5" s="624"/>
      <c r="C5" s="625"/>
      <c r="D5" s="669" t="s">
        <v>341</v>
      </c>
      <c r="E5" s="670"/>
      <c r="F5" s="670"/>
      <c r="G5" s="670"/>
      <c r="H5" s="670"/>
      <c r="I5" s="670"/>
      <c r="J5" s="671"/>
      <c r="K5" s="626"/>
      <c r="L5" s="624"/>
      <c r="M5" s="624"/>
      <c r="N5" s="624"/>
      <c r="O5" s="624"/>
    </row>
    <row r="6" spans="1:15" s="627" customFormat="1" ht="56.45" customHeight="1">
      <c r="A6" s="628" t="s">
        <v>321</v>
      </c>
      <c r="B6" s="629" t="s">
        <v>253</v>
      </c>
      <c r="C6" s="630"/>
      <c r="D6" s="631" t="s">
        <v>322</v>
      </c>
      <c r="E6" s="631" t="s">
        <v>345</v>
      </c>
      <c r="F6" s="631" t="s">
        <v>250</v>
      </c>
      <c r="G6" s="631" t="s">
        <v>3</v>
      </c>
      <c r="H6" s="631" t="s">
        <v>2</v>
      </c>
      <c r="I6" s="631" t="s">
        <v>4</v>
      </c>
      <c r="J6" s="631" t="s">
        <v>56</v>
      </c>
      <c r="K6" s="630"/>
      <c r="L6" s="632" t="s">
        <v>323</v>
      </c>
      <c r="M6" s="632" t="s">
        <v>324</v>
      </c>
    </row>
    <row r="7" spans="1:15" s="627" customFormat="1">
      <c r="A7" s="633" t="s">
        <v>325</v>
      </c>
      <c r="B7" s="637">
        <v>3.5000000000000003E-2</v>
      </c>
      <c r="C7" s="638"/>
      <c r="D7" s="639">
        <v>0</v>
      </c>
      <c r="E7" s="639">
        <v>0</v>
      </c>
      <c r="F7" s="634">
        <v>-6818269.0499999998</v>
      </c>
      <c r="G7" s="639">
        <v>-2913519.2274390003</v>
      </c>
      <c r="H7" s="639">
        <v>-491376.17008000147</v>
      </c>
      <c r="I7" s="634">
        <f>ROUND(((F7)*(B7/12))+((SUM(G7:H7)/2)*(B7/12)),2)</f>
        <v>-24852.09</v>
      </c>
      <c r="J7" s="634">
        <f>SUM(F7:I7)</f>
        <v>-10248016.537519</v>
      </c>
      <c r="K7" s="640"/>
      <c r="L7" s="635">
        <f>_xll.Get_Balance(A7,"YTD","USD","Total","A","","001","191010","GD","WA","DL")</f>
        <v>-10248016.539999999</v>
      </c>
      <c r="M7" s="636">
        <f>L7-J7</f>
        <v>-2.4809986352920532E-3</v>
      </c>
    </row>
    <row r="8" spans="1:15" s="627" customFormat="1">
      <c r="A8" s="633" t="s">
        <v>326</v>
      </c>
      <c r="B8" s="637">
        <v>3.5000000000000003E-2</v>
      </c>
      <c r="C8" s="638"/>
      <c r="D8" s="639">
        <v>0</v>
      </c>
      <c r="E8" s="639">
        <v>0</v>
      </c>
      <c r="F8" s="634">
        <f t="shared" ref="F8:F16" si="0">J7+E8</f>
        <v>-10248016.537519</v>
      </c>
      <c r="G8" s="639">
        <v>-1856358.6126210007</v>
      </c>
      <c r="H8" s="639">
        <v>-201411.09328799881</v>
      </c>
      <c r="I8" s="634">
        <f>ROUND(((F8)*(B8/12))+((SUM(G8:H8)/2)*(B8/12)),2)</f>
        <v>-32890.959999999999</v>
      </c>
      <c r="J8" s="634">
        <f t="shared" ref="J8:J21" si="1">SUM(F8:I8)</f>
        <v>-12338677.203428</v>
      </c>
      <c r="K8" s="640"/>
      <c r="L8" s="635">
        <f>_xll.Get_Balance(A8,"YTD","USD","Total","A","","001","191010","GD","WA","DL")</f>
        <v>-12338677.210000001</v>
      </c>
      <c r="M8" s="636">
        <f t="shared" ref="M8:M21" si="2">L8-J8</f>
        <v>-6.5720006823539734E-3</v>
      </c>
    </row>
    <row r="9" spans="1:15" s="627" customFormat="1">
      <c r="A9" s="633" t="s">
        <v>327</v>
      </c>
      <c r="B9" s="637">
        <v>3.5000000000000003E-2</v>
      </c>
      <c r="C9" s="638"/>
      <c r="D9" s="639">
        <v>0</v>
      </c>
      <c r="E9" s="639">
        <v>0</v>
      </c>
      <c r="F9" s="634">
        <f t="shared" si="0"/>
        <v>-12338677.203428</v>
      </c>
      <c r="G9" s="639">
        <v>-916596.2697570005</v>
      </c>
      <c r="H9" s="639">
        <v>-696753.01067200163</v>
      </c>
      <c r="I9" s="634">
        <f t="shared" ref="I9:I15" si="3">ROUND(((F9)*(B9/12))+((SUM(G9:H9)/2)*(B9/12)),2)</f>
        <v>-38340.61</v>
      </c>
      <c r="J9" s="634">
        <f t="shared" si="1"/>
        <v>-13990367.093857002</v>
      </c>
      <c r="K9" s="640"/>
      <c r="L9" s="635">
        <f>_xll.Get_Balance(A9,"YTD","USD","Total","A","","001","191010","GD","WA","DL")</f>
        <v>-13990367.1</v>
      </c>
      <c r="M9" s="636">
        <f t="shared" si="2"/>
        <v>-6.1429981142282486E-3</v>
      </c>
    </row>
    <row r="10" spans="1:15" s="627" customFormat="1">
      <c r="A10" s="633" t="s">
        <v>328</v>
      </c>
      <c r="B10" s="637">
        <v>3.7100000000000001E-2</v>
      </c>
      <c r="C10" s="638"/>
      <c r="D10" s="639">
        <v>0</v>
      </c>
      <c r="E10" s="639">
        <v>0</v>
      </c>
      <c r="F10" s="634">
        <f t="shared" si="0"/>
        <v>-13990367.093857002</v>
      </c>
      <c r="G10" s="639">
        <v>-225142.70389499958</v>
      </c>
      <c r="H10" s="639">
        <v>-912928.80422000168</v>
      </c>
      <c r="I10" s="634">
        <f t="shared" si="3"/>
        <v>-45012.82</v>
      </c>
      <c r="J10" s="634">
        <f t="shared" si="1"/>
        <v>-15173451.421972003</v>
      </c>
      <c r="K10" s="640"/>
      <c r="L10" s="635">
        <f>_xll.Get_Balance(A10,"YTD","USD","Total","A","","001","191010","GD","WA","DL")</f>
        <v>-15173451.43</v>
      </c>
      <c r="M10" s="636">
        <f t="shared" si="2"/>
        <v>-8.0279968678951263E-3</v>
      </c>
    </row>
    <row r="11" spans="1:15" s="627" customFormat="1">
      <c r="A11" s="633" t="s">
        <v>329</v>
      </c>
      <c r="B11" s="637">
        <v>3.7100000000000001E-2</v>
      </c>
      <c r="C11" s="638"/>
      <c r="D11" s="639">
        <v>0</v>
      </c>
      <c r="E11" s="639">
        <v>0</v>
      </c>
      <c r="F11" s="634">
        <f t="shared" si="0"/>
        <v>-15173451.421972003</v>
      </c>
      <c r="G11" s="639">
        <v>604158.21510300005</v>
      </c>
      <c r="H11" s="639">
        <v>-482101.19766700035</v>
      </c>
      <c r="I11" s="634">
        <f t="shared" si="3"/>
        <v>-46722.57</v>
      </c>
      <c r="J11" s="634">
        <f t="shared" si="1"/>
        <v>-15098116.974536004</v>
      </c>
      <c r="K11" s="640"/>
      <c r="L11" s="635">
        <f>_xll.Get_Balance(A11,"YTD","USD","Total","A","","001","191010","GD","WA","DL")</f>
        <v>-15098116.98</v>
      </c>
      <c r="M11" s="636">
        <f t="shared" si="2"/>
        <v>-5.4639969021081924E-3</v>
      </c>
    </row>
    <row r="12" spans="1:15" s="627" customFormat="1">
      <c r="A12" s="633" t="s">
        <v>330</v>
      </c>
      <c r="B12" s="637">
        <v>3.7100000000000001E-2</v>
      </c>
      <c r="C12" s="638"/>
      <c r="D12" s="639">
        <v>0</v>
      </c>
      <c r="E12" s="639">
        <v>0</v>
      </c>
      <c r="F12" s="634">
        <f t="shared" si="0"/>
        <v>-15098116.974536004</v>
      </c>
      <c r="G12" s="639">
        <v>953286.75289800053</v>
      </c>
      <c r="H12" s="639">
        <v>-580245.48787200102</v>
      </c>
      <c r="I12" s="634">
        <f t="shared" si="3"/>
        <v>-46101.69</v>
      </c>
      <c r="J12" s="634">
        <f t="shared" si="1"/>
        <v>-14771177.399510004</v>
      </c>
      <c r="K12" s="640"/>
      <c r="L12" s="635">
        <f>_xll.Get_Balance(A12,"YTD","USD","Total","A","","001","191010","GD","WA","DL")</f>
        <v>-14771177.4</v>
      </c>
      <c r="M12" s="636">
        <f t="shared" si="2"/>
        <v>-4.8999674618244171E-4</v>
      </c>
    </row>
    <row r="13" spans="1:15" s="627" customFormat="1">
      <c r="A13" s="633" t="s">
        <v>331</v>
      </c>
      <c r="B13" s="637">
        <v>3.9600000000000003E-2</v>
      </c>
      <c r="C13" s="638"/>
      <c r="D13" s="639">
        <v>0</v>
      </c>
      <c r="E13" s="639">
        <v>0</v>
      </c>
      <c r="F13" s="634">
        <f t="shared" si="0"/>
        <v>-14771177.399510004</v>
      </c>
      <c r="G13" s="639">
        <v>1129801.1151090004</v>
      </c>
      <c r="H13" s="639">
        <v>-2217856.2503400007</v>
      </c>
      <c r="I13" s="634">
        <f t="shared" si="3"/>
        <v>-50540.18</v>
      </c>
      <c r="J13" s="634">
        <f>SUM(F13:I13)</f>
        <v>-15909772.714741003</v>
      </c>
      <c r="K13" s="640"/>
      <c r="L13" s="635">
        <f>_xll.Get_Balance(A13,"YTD","USD","Total","A","","001","191010","GD","WA","DL")</f>
        <v>-15909772.720000001</v>
      </c>
      <c r="M13" s="636">
        <f t="shared" si="2"/>
        <v>-5.2589979022741318E-3</v>
      </c>
    </row>
    <row r="14" spans="1:15" s="627" customFormat="1">
      <c r="A14" s="633" t="s">
        <v>332</v>
      </c>
      <c r="B14" s="637">
        <v>3.9600000000000003E-2</v>
      </c>
      <c r="C14" s="638"/>
      <c r="D14" s="639">
        <v>0</v>
      </c>
      <c r="E14" s="639">
        <v>0</v>
      </c>
      <c r="F14" s="634">
        <f t="shared" si="0"/>
        <v>-15909772.714741003</v>
      </c>
      <c r="G14" s="639">
        <v>1095472.3340190002</v>
      </c>
      <c r="H14" s="639">
        <v>-2108794.2989039999</v>
      </c>
      <c r="I14" s="634">
        <f t="shared" si="3"/>
        <v>-54174.23</v>
      </c>
      <c r="J14" s="634">
        <f>SUM(F14:I14)</f>
        <v>-16977268.909626003</v>
      </c>
      <c r="K14" s="640"/>
      <c r="L14" s="635">
        <f>_xll.Get_Balance(A14,"YTD","USD","Total","A","","001","191010","GD","WA","DL")</f>
        <v>-16977268.91</v>
      </c>
      <c r="M14" s="636">
        <f t="shared" si="2"/>
        <v>-3.739967942237854E-4</v>
      </c>
    </row>
    <row r="15" spans="1:15" s="627" customFormat="1">
      <c r="A15" s="633" t="s">
        <v>333</v>
      </c>
      <c r="B15" s="637">
        <v>3.9600000000000003E-2</v>
      </c>
      <c r="C15" s="638"/>
      <c r="D15" s="639">
        <v>0</v>
      </c>
      <c r="E15" s="639">
        <v>0</v>
      </c>
      <c r="F15" s="634">
        <f t="shared" si="0"/>
        <v>-16977268.909626003</v>
      </c>
      <c r="G15" s="639">
        <v>853220.47718099994</v>
      </c>
      <c r="H15" s="639">
        <v>-2779163.5886399997</v>
      </c>
      <c r="I15" s="634">
        <f t="shared" si="3"/>
        <v>-59202.79</v>
      </c>
      <c r="J15" s="634">
        <f t="shared" si="1"/>
        <v>-18962414.811085001</v>
      </c>
      <c r="K15" s="640"/>
      <c r="L15" s="635">
        <f>_xll.Get_Balance(A15,"YTD","USD","Total","A","","001","191010","GD","WA","DL")</f>
        <v>-18962414.809999999</v>
      </c>
      <c r="M15" s="636">
        <f t="shared" si="2"/>
        <v>1.0850019752979279E-3</v>
      </c>
    </row>
    <row r="16" spans="1:15" s="627" customFormat="1">
      <c r="A16" s="633" t="s">
        <v>334</v>
      </c>
      <c r="B16" s="637">
        <v>4.2099999999999999E-2</v>
      </c>
      <c r="C16" s="638"/>
      <c r="D16" s="639">
        <v>0</v>
      </c>
      <c r="E16" s="639">
        <v>0</v>
      </c>
      <c r="F16" s="634">
        <f t="shared" si="0"/>
        <v>-18962414.811085001</v>
      </c>
      <c r="G16" s="639">
        <v>15042.059238000307</v>
      </c>
      <c r="H16" s="639">
        <v>-2935887.7038159985</v>
      </c>
      <c r="I16" s="634">
        <f>ROUND(((F16)*(B16/12))+((SUM(G16:H16)/2)*(B16/12)),2)</f>
        <v>-71650.12</v>
      </c>
      <c r="J16" s="634">
        <f t="shared" si="1"/>
        <v>-21954910.575662997</v>
      </c>
      <c r="K16" s="640"/>
      <c r="L16" s="635">
        <f>_xll.Get_Balance(A16,"YTD","USD","Total","A","","001","191010","GD","WA","DL")</f>
        <v>-21954910.57</v>
      </c>
      <c r="M16" s="636">
        <f t="shared" si="2"/>
        <v>5.6629963219165802E-3</v>
      </c>
    </row>
    <row r="17" spans="1:23" s="627" customFormat="1">
      <c r="A17" s="633" t="s">
        <v>335</v>
      </c>
      <c r="B17" s="637">
        <v>4.2099999999999999E-2</v>
      </c>
      <c r="C17" s="638"/>
      <c r="D17" s="639">
        <v>35.15</v>
      </c>
      <c r="E17" s="639">
        <f>-J12</f>
        <v>14771177.399510004</v>
      </c>
      <c r="F17" s="634">
        <f>J16+E17+D17</f>
        <v>-7183698.0261529926</v>
      </c>
      <c r="G17" s="639">
        <v>-592732.92055399995</v>
      </c>
      <c r="H17" s="639">
        <v>-386463.99829400051</v>
      </c>
      <c r="I17" s="634">
        <f>ROUND(((J16+E17)*(B17/12))+((SUM(G17:H17)/2)*(B17/12)),2)</f>
        <v>-26920.61</v>
      </c>
      <c r="J17" s="634">
        <f>SUM(F17:I17)</f>
        <v>-8189815.5550009934</v>
      </c>
      <c r="K17" s="640"/>
      <c r="L17" s="635">
        <f>_xll.Get_Balance(A17,"YTD","USD","Total","A","","001","191010","GD","WA","DL")</f>
        <v>-8189815.5499999998</v>
      </c>
      <c r="M17" s="636">
        <f t="shared" si="2"/>
        <v>5.0009936094284058E-3</v>
      </c>
    </row>
    <row r="18" spans="1:23" s="627" customFormat="1" ht="15.75" thickBot="1">
      <c r="A18" s="641" t="s">
        <v>336</v>
      </c>
      <c r="B18" s="642">
        <v>4.2099999999999999E-2</v>
      </c>
      <c r="C18" s="638"/>
      <c r="D18" s="643">
        <v>0</v>
      </c>
      <c r="E18" s="643">
        <v>0</v>
      </c>
      <c r="F18" s="644">
        <f>J17+E18+D18</f>
        <v>-8189815.5550009934</v>
      </c>
      <c r="G18" s="643">
        <v>-1678391.1285159995</v>
      </c>
      <c r="H18" s="643">
        <v>-1205525.6512180055</v>
      </c>
      <c r="I18" s="644">
        <f>ROUND(((F18)*(B18/12))+((SUM(G18:H18)/2)*(B18/12)),2)</f>
        <v>-33791.47</v>
      </c>
      <c r="J18" s="644">
        <f t="shared" si="1"/>
        <v>-11107523.804734999</v>
      </c>
      <c r="K18" s="640"/>
      <c r="L18" s="645">
        <f>_xll.Get_Balance(A18,"YTD","USD","Total","A","","001","191010","GD","WA","DL")</f>
        <v>-11107523.800000001</v>
      </c>
      <c r="M18" s="646">
        <f t="shared" si="2"/>
        <v>4.7349985688924789E-3</v>
      </c>
    </row>
    <row r="19" spans="1:23" s="627" customFormat="1" collapsed="1">
      <c r="A19" s="647" t="s">
        <v>337</v>
      </c>
      <c r="B19" s="648">
        <v>4.2500000000000003E-2</v>
      </c>
      <c r="C19" s="638"/>
      <c r="D19" s="649">
        <v>0</v>
      </c>
      <c r="E19" s="649">
        <v>0</v>
      </c>
      <c r="F19" s="650">
        <f>J18+E19</f>
        <v>-11107523.804734999</v>
      </c>
      <c r="G19" s="649">
        <v>-1348640.4203420002</v>
      </c>
      <c r="H19" s="649">
        <v>-743591.89883300196</v>
      </c>
      <c r="I19" s="634">
        <f>ROUND(((F19)*(B19/12))+((SUM(G19:H19)/2)*(B19/12)),2)</f>
        <v>-43044.14</v>
      </c>
      <c r="J19" s="650">
        <f t="shared" si="1"/>
        <v>-13242800.263910003</v>
      </c>
      <c r="K19" s="640"/>
      <c r="L19" s="635">
        <f>_xll.Get_Balance(A19,"YTD","USD","Total","A","","001","191010","GD","WA","DL")</f>
        <v>-13242800.26</v>
      </c>
      <c r="M19" s="636">
        <f t="shared" si="2"/>
        <v>3.9100032299757004E-3</v>
      </c>
    </row>
    <row r="20" spans="1:23" s="627" customFormat="1">
      <c r="A20" s="633" t="s">
        <v>338</v>
      </c>
      <c r="B20" s="648">
        <v>4.2500000000000003E-2</v>
      </c>
      <c r="C20" s="638"/>
      <c r="D20" s="639">
        <v>0</v>
      </c>
      <c r="E20" s="639">
        <v>0</v>
      </c>
      <c r="F20" s="650">
        <f>J19+E20</f>
        <v>-13242800.263910003</v>
      </c>
      <c r="G20" s="649">
        <v>-1492728.8649899999</v>
      </c>
      <c r="H20" s="649">
        <v>1500599.2415440008</v>
      </c>
      <c r="I20" s="634">
        <f>ROUND(((F20)*(B20/12))+((SUM(G20:H20)/2)*(B20/12)),2)</f>
        <v>-46887.65</v>
      </c>
      <c r="J20" s="634">
        <f t="shared" si="1"/>
        <v>-13281817.537356002</v>
      </c>
      <c r="K20" s="640"/>
      <c r="L20" s="635">
        <f>_xll.Get_Balance(A20,"YTD","USD","Total","A","","001","191010","GD","WA","DL")</f>
        <v>-13281817.529999999</v>
      </c>
      <c r="M20" s="636">
        <f t="shared" si="2"/>
        <v>7.3560029268264771E-3</v>
      </c>
    </row>
    <row r="21" spans="1:23" s="627" customFormat="1">
      <c r="A21" s="633" t="s">
        <v>339</v>
      </c>
      <c r="B21" s="648">
        <v>4.2500000000000003E-2</v>
      </c>
      <c r="C21" s="638"/>
      <c r="D21" s="639">
        <v>0</v>
      </c>
      <c r="E21" s="639">
        <v>0</v>
      </c>
      <c r="F21" s="650">
        <f>J20+E21</f>
        <v>-13281817.537356002</v>
      </c>
      <c r="G21" s="649">
        <v>-772819.73601999972</v>
      </c>
      <c r="H21" s="649">
        <v>262271.11627200013</v>
      </c>
      <c r="I21" s="634">
        <f>ROUND(((F21)*(B21/12))+((SUM(G21:H21)/2)*(B21/12)),2)</f>
        <v>-47943.87</v>
      </c>
      <c r="J21" s="634">
        <f t="shared" si="1"/>
        <v>-13840310.027104001</v>
      </c>
      <c r="K21" s="640"/>
      <c r="L21" s="635">
        <f>_xll.Get_Balance(A21,"YTD","USD","Total","A","","001","191010","GD","WA","DL")</f>
        <v>-13840310.02</v>
      </c>
      <c r="M21" s="636">
        <f t="shared" si="2"/>
        <v>7.1040019392967224E-3</v>
      </c>
    </row>
    <row r="22" spans="1:23" ht="15.75">
      <c r="Q22" s="654"/>
      <c r="R22" s="653"/>
      <c r="S22" s="653"/>
      <c r="T22" s="652"/>
      <c r="U22" s="625"/>
      <c r="V22" s="625"/>
      <c r="W22" s="625"/>
    </row>
    <row r="23" spans="1:23">
      <c r="Q23" s="625"/>
      <c r="R23" s="625"/>
      <c r="S23" s="625"/>
      <c r="T23" s="625"/>
      <c r="U23" s="625"/>
      <c r="V23" s="625"/>
      <c r="W23" s="625"/>
    </row>
    <row r="24" spans="1:23">
      <c r="Q24" s="625"/>
      <c r="R24" s="625"/>
      <c r="S24" s="625"/>
      <c r="T24" s="625"/>
      <c r="U24" s="625"/>
      <c r="V24" s="625"/>
      <c r="W24" s="625"/>
    </row>
  </sheetData>
  <mergeCells count="1">
    <mergeCell ref="D5:J5"/>
  </mergeCells>
  <pageMargins left="0.7" right="0" top="0.75" bottom="0.75" header="0.3" footer="0.3"/>
  <pageSetup scale="58" orientation="landscape" r:id="rId1"/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W24"/>
  <sheetViews>
    <sheetView zoomScale="85" zoomScaleNormal="85" workbookViewId="0">
      <selection activeCell="E24" sqref="E24"/>
    </sheetView>
  </sheetViews>
  <sheetFormatPr defaultColWidth="8.85546875" defaultRowHeight="15"/>
  <cols>
    <col min="1" max="1" width="9.140625" style="624" customWidth="1"/>
    <col min="2" max="2" width="8.85546875" style="624"/>
    <col min="3" max="3" width="1.7109375" style="625" customWidth="1"/>
    <col min="4" max="4" width="11.7109375" style="625" customWidth="1"/>
    <col min="5" max="5" width="13.7109375" style="624" customWidth="1"/>
    <col min="6" max="7" width="14.28515625" style="655" customWidth="1"/>
    <col min="8" max="8" width="14.7109375" style="624" bestFit="1" customWidth="1"/>
    <col min="9" max="9" width="12.140625" style="624" customWidth="1"/>
    <col min="10" max="10" width="15.28515625" style="655" bestFit="1" customWidth="1"/>
    <col min="11" max="11" width="1.7109375" style="625" customWidth="1"/>
    <col min="12" max="12" width="13.5703125" style="624" customWidth="1"/>
    <col min="13" max="13" width="13.85546875" style="624" bestFit="1" customWidth="1"/>
    <col min="14" max="16" width="8.85546875" style="624"/>
    <col min="17" max="17" width="12.7109375" style="624" customWidth="1"/>
    <col min="18" max="19" width="13.140625" style="624" bestFit="1" customWidth="1"/>
    <col min="20" max="16384" width="8.85546875" style="624"/>
  </cols>
  <sheetData>
    <row r="1" spans="1:17" s="619" customFormat="1" ht="15.75">
      <c r="A1" s="617" t="s">
        <v>13</v>
      </c>
      <c r="B1" s="618"/>
      <c r="C1" s="618"/>
      <c r="D1" s="618"/>
      <c r="E1" s="618"/>
      <c r="F1" s="618"/>
      <c r="G1" s="618"/>
      <c r="H1" s="618"/>
    </row>
    <row r="2" spans="1:17" s="619" customFormat="1" ht="15.75">
      <c r="A2" s="617" t="s">
        <v>46</v>
      </c>
      <c r="B2" s="618"/>
      <c r="C2" s="618"/>
      <c r="D2" s="618"/>
      <c r="E2" s="618"/>
      <c r="F2" s="618"/>
      <c r="G2" s="618"/>
      <c r="H2" s="618"/>
    </row>
    <row r="3" spans="1:17" s="619" customFormat="1" ht="15.75">
      <c r="A3" s="617" t="s">
        <v>340</v>
      </c>
      <c r="B3" s="618"/>
      <c r="C3" s="618"/>
      <c r="D3" s="618"/>
      <c r="E3" s="618"/>
      <c r="F3" s="618"/>
      <c r="G3" s="618"/>
      <c r="H3" s="618"/>
    </row>
    <row r="4" spans="1:17" s="622" customFormat="1" ht="18.75" thickBot="1">
      <c r="A4" s="620"/>
      <c r="B4" s="621"/>
      <c r="C4" s="621"/>
      <c r="D4" s="621"/>
      <c r="E4" s="621"/>
      <c r="F4" s="621"/>
      <c r="G4" s="621"/>
      <c r="H4" s="621"/>
    </row>
    <row r="5" spans="1:17" s="627" customFormat="1" ht="16.5" thickBot="1">
      <c r="A5" s="623"/>
      <c r="B5" s="624"/>
      <c r="C5" s="625"/>
      <c r="D5" s="669" t="s">
        <v>341</v>
      </c>
      <c r="E5" s="670"/>
      <c r="F5" s="670"/>
      <c r="G5" s="670"/>
      <c r="H5" s="670"/>
      <c r="I5" s="670"/>
      <c r="J5" s="671"/>
      <c r="K5" s="626"/>
      <c r="L5" s="624"/>
      <c r="M5" s="624"/>
      <c r="N5" s="624"/>
      <c r="O5" s="624"/>
    </row>
    <row r="6" spans="1:17" s="627" customFormat="1" ht="56.45" customHeight="1">
      <c r="A6" s="628" t="s">
        <v>321</v>
      </c>
      <c r="B6" s="629" t="s">
        <v>253</v>
      </c>
      <c r="C6" s="630"/>
      <c r="D6" s="631" t="s">
        <v>322</v>
      </c>
      <c r="E6" s="631" t="s">
        <v>345</v>
      </c>
      <c r="F6" s="631" t="s">
        <v>250</v>
      </c>
      <c r="G6" s="631" t="s">
        <v>3</v>
      </c>
      <c r="H6" s="631" t="s">
        <v>2</v>
      </c>
      <c r="I6" s="631" t="s">
        <v>4</v>
      </c>
      <c r="J6" s="631" t="s">
        <v>56</v>
      </c>
      <c r="K6" s="630"/>
      <c r="L6" s="632" t="s">
        <v>323</v>
      </c>
      <c r="M6" s="632" t="s">
        <v>324</v>
      </c>
    </row>
    <row r="7" spans="1:17" s="627" customFormat="1">
      <c r="A7" s="633" t="s">
        <v>325</v>
      </c>
      <c r="B7" s="637">
        <v>0.01</v>
      </c>
      <c r="C7" s="638"/>
      <c r="D7" s="639">
        <v>0</v>
      </c>
      <c r="E7" s="639">
        <v>0</v>
      </c>
      <c r="F7" s="634">
        <v>-3636402.23</v>
      </c>
      <c r="G7" s="639">
        <v>-1124312.9336709999</v>
      </c>
      <c r="H7" s="639">
        <v>-217727.43546999991</v>
      </c>
      <c r="I7" s="634">
        <f>ROUND(((F7)*(B7/12))+((SUM(G7:H7)/2)*(B7/12)),2)</f>
        <v>-3589.52</v>
      </c>
      <c r="J7" s="634">
        <f>SUM(F7:I7)</f>
        <v>-4982032.1191409994</v>
      </c>
      <c r="K7" s="640"/>
      <c r="L7" s="635">
        <f>_xll.Get_Balance(A7,"YTD","USD","Total","A","","001","191010","GD","ID","DL")</f>
        <v>-4982032.12</v>
      </c>
      <c r="M7" s="636">
        <f>L7-J7</f>
        <v>-8.5900072008371353E-4</v>
      </c>
    </row>
    <row r="8" spans="1:17" s="627" customFormat="1">
      <c r="A8" s="633" t="s">
        <v>326</v>
      </c>
      <c r="B8" s="637">
        <v>0.01</v>
      </c>
      <c r="C8" s="638"/>
      <c r="D8" s="639">
        <v>0</v>
      </c>
      <c r="E8" s="639">
        <v>0</v>
      </c>
      <c r="F8" s="634">
        <f t="shared" ref="F8:F16" si="0">J7+E8</f>
        <v>-4982032.1191409994</v>
      </c>
      <c r="G8" s="639">
        <v>-640372.66759899992</v>
      </c>
      <c r="H8" s="639">
        <v>-84389.379861999769</v>
      </c>
      <c r="I8" s="634">
        <f>ROUND(((F8)*(B8/12))+((SUM(G8:H8)/2)*(B8/12)),2)</f>
        <v>-4453.68</v>
      </c>
      <c r="J8" s="634">
        <f t="shared" ref="J8:J21" si="1">SUM(F8:I8)</f>
        <v>-5711247.8466019984</v>
      </c>
      <c r="K8" s="640"/>
      <c r="L8" s="635">
        <f>_xll.Get_Balance(A8,"YTD","USD","Total","A","","001","191010","GD","ID","DL")</f>
        <v>-5711247.8499999996</v>
      </c>
      <c r="M8" s="636">
        <f t="shared" ref="M8:M21" si="2">L8-J8</f>
        <v>-3.3980011940002441E-3</v>
      </c>
    </row>
    <row r="9" spans="1:17" s="627" customFormat="1">
      <c r="A9" s="633" t="s">
        <v>327</v>
      </c>
      <c r="B9" s="637">
        <v>0.01</v>
      </c>
      <c r="C9" s="638"/>
      <c r="D9" s="639">
        <v>0</v>
      </c>
      <c r="E9" s="639">
        <v>0</v>
      </c>
      <c r="F9" s="634">
        <f t="shared" si="0"/>
        <v>-5711247.8466019984</v>
      </c>
      <c r="G9" s="639">
        <v>-408480.45094300003</v>
      </c>
      <c r="H9" s="639">
        <v>-329270.69572800025</v>
      </c>
      <c r="I9" s="634">
        <f t="shared" ref="I9:I15" si="3">ROUND(((F9)*(B9/12))+((SUM(G9:H9)/2)*(B9/12)),2)</f>
        <v>-5066.7700000000004</v>
      </c>
      <c r="J9" s="634">
        <f t="shared" si="1"/>
        <v>-6454065.7632729979</v>
      </c>
      <c r="K9" s="640"/>
      <c r="L9" s="635">
        <f>_xll.Get_Balance(A9,"YTD","USD","Total","A","","001","191010","GD","ID","DL")</f>
        <v>-6454065.7699999996</v>
      </c>
      <c r="M9" s="636">
        <f t="shared" si="2"/>
        <v>-6.7270016297698021E-3</v>
      </c>
    </row>
    <row r="10" spans="1:17" s="627" customFormat="1">
      <c r="A10" s="633" t="s">
        <v>328</v>
      </c>
      <c r="B10" s="637">
        <v>0.01</v>
      </c>
      <c r="C10" s="638"/>
      <c r="D10" s="639">
        <v>0</v>
      </c>
      <c r="E10" s="639">
        <v>0</v>
      </c>
      <c r="F10" s="634">
        <f t="shared" si="0"/>
        <v>-6454065.7632729979</v>
      </c>
      <c r="G10" s="639">
        <v>-126214.21559499972</v>
      </c>
      <c r="H10" s="639">
        <v>-440151.27622999996</v>
      </c>
      <c r="I10" s="634">
        <f t="shared" si="3"/>
        <v>-5614.37</v>
      </c>
      <c r="J10" s="634">
        <f t="shared" si="1"/>
        <v>-7026045.6250979975</v>
      </c>
      <c r="K10" s="640"/>
      <c r="L10" s="635">
        <f>_xll.Get_Balance(A10,"YTD","USD","Total","A","","001","191010","GD","ID","DL")</f>
        <v>-7026045.6299999999</v>
      </c>
      <c r="M10" s="636">
        <f t="shared" si="2"/>
        <v>-4.9020024016499519E-3</v>
      </c>
    </row>
    <row r="11" spans="1:17" s="627" customFormat="1">
      <c r="A11" s="633" t="s">
        <v>329</v>
      </c>
      <c r="B11" s="637">
        <v>0.01</v>
      </c>
      <c r="C11" s="638"/>
      <c r="D11" s="639">
        <v>0</v>
      </c>
      <c r="E11" s="639">
        <v>0</v>
      </c>
      <c r="F11" s="634">
        <f t="shared" si="0"/>
        <v>-7026045.6250979975</v>
      </c>
      <c r="G11" s="639">
        <v>205125.27402700001</v>
      </c>
      <c r="H11" s="639">
        <v>-244744.84833299997</v>
      </c>
      <c r="I11" s="634">
        <f t="shared" si="3"/>
        <v>-5871.55</v>
      </c>
      <c r="J11" s="634">
        <f t="shared" si="1"/>
        <v>-7071536.7494039973</v>
      </c>
      <c r="K11" s="640"/>
      <c r="L11" s="635">
        <f>_xll.Get_Balance(A11,"YTD","USD","Total","A","","001","191010","GD","ID","DL")</f>
        <v>-7071536.75</v>
      </c>
      <c r="M11" s="636">
        <f t="shared" si="2"/>
        <v>-5.9600267559289932E-4</v>
      </c>
    </row>
    <row r="12" spans="1:17" s="627" customFormat="1">
      <c r="A12" s="633" t="s">
        <v>330</v>
      </c>
      <c r="B12" s="637">
        <v>0.01</v>
      </c>
      <c r="C12" s="638"/>
      <c r="D12" s="639">
        <v>0</v>
      </c>
      <c r="E12" s="639">
        <v>0</v>
      </c>
      <c r="F12" s="634">
        <f t="shared" si="0"/>
        <v>-7071536.7494039973</v>
      </c>
      <c r="G12" s="639">
        <v>347787.41086200019</v>
      </c>
      <c r="H12" s="639">
        <v>-324186.75672800053</v>
      </c>
      <c r="I12" s="634">
        <f t="shared" si="3"/>
        <v>-5883.11</v>
      </c>
      <c r="J12" s="634">
        <f t="shared" si="1"/>
        <v>-7053819.2052699989</v>
      </c>
      <c r="K12" s="640"/>
      <c r="L12" s="635">
        <f>_xll.Get_Balance(A12,"YTD","USD","Total","A","","001","191010","GD","ID","DL")</f>
        <v>-7053819.21</v>
      </c>
      <c r="M12" s="636">
        <f t="shared" si="2"/>
        <v>-4.7300010919570923E-3</v>
      </c>
    </row>
    <row r="13" spans="1:17" s="627" customFormat="1">
      <c r="A13" s="633" t="s">
        <v>331</v>
      </c>
      <c r="B13" s="637">
        <v>0.01</v>
      </c>
      <c r="C13" s="638"/>
      <c r="D13" s="639">
        <v>0</v>
      </c>
      <c r="E13" s="639">
        <v>0</v>
      </c>
      <c r="F13" s="634">
        <f t="shared" si="0"/>
        <v>-7053819.2052699989</v>
      </c>
      <c r="G13" s="639">
        <v>434764.70247100014</v>
      </c>
      <c r="H13" s="639">
        <v>-1187641.0790100005</v>
      </c>
      <c r="I13" s="634">
        <f t="shared" si="3"/>
        <v>-6191.88</v>
      </c>
      <c r="J13" s="634">
        <f>SUM(F13:I13)</f>
        <v>-7812887.4618089991</v>
      </c>
      <c r="K13" s="640"/>
      <c r="L13" s="635">
        <f>_xll.Get_Balance(A13,"YTD","USD","Total","A","","001","191010","GD","ID","DL")</f>
        <v>-7812887.4699999997</v>
      </c>
      <c r="M13" s="636">
        <f t="shared" si="2"/>
        <v>-8.1910006701946259E-3</v>
      </c>
    </row>
    <row r="14" spans="1:17" s="627" customFormat="1">
      <c r="A14" s="633" t="s">
        <v>332</v>
      </c>
      <c r="B14" s="637">
        <v>0.01</v>
      </c>
      <c r="C14" s="638"/>
      <c r="D14" s="639">
        <v>0</v>
      </c>
      <c r="E14" s="639">
        <v>0</v>
      </c>
      <c r="F14" s="634">
        <f t="shared" si="0"/>
        <v>-7812887.4618089991</v>
      </c>
      <c r="G14" s="639">
        <v>381249.17529100023</v>
      </c>
      <c r="H14" s="639">
        <v>-1323183.6971459999</v>
      </c>
      <c r="I14" s="634">
        <f t="shared" si="3"/>
        <v>-6903.21</v>
      </c>
      <c r="J14" s="634">
        <f>SUM(F14:I14)</f>
        <v>-8761725.1936639994</v>
      </c>
      <c r="K14" s="640"/>
      <c r="L14" s="635">
        <f>_xll.Get_Balance(A14,"YTD","USD","Total","A","","001","191010","GD","ID","DL")</f>
        <v>-8761725.1999999993</v>
      </c>
      <c r="M14" s="636">
        <f t="shared" si="2"/>
        <v>-6.3359998166561127E-3</v>
      </c>
    </row>
    <row r="15" spans="1:17" s="627" customFormat="1">
      <c r="A15" s="633" t="s">
        <v>333</v>
      </c>
      <c r="B15" s="637">
        <v>0.01</v>
      </c>
      <c r="C15" s="638"/>
      <c r="D15" s="639">
        <v>0</v>
      </c>
      <c r="E15" s="639">
        <v>0</v>
      </c>
      <c r="F15" s="634">
        <f t="shared" si="0"/>
        <v>-8761725.1936639994</v>
      </c>
      <c r="G15" s="639">
        <v>366051.02451899991</v>
      </c>
      <c r="H15" s="639">
        <v>-1205028.0759599996</v>
      </c>
      <c r="I15" s="634">
        <f t="shared" si="3"/>
        <v>-7651.01</v>
      </c>
      <c r="J15" s="634">
        <f t="shared" si="1"/>
        <v>-9608353.2551049981</v>
      </c>
      <c r="K15" s="640"/>
      <c r="L15" s="635">
        <f>_xll.Get_Balance(A15,"YTD","USD","Total","A","","001","191010","GD","ID","DL")</f>
        <v>-9608353.2599999998</v>
      </c>
      <c r="M15" s="636">
        <f t="shared" si="2"/>
        <v>-4.8950016498565674E-3</v>
      </c>
    </row>
    <row r="16" spans="1:17" s="627" customFormat="1">
      <c r="A16" s="633" t="s">
        <v>334</v>
      </c>
      <c r="B16" s="637">
        <v>0.01</v>
      </c>
      <c r="C16" s="638"/>
      <c r="D16" s="639">
        <v>0</v>
      </c>
      <c r="E16" s="639">
        <v>0</v>
      </c>
      <c r="F16" s="634">
        <f t="shared" si="0"/>
        <v>-9608353.2551049981</v>
      </c>
      <c r="G16" s="639">
        <v>-100974.55569799966</v>
      </c>
      <c r="H16" s="639">
        <v>-1567468.5970339996</v>
      </c>
      <c r="I16" s="634">
        <f>ROUND(((F16)*(B16/12))+((SUM(G16:H16)/2)*(B16/12)),2)</f>
        <v>-8702.15</v>
      </c>
      <c r="J16" s="634">
        <f>SUM(F16:I16)-0.01</f>
        <v>-11285498.567836998</v>
      </c>
      <c r="K16" s="640"/>
      <c r="L16" s="635">
        <f>_xll.Get_Balance(A16,"YTD","USD","Total","A","","001","191010","GD","ID","DL")</f>
        <v>-11285498.560000001</v>
      </c>
      <c r="M16" s="636">
        <f t="shared" si="2"/>
        <v>7.8369975090026855E-3</v>
      </c>
      <c r="Q16" s="656"/>
    </row>
    <row r="17" spans="1:23" s="627" customFormat="1">
      <c r="A17" s="633" t="s">
        <v>335</v>
      </c>
      <c r="B17" s="637">
        <v>0.01</v>
      </c>
      <c r="C17" s="638"/>
      <c r="D17" s="639">
        <v>16.07</v>
      </c>
      <c r="E17" s="639">
        <f>-J12-0.44</f>
        <v>7053818.7652699985</v>
      </c>
      <c r="F17" s="634">
        <f>J16</f>
        <v>-11285498.567836998</v>
      </c>
      <c r="G17" s="639">
        <v>-348265.1694459999</v>
      </c>
      <c r="H17" s="639">
        <v>-137219.40170599986</v>
      </c>
      <c r="I17" s="634">
        <f>ROUND(((J16+E17+D17)*(B17/12))+((SUM(G17:H17)/2)*(B17/12)),2)</f>
        <v>-3728.67</v>
      </c>
      <c r="J17" s="634">
        <f>SUM(D17:I17)</f>
        <v>-4720876.973718999</v>
      </c>
      <c r="K17" s="640"/>
      <c r="L17" s="635">
        <f>_xll.Get_Balance(A17,"YTD","USD","Total","A","","001","191010","GD","ID","DL")</f>
        <v>-4720876.96</v>
      </c>
      <c r="M17" s="636">
        <f t="shared" si="2"/>
        <v>1.3718998990952969E-2</v>
      </c>
      <c r="P17" s="656"/>
      <c r="Q17" s="656"/>
    </row>
    <row r="18" spans="1:23" s="627" customFormat="1" ht="15.75" thickBot="1">
      <c r="A18" s="641" t="s">
        <v>336</v>
      </c>
      <c r="B18" s="642">
        <v>0.01</v>
      </c>
      <c r="C18" s="638"/>
      <c r="D18" s="643">
        <v>0</v>
      </c>
      <c r="E18" s="643">
        <v>0</v>
      </c>
      <c r="F18" s="644">
        <f>J17+E18+D18</f>
        <v>-4720876.973718999</v>
      </c>
      <c r="G18" s="643">
        <v>-800149.73148399976</v>
      </c>
      <c r="H18" s="643">
        <v>-548636.05878200196</v>
      </c>
      <c r="I18" s="644">
        <f>ROUND(((F18)*(B18/12))+((SUM(G18:H18)/2)*(B18/12)),2)</f>
        <v>-4496.0600000000004</v>
      </c>
      <c r="J18" s="644">
        <f t="shared" si="1"/>
        <v>-6074158.8239850001</v>
      </c>
      <c r="K18" s="640"/>
      <c r="L18" s="645">
        <f>_xll.Get_Balance(A18,"YTD","USD","Total","A","","001","191010","GD","ID","DL")</f>
        <v>-6074157.96</v>
      </c>
      <c r="M18" s="646">
        <f t="shared" si="2"/>
        <v>0.86398500017821789</v>
      </c>
      <c r="Q18" s="656"/>
    </row>
    <row r="19" spans="1:23" s="627" customFormat="1" collapsed="1">
      <c r="A19" s="647" t="s">
        <v>337</v>
      </c>
      <c r="B19" s="648">
        <v>0.01</v>
      </c>
      <c r="C19" s="638"/>
      <c r="D19" s="649">
        <v>0</v>
      </c>
      <c r="E19" s="649">
        <v>0</v>
      </c>
      <c r="F19" s="650">
        <f>J18+E19</f>
        <v>-6074158.8239850001</v>
      </c>
      <c r="G19" s="649">
        <v>-519151.51254800009</v>
      </c>
      <c r="H19" s="649">
        <v>-301284.36970700044</v>
      </c>
      <c r="I19" s="634">
        <f>ROUND(((F19)*(B19/12))+((SUM(G19:H19)/2)*(B19/12)),2)</f>
        <v>-5403.65</v>
      </c>
      <c r="J19" s="650">
        <f t="shared" si="1"/>
        <v>-6899998.3562400015</v>
      </c>
      <c r="K19" s="640"/>
      <c r="L19" s="651">
        <f>_xll.Get_Balance(A19,"YTD","USD","Total","A","","001","191010","GD","ID","DL")</f>
        <v>-6899997.4900000002</v>
      </c>
      <c r="M19" s="636">
        <f t="shared" si="2"/>
        <v>0.86624000128358603</v>
      </c>
    </row>
    <row r="20" spans="1:23" s="627" customFormat="1">
      <c r="A20" s="633" t="s">
        <v>338</v>
      </c>
      <c r="B20" s="648">
        <v>0.01</v>
      </c>
      <c r="C20" s="638"/>
      <c r="D20" s="639">
        <v>0</v>
      </c>
      <c r="E20" s="639">
        <v>0</v>
      </c>
      <c r="F20" s="650">
        <f>J19+E20</f>
        <v>-6899998.3562400015</v>
      </c>
      <c r="G20" s="649">
        <v>-744879.28500999999</v>
      </c>
      <c r="H20" s="649">
        <v>725761.23845600011</v>
      </c>
      <c r="I20" s="634">
        <f>ROUND(((F20)*(B20/12))+((SUM(G20:H20)/2)*(B20/12)),2)</f>
        <v>-5757.96</v>
      </c>
      <c r="J20" s="634">
        <f t="shared" si="1"/>
        <v>-6924874.3627940016</v>
      </c>
      <c r="K20" s="640"/>
      <c r="L20" s="635">
        <f>_xll.Get_Balance(A20,"YTD","USD","Total","A","","001","191010","GD","ID","DL")</f>
        <v>-6924873.5</v>
      </c>
      <c r="M20" s="636">
        <f t="shared" si="2"/>
        <v>0.86279400158673525</v>
      </c>
    </row>
    <row r="21" spans="1:23" s="627" customFormat="1">
      <c r="A21" s="633" t="s">
        <v>339</v>
      </c>
      <c r="B21" s="648">
        <v>0.01</v>
      </c>
      <c r="C21" s="638"/>
      <c r="D21" s="639">
        <v>0</v>
      </c>
      <c r="E21" s="639">
        <v>0</v>
      </c>
      <c r="F21" s="650">
        <f>J20+E21</f>
        <v>-6924874.3627940016</v>
      </c>
      <c r="G21" s="649">
        <v>-378360.96397999988</v>
      </c>
      <c r="H21" s="649">
        <v>135080.40372800035</v>
      </c>
      <c r="I21" s="634">
        <f>ROUND(((F21)*(B21/12))+((SUM(G21:H21)/2)*(B21/12)),2)</f>
        <v>-5872.1</v>
      </c>
      <c r="J21" s="634">
        <f t="shared" si="1"/>
        <v>-7174027.0230459999</v>
      </c>
      <c r="K21" s="640"/>
      <c r="L21" s="635">
        <f>_xll.Get_Balance(A21,"YTD","USD","Total","A","","001","191010","GD","ID","DL")</f>
        <v>-7174026.1600000001</v>
      </c>
      <c r="M21" s="636">
        <f t="shared" si="2"/>
        <v>0.86304599978029728</v>
      </c>
    </row>
    <row r="22" spans="1:23" ht="15.75">
      <c r="Q22" s="654"/>
      <c r="R22" s="653"/>
      <c r="S22" s="653"/>
      <c r="T22" s="652"/>
      <c r="U22" s="625"/>
      <c r="V22" s="625"/>
      <c r="W22" s="625"/>
    </row>
    <row r="23" spans="1:23">
      <c r="Q23" s="625"/>
      <c r="R23" s="625"/>
      <c r="S23" s="625"/>
      <c r="T23" s="625"/>
      <c r="U23" s="625"/>
      <c r="V23" s="625"/>
      <c r="W23" s="625"/>
    </row>
    <row r="24" spans="1:23">
      <c r="Q24" s="625"/>
      <c r="R24" s="625"/>
      <c r="S24" s="625"/>
      <c r="T24" s="625"/>
      <c r="U24" s="625"/>
      <c r="V24" s="625"/>
      <c r="W24" s="625"/>
    </row>
  </sheetData>
  <mergeCells count="1">
    <mergeCell ref="D5:J5"/>
  </mergeCells>
  <pageMargins left="0.7" right="0" top="0.75" bottom="0.75" header="0.3" footer="0.3"/>
  <pageSetup scale="58" orientation="landscape" r:id="rId1"/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X24"/>
  <sheetViews>
    <sheetView zoomScale="85" zoomScaleNormal="85" workbookViewId="0">
      <selection activeCell="E24" sqref="E24"/>
    </sheetView>
  </sheetViews>
  <sheetFormatPr defaultColWidth="8.85546875" defaultRowHeight="15"/>
  <cols>
    <col min="1" max="1" width="9.140625" style="624" customWidth="1"/>
    <col min="2" max="2" width="8.85546875" style="624"/>
    <col min="3" max="3" width="1.7109375" style="625" customWidth="1"/>
    <col min="4" max="4" width="11.7109375" style="625" customWidth="1"/>
    <col min="5" max="5" width="13.7109375" style="624" customWidth="1"/>
    <col min="6" max="7" width="14.28515625" style="655" customWidth="1"/>
    <col min="8" max="8" width="14.7109375" style="624" bestFit="1" customWidth="1"/>
    <col min="9" max="9" width="13.7109375" style="624" customWidth="1"/>
    <col min="10" max="10" width="1.7109375" style="624" customWidth="1"/>
    <col min="11" max="11" width="15.28515625" style="655" bestFit="1" customWidth="1"/>
    <col min="12" max="12" width="12.7109375" style="625" bestFit="1" customWidth="1"/>
    <col min="13" max="13" width="13.5703125" style="624" customWidth="1"/>
    <col min="14" max="14" width="13.85546875" style="624" bestFit="1" customWidth="1"/>
    <col min="15" max="17" width="8.85546875" style="624"/>
    <col min="18" max="18" width="12.7109375" style="624" customWidth="1"/>
    <col min="19" max="20" width="13.140625" style="624" bestFit="1" customWidth="1"/>
    <col min="21" max="16384" width="8.85546875" style="624"/>
  </cols>
  <sheetData>
    <row r="1" spans="1:16" s="619" customFormat="1" ht="15.75">
      <c r="A1" s="617" t="s">
        <v>13</v>
      </c>
      <c r="B1" s="618"/>
      <c r="C1" s="618"/>
      <c r="D1" s="618"/>
      <c r="E1" s="618"/>
      <c r="F1" s="618"/>
      <c r="G1" s="618"/>
      <c r="H1" s="618"/>
    </row>
    <row r="2" spans="1:16" s="619" customFormat="1" ht="15.75">
      <c r="A2" s="617" t="s">
        <v>0</v>
      </c>
      <c r="B2" s="618"/>
      <c r="C2" s="618"/>
      <c r="D2" s="618"/>
      <c r="E2" s="618"/>
      <c r="F2" s="618"/>
      <c r="G2" s="618"/>
      <c r="H2" s="618"/>
    </row>
    <row r="3" spans="1:16" s="619" customFormat="1" ht="15.75">
      <c r="A3" s="617" t="s">
        <v>342</v>
      </c>
      <c r="B3" s="618"/>
      <c r="C3" s="618"/>
      <c r="D3" s="618"/>
      <c r="E3" s="618"/>
      <c r="F3" s="618"/>
      <c r="G3" s="618"/>
      <c r="H3" s="618"/>
    </row>
    <row r="4" spans="1:16" s="622" customFormat="1" ht="18.75" thickBot="1">
      <c r="A4" s="620"/>
      <c r="B4" s="621"/>
      <c r="C4" s="621"/>
      <c r="D4" s="621"/>
      <c r="E4" s="621"/>
      <c r="F4" s="621"/>
      <c r="G4" s="621"/>
      <c r="H4" s="621"/>
    </row>
    <row r="5" spans="1:16" s="627" customFormat="1" ht="16.5" thickBot="1">
      <c r="A5" s="623"/>
      <c r="B5" s="624"/>
      <c r="C5" s="625"/>
      <c r="D5" s="669" t="s">
        <v>343</v>
      </c>
      <c r="E5" s="670"/>
      <c r="F5" s="670"/>
      <c r="G5" s="670"/>
      <c r="H5" s="670"/>
      <c r="I5" s="671"/>
      <c r="J5" s="658"/>
      <c r="K5" s="659"/>
      <c r="L5" s="660"/>
      <c r="M5" s="624"/>
      <c r="N5" s="624"/>
      <c r="O5" s="624"/>
      <c r="P5" s="624"/>
    </row>
    <row r="6" spans="1:16" s="627" customFormat="1" ht="56.45" customHeight="1">
      <c r="A6" s="628" t="s">
        <v>321</v>
      </c>
      <c r="B6" s="629" t="s">
        <v>253</v>
      </c>
      <c r="C6" s="630"/>
      <c r="D6" s="631" t="s">
        <v>322</v>
      </c>
      <c r="E6" s="631" t="s">
        <v>344</v>
      </c>
      <c r="F6" s="631" t="s">
        <v>250</v>
      </c>
      <c r="G6" s="631" t="s">
        <v>23</v>
      </c>
      <c r="H6" s="631" t="s">
        <v>4</v>
      </c>
      <c r="I6" s="631" t="s">
        <v>56</v>
      </c>
      <c r="J6" s="631"/>
      <c r="K6" s="657" t="s">
        <v>323</v>
      </c>
      <c r="L6" s="657" t="s">
        <v>324</v>
      </c>
    </row>
    <row r="7" spans="1:16" s="627" customFormat="1">
      <c r="A7" s="633" t="s">
        <v>325</v>
      </c>
      <c r="B7" s="637">
        <v>3.5000000000000003E-2</v>
      </c>
      <c r="C7" s="638"/>
      <c r="D7" s="639">
        <v>0</v>
      </c>
      <c r="E7" s="639">
        <v>0</v>
      </c>
      <c r="F7" s="634">
        <v>-9990002.7400000002</v>
      </c>
      <c r="G7" s="639">
        <v>3150615.2519499999</v>
      </c>
      <c r="H7" s="634">
        <f t="shared" ref="H7:H16" si="0">ROUND(((F7)*(B7/12))+((SUM(G7)/2)*(B7/12)),2)</f>
        <v>-24542.86</v>
      </c>
      <c r="I7" s="634">
        <f>SUM(D7:H7)</f>
        <v>-6863930.3480500011</v>
      </c>
      <c r="J7" s="634"/>
      <c r="K7" s="635">
        <f>_xll.Get_Balance(A7,"YTD","USD","Total","A","","001","191000","GD","WA","DL")</f>
        <v>-6863930.1399999997</v>
      </c>
      <c r="L7" s="636">
        <f t="shared" ref="L7:L21" si="1">K7-I7</f>
        <v>0.20805000141263008</v>
      </c>
    </row>
    <row r="8" spans="1:16" s="627" customFormat="1">
      <c r="A8" s="633" t="s">
        <v>326</v>
      </c>
      <c r="B8" s="637">
        <v>3.5000000000000003E-2</v>
      </c>
      <c r="C8" s="638"/>
      <c r="D8" s="639">
        <v>0</v>
      </c>
      <c r="E8" s="639">
        <v>0</v>
      </c>
      <c r="F8" s="634">
        <f t="shared" ref="F8:F16" si="2">I7+E8</f>
        <v>-6863930.3480500011</v>
      </c>
      <c r="G8" s="639">
        <v>2304083.3887400003</v>
      </c>
      <c r="H8" s="634">
        <f t="shared" si="0"/>
        <v>-16659.68</v>
      </c>
      <c r="I8" s="634">
        <f t="shared" ref="I8:I21" si="3">SUM(D8:H8)</f>
        <v>-4576506.6393100005</v>
      </c>
      <c r="J8" s="634"/>
      <c r="K8" s="635">
        <f>_xll.Get_Balance(A8,"YTD","USD","Total","A","","001","191000","GD","WA","DL")</f>
        <v>-4576506.43</v>
      </c>
      <c r="L8" s="636">
        <f t="shared" si="1"/>
        <v>0.20931000076234341</v>
      </c>
    </row>
    <row r="9" spans="1:16" s="627" customFormat="1">
      <c r="A9" s="633" t="s">
        <v>327</v>
      </c>
      <c r="B9" s="637">
        <v>3.5000000000000003E-2</v>
      </c>
      <c r="C9" s="638"/>
      <c r="D9" s="639">
        <v>0</v>
      </c>
      <c r="E9" s="639">
        <v>0</v>
      </c>
      <c r="F9" s="634">
        <f t="shared" si="2"/>
        <v>-4576506.6393100005</v>
      </c>
      <c r="G9" s="639">
        <v>1736541.60424</v>
      </c>
      <c r="H9" s="634">
        <f t="shared" si="0"/>
        <v>-10815.69</v>
      </c>
      <c r="I9" s="634">
        <f t="shared" si="3"/>
        <v>-2850780.7250700002</v>
      </c>
      <c r="J9" s="634"/>
      <c r="K9" s="635">
        <f>_xll.Get_Balance(A9,"YTD","USD","Total","A","","001","191000","GD","WA","DL")</f>
        <v>-2850780.51</v>
      </c>
      <c r="L9" s="636">
        <f t="shared" si="1"/>
        <v>0.21507000038400292</v>
      </c>
    </row>
    <row r="10" spans="1:16" s="627" customFormat="1">
      <c r="A10" s="633" t="s">
        <v>328</v>
      </c>
      <c r="B10" s="637">
        <v>3.7100000000000001E-2</v>
      </c>
      <c r="C10" s="638"/>
      <c r="D10" s="639">
        <v>0</v>
      </c>
      <c r="E10" s="639">
        <v>0</v>
      </c>
      <c r="F10" s="634">
        <f t="shared" si="2"/>
        <v>-2850780.7250700002</v>
      </c>
      <c r="G10" s="639">
        <v>1190246.3468200001</v>
      </c>
      <c r="H10" s="634">
        <f t="shared" si="0"/>
        <v>-6973.74</v>
      </c>
      <c r="I10" s="634">
        <f t="shared" si="3"/>
        <v>-1667508.1182500001</v>
      </c>
      <c r="J10" s="634"/>
      <c r="K10" s="635">
        <f>_xll.Get_Balance(A10,"YTD","USD","Total","A","","001","191000","GD","WA","DL")</f>
        <v>-1667507.9</v>
      </c>
      <c r="L10" s="636">
        <f t="shared" si="1"/>
        <v>0.21825000015087426</v>
      </c>
    </row>
    <row r="11" spans="1:16" s="627" customFormat="1">
      <c r="A11" s="633" t="s">
        <v>329</v>
      </c>
      <c r="B11" s="637">
        <v>3.7100000000000001E-2</v>
      </c>
      <c r="C11" s="638"/>
      <c r="D11" s="639">
        <v>0</v>
      </c>
      <c r="E11" s="639">
        <v>0</v>
      </c>
      <c r="F11" s="634">
        <f t="shared" si="2"/>
        <v>-1667508.1182500001</v>
      </c>
      <c r="G11" s="639">
        <v>643346.16116000002</v>
      </c>
      <c r="H11" s="634">
        <f t="shared" si="0"/>
        <v>-4160.87</v>
      </c>
      <c r="I11" s="634">
        <f t="shared" si="3"/>
        <v>-1028322.82709</v>
      </c>
      <c r="J11" s="634"/>
      <c r="K11" s="635">
        <f>_xll.Get_Balance(A11,"YTD","USD","Total","A","","001","191000","GD","WA","DL")</f>
        <v>-1028322.61</v>
      </c>
      <c r="L11" s="636">
        <f t="shared" si="1"/>
        <v>0.21709000004921108</v>
      </c>
    </row>
    <row r="12" spans="1:16" s="627" customFormat="1">
      <c r="A12" s="633" t="s">
        <v>330</v>
      </c>
      <c r="B12" s="637">
        <v>3.7100000000000001E-2</v>
      </c>
      <c r="C12" s="638"/>
      <c r="D12" s="639">
        <v>0</v>
      </c>
      <c r="E12" s="639">
        <v>0</v>
      </c>
      <c r="F12" s="634">
        <f t="shared" si="2"/>
        <v>-1028322.82709</v>
      </c>
      <c r="G12" s="639">
        <v>382561.98726999998</v>
      </c>
      <c r="H12" s="634">
        <f t="shared" si="0"/>
        <v>-2587.85</v>
      </c>
      <c r="I12" s="634">
        <f t="shared" si="3"/>
        <v>-648348.68982000009</v>
      </c>
      <c r="J12" s="634"/>
      <c r="K12" s="635">
        <f>_xll.Get_Balance(A12,"YTD","USD","Total","A","","001","191000","GD","WA","DL")</f>
        <v>-648348.48</v>
      </c>
      <c r="L12" s="636">
        <f t="shared" si="1"/>
        <v>0.20982000010553747</v>
      </c>
    </row>
    <row r="13" spans="1:16" s="627" customFormat="1">
      <c r="A13" s="633" t="s">
        <v>331</v>
      </c>
      <c r="B13" s="637">
        <v>3.9600000000000003E-2</v>
      </c>
      <c r="C13" s="638"/>
      <c r="D13" s="639">
        <v>0</v>
      </c>
      <c r="E13" s="639">
        <v>0</v>
      </c>
      <c r="F13" s="634">
        <f t="shared" si="2"/>
        <v>-648348.68982000009</v>
      </c>
      <c r="G13" s="639">
        <v>307250.94208999997</v>
      </c>
      <c r="H13" s="634">
        <f t="shared" si="0"/>
        <v>-1632.59</v>
      </c>
      <c r="I13" s="634">
        <f t="shared" si="3"/>
        <v>-342730.33773000014</v>
      </c>
      <c r="J13" s="634"/>
      <c r="K13" s="635">
        <f>_xll.Get_Balance(A13,"YTD","USD","Total","A","","001","191000","GD","WA","DL")</f>
        <v>-342730.12</v>
      </c>
      <c r="L13" s="636">
        <f t="shared" si="1"/>
        <v>0.21773000014945865</v>
      </c>
    </row>
    <row r="14" spans="1:16" s="627" customFormat="1">
      <c r="A14" s="633" t="s">
        <v>332</v>
      </c>
      <c r="B14" s="637">
        <v>3.9600000000000003E-2</v>
      </c>
      <c r="C14" s="638"/>
      <c r="D14" s="639">
        <v>0</v>
      </c>
      <c r="E14" s="639">
        <v>0</v>
      </c>
      <c r="F14" s="634">
        <f t="shared" si="2"/>
        <v>-342730.33773000014</v>
      </c>
      <c r="G14" s="639">
        <v>310200.28219000006</v>
      </c>
      <c r="H14" s="634">
        <f t="shared" si="0"/>
        <v>-619.17999999999995</v>
      </c>
      <c r="I14" s="634">
        <f t="shared" si="3"/>
        <v>-33149.235540000089</v>
      </c>
      <c r="J14" s="634"/>
      <c r="K14" s="635">
        <f>_xll.Get_Balance(A14,"YTD","USD","Total","A","","001","191000","GD","WA","DL")</f>
        <v>-33149.019999999997</v>
      </c>
      <c r="L14" s="636">
        <f t="shared" si="1"/>
        <v>0.21554000009200536</v>
      </c>
    </row>
    <row r="15" spans="1:16" s="627" customFormat="1">
      <c r="A15" s="633" t="s">
        <v>333</v>
      </c>
      <c r="B15" s="637">
        <v>3.9600000000000003E-2</v>
      </c>
      <c r="C15" s="638"/>
      <c r="D15" s="639">
        <v>0</v>
      </c>
      <c r="E15" s="639">
        <v>0</v>
      </c>
      <c r="F15" s="634">
        <f t="shared" si="2"/>
        <v>-33149.235540000089</v>
      </c>
      <c r="G15" s="639">
        <v>461554.45064999996</v>
      </c>
      <c r="H15" s="634">
        <f t="shared" si="0"/>
        <v>652.16999999999996</v>
      </c>
      <c r="I15" s="634">
        <f t="shared" si="3"/>
        <v>429057.38510999986</v>
      </c>
      <c r="J15" s="634"/>
      <c r="K15" s="635">
        <f>_xll.Get_Balance(A15,"YTD","USD","Total","A","","001","191000","GD","WA","DL")</f>
        <v>429057.6</v>
      </c>
      <c r="L15" s="636">
        <f t="shared" si="1"/>
        <v>0.21489000011933967</v>
      </c>
    </row>
    <row r="16" spans="1:16" s="627" customFormat="1">
      <c r="A16" s="633" t="s">
        <v>334</v>
      </c>
      <c r="B16" s="637">
        <v>4.2099999999999999E-2</v>
      </c>
      <c r="C16" s="638"/>
      <c r="D16" s="639">
        <v>0</v>
      </c>
      <c r="E16" s="639">
        <v>0</v>
      </c>
      <c r="F16" s="634">
        <f t="shared" si="2"/>
        <v>429057.38510999986</v>
      </c>
      <c r="G16" s="639">
        <v>1086057.4122600001</v>
      </c>
      <c r="H16" s="634">
        <f t="shared" si="0"/>
        <v>3410.4</v>
      </c>
      <c r="I16" s="634">
        <f t="shared" si="3"/>
        <v>1518525.19737</v>
      </c>
      <c r="J16" s="634"/>
      <c r="K16" s="635">
        <f>_xll.Get_Balance(A16,"YTD","USD","Total","A","","001","191000","GD","WA","DL")</f>
        <v>1518525.41</v>
      </c>
      <c r="L16" s="636">
        <f t="shared" si="1"/>
        <v>0.21262999996542931</v>
      </c>
    </row>
    <row r="17" spans="1:24" s="627" customFormat="1">
      <c r="A17" s="633" t="s">
        <v>335</v>
      </c>
      <c r="B17" s="637">
        <v>4.2099999999999999E-2</v>
      </c>
      <c r="C17" s="638"/>
      <c r="D17" s="639">
        <v>0</v>
      </c>
      <c r="E17" s="639">
        <v>-14771212.550000001</v>
      </c>
      <c r="F17" s="634">
        <f>I16</f>
        <v>1518525.19737</v>
      </c>
      <c r="G17" s="639">
        <v>1765228</v>
      </c>
      <c r="H17" s="634">
        <f>ROUND(((I16+E17)*(B17/12))+((G17/2)*(B17/12)),2)</f>
        <v>-43398.34</v>
      </c>
      <c r="I17" s="634">
        <f t="shared" si="3"/>
        <v>-11530857.69263</v>
      </c>
      <c r="J17" s="634"/>
      <c r="K17" s="635">
        <f>_xll.Get_Balance(A17,"YTD","USD","Total","A","","001","191000","GD","WA","DL")</f>
        <v>-11530628.439999999</v>
      </c>
      <c r="L17" s="636">
        <f t="shared" si="1"/>
        <v>229.252630000934</v>
      </c>
      <c r="M17" s="661"/>
    </row>
    <row r="18" spans="1:24" s="627" customFormat="1" ht="15.75" thickBot="1">
      <c r="A18" s="641" t="s">
        <v>336</v>
      </c>
      <c r="B18" s="642">
        <v>4.2099999999999999E-2</v>
      </c>
      <c r="C18" s="638"/>
      <c r="D18" s="643">
        <v>130571.12</v>
      </c>
      <c r="E18" s="643">
        <v>0</v>
      </c>
      <c r="F18" s="644">
        <f>I17</f>
        <v>-11530857.69263</v>
      </c>
      <c r="G18" s="643">
        <v>2662901</v>
      </c>
      <c r="H18" s="644">
        <f>ROUND(((I17+E18)*(B18/12))+(((G18+D18)/2)*(B18/12)),2)</f>
        <v>-35553.879999999997</v>
      </c>
      <c r="I18" s="644">
        <f>SUM(D18:H18)</f>
        <v>-8772939.4526300021</v>
      </c>
      <c r="J18" s="644"/>
      <c r="K18" s="645">
        <f>_xll.Get_Balance(A18,"YTD","USD","Total","A","","001","191000","GD","WA","DL")</f>
        <v>-8772480.3499999996</v>
      </c>
      <c r="L18" s="646">
        <f t="shared" si="1"/>
        <v>459.10263000242412</v>
      </c>
      <c r="N18" s="656"/>
    </row>
    <row r="19" spans="1:24" s="627" customFormat="1" collapsed="1">
      <c r="A19" s="647" t="s">
        <v>337</v>
      </c>
      <c r="B19" s="648">
        <v>4.2500000000000003E-2</v>
      </c>
      <c r="C19" s="638"/>
      <c r="D19" s="649">
        <v>0</v>
      </c>
      <c r="E19" s="649">
        <v>0</v>
      </c>
      <c r="F19" s="650">
        <f>I18+E19</f>
        <v>-8772939.4526300021</v>
      </c>
      <c r="G19" s="649">
        <v>2350032.8516000002</v>
      </c>
      <c r="H19" s="650">
        <f>ROUND(((F19+G19/2)*B19/12),2)</f>
        <v>-26909.31</v>
      </c>
      <c r="I19" s="650">
        <f>SUM(D19:H19)</f>
        <v>-6449815.911030001</v>
      </c>
      <c r="J19" s="650"/>
      <c r="K19" s="635">
        <f>_xll.Get_Balance(A19,"YTD","USD","Total","A","","001","191000","GD","WA","DL")</f>
        <v>-6449815.9100000001</v>
      </c>
      <c r="L19" s="636">
        <f t="shared" si="1"/>
        <v>1.0300008580088615E-3</v>
      </c>
    </row>
    <row r="20" spans="1:24" s="627" customFormat="1">
      <c r="A20" s="633" t="s">
        <v>338</v>
      </c>
      <c r="B20" s="648">
        <v>4.2500000000000003E-2</v>
      </c>
      <c r="C20" s="638"/>
      <c r="D20" s="639">
        <v>-370.51</v>
      </c>
      <c r="E20" s="639">
        <v>0</v>
      </c>
      <c r="F20" s="650">
        <f>I19+E20</f>
        <v>-6449815.911030001</v>
      </c>
      <c r="G20" s="649">
        <v>2209994.9905999997</v>
      </c>
      <c r="H20" s="634">
        <f>ROUND(((I19+E20)*(B20/12))+((SUM(G20+D20)/2)*(B20/12)),2)</f>
        <v>-18930.22</v>
      </c>
      <c r="I20" s="634">
        <f t="shared" si="3"/>
        <v>-4259121.6504300004</v>
      </c>
      <c r="J20" s="634"/>
      <c r="K20" s="635">
        <f>_xll.Get_Balance(A20,"YTD","USD","Total","A","","001","191000","GD","WA","DL")</f>
        <v>-4259121.6500000004</v>
      </c>
      <c r="L20" s="636">
        <f t="shared" si="1"/>
        <v>4.3000001460313797E-4</v>
      </c>
    </row>
    <row r="21" spans="1:24" s="627" customFormat="1">
      <c r="A21" s="633" t="s">
        <v>339</v>
      </c>
      <c r="B21" s="648">
        <v>4.2500000000000003E-2</v>
      </c>
      <c r="C21" s="638"/>
      <c r="D21" s="639">
        <v>0</v>
      </c>
      <c r="E21" s="639">
        <v>0</v>
      </c>
      <c r="F21" s="650">
        <f>I20+E21</f>
        <v>-4259121.6504300004</v>
      </c>
      <c r="G21" s="649">
        <v>1867178.4966399998</v>
      </c>
      <c r="H21" s="634">
        <f>ROUND(((F21+G21/2)*B21/12),2)</f>
        <v>-11777.93</v>
      </c>
      <c r="I21" s="634">
        <f t="shared" si="3"/>
        <v>-2403721.083790001</v>
      </c>
      <c r="J21" s="634"/>
      <c r="K21" s="635">
        <f>_xll.Get_Balance(A21,"YTD","USD","Total","A","","001","191000","GD","WA","DL")</f>
        <v>-2403721.08</v>
      </c>
      <c r="L21" s="636">
        <f t="shared" si="1"/>
        <v>3.790000919252634E-3</v>
      </c>
      <c r="N21" s="656"/>
    </row>
    <row r="22" spans="1:24" ht="15.75">
      <c r="R22" s="654"/>
      <c r="S22" s="653"/>
      <c r="T22" s="653"/>
      <c r="U22" s="652"/>
      <c r="V22" s="625"/>
      <c r="W22" s="625"/>
      <c r="X22" s="625"/>
    </row>
    <row r="23" spans="1:24">
      <c r="R23" s="625"/>
      <c r="S23" s="625"/>
      <c r="T23" s="625"/>
      <c r="U23" s="625"/>
      <c r="V23" s="625"/>
      <c r="W23" s="625"/>
      <c r="X23" s="625"/>
    </row>
    <row r="24" spans="1:24">
      <c r="R24" s="625"/>
      <c r="S24" s="625"/>
      <c r="T24" s="625"/>
      <c r="U24" s="625"/>
      <c r="V24" s="625"/>
      <c r="W24" s="625"/>
      <c r="X24" s="625"/>
    </row>
  </sheetData>
  <mergeCells count="1">
    <mergeCell ref="D5:I5"/>
  </mergeCells>
  <pageMargins left="0.7" right="0" top="0.75" bottom="0.75" header="0.3" footer="0.3"/>
  <pageSetup scale="58" orientation="landscape" r:id="rId1"/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X24"/>
  <sheetViews>
    <sheetView zoomScale="85" zoomScaleNormal="85" workbookViewId="0">
      <selection activeCell="H27" sqref="H27"/>
    </sheetView>
  </sheetViews>
  <sheetFormatPr defaultColWidth="8.85546875" defaultRowHeight="15"/>
  <cols>
    <col min="1" max="1" width="9.140625" style="624" customWidth="1"/>
    <col min="2" max="2" width="8.85546875" style="624"/>
    <col min="3" max="3" width="1.7109375" style="625" customWidth="1"/>
    <col min="4" max="4" width="11.7109375" style="625" customWidth="1"/>
    <col min="5" max="5" width="13.7109375" style="624" customWidth="1"/>
    <col min="6" max="7" width="14.28515625" style="655" customWidth="1"/>
    <col min="8" max="8" width="14.7109375" style="624" bestFit="1" customWidth="1"/>
    <col min="9" max="9" width="13.7109375" style="624" customWidth="1"/>
    <col min="10" max="10" width="1.7109375" style="624" customWidth="1"/>
    <col min="11" max="11" width="15.28515625" style="655" bestFit="1" customWidth="1"/>
    <col min="12" max="12" width="12.7109375" style="625" bestFit="1" customWidth="1"/>
    <col min="13" max="13" width="13.5703125" style="624" customWidth="1"/>
    <col min="14" max="14" width="13.85546875" style="624" bestFit="1" customWidth="1"/>
    <col min="15" max="17" width="8.85546875" style="624"/>
    <col min="18" max="18" width="12.7109375" style="624" customWidth="1"/>
    <col min="19" max="20" width="13.140625" style="624" bestFit="1" customWidth="1"/>
    <col min="21" max="16384" width="8.85546875" style="624"/>
  </cols>
  <sheetData>
    <row r="1" spans="1:16" s="619" customFormat="1" ht="15.75">
      <c r="A1" s="617" t="s">
        <v>13</v>
      </c>
      <c r="B1" s="618"/>
      <c r="C1" s="618"/>
      <c r="D1" s="618"/>
      <c r="E1" s="618"/>
      <c r="F1" s="618"/>
      <c r="G1" s="618"/>
      <c r="H1" s="618"/>
    </row>
    <row r="2" spans="1:16" s="619" customFormat="1" ht="15.75">
      <c r="A2" s="617" t="s">
        <v>46</v>
      </c>
      <c r="B2" s="618"/>
      <c r="C2" s="618"/>
      <c r="D2" s="618"/>
      <c r="E2" s="618"/>
      <c r="F2" s="618"/>
      <c r="G2" s="618"/>
      <c r="H2" s="618"/>
    </row>
    <row r="3" spans="1:16" s="619" customFormat="1" ht="15.75">
      <c r="A3" s="617" t="s">
        <v>342</v>
      </c>
      <c r="B3" s="618"/>
      <c r="C3" s="618"/>
      <c r="D3" s="618"/>
      <c r="E3" s="618"/>
      <c r="F3" s="618"/>
      <c r="G3" s="618"/>
      <c r="H3" s="618"/>
    </row>
    <row r="4" spans="1:16" s="622" customFormat="1" ht="18.75" thickBot="1">
      <c r="A4" s="620"/>
      <c r="B4" s="621"/>
      <c r="C4" s="621"/>
      <c r="D4" s="621"/>
      <c r="E4" s="621"/>
      <c r="F4" s="621"/>
      <c r="G4" s="621"/>
      <c r="H4" s="621"/>
    </row>
    <row r="5" spans="1:16" s="627" customFormat="1" ht="16.5" thickBot="1">
      <c r="A5" s="623"/>
      <c r="B5" s="624"/>
      <c r="C5" s="625"/>
      <c r="D5" s="669" t="s">
        <v>343</v>
      </c>
      <c r="E5" s="670"/>
      <c r="F5" s="670"/>
      <c r="G5" s="670"/>
      <c r="H5" s="670"/>
      <c r="I5" s="671"/>
      <c r="J5" s="658"/>
      <c r="K5" s="659"/>
      <c r="L5" s="660"/>
      <c r="M5" s="624"/>
      <c r="N5" s="624"/>
      <c r="O5" s="624"/>
      <c r="P5" s="624"/>
    </row>
    <row r="6" spans="1:16" s="627" customFormat="1" ht="56.45" customHeight="1">
      <c r="A6" s="628" t="s">
        <v>321</v>
      </c>
      <c r="B6" s="629" t="s">
        <v>253</v>
      </c>
      <c r="C6" s="630"/>
      <c r="D6" s="631" t="s">
        <v>322</v>
      </c>
      <c r="E6" s="631" t="s">
        <v>344</v>
      </c>
      <c r="F6" s="631" t="s">
        <v>250</v>
      </c>
      <c r="G6" s="631" t="s">
        <v>23</v>
      </c>
      <c r="H6" s="631" t="s">
        <v>4</v>
      </c>
      <c r="I6" s="631" t="s">
        <v>56</v>
      </c>
      <c r="J6" s="631"/>
      <c r="K6" s="657" t="s">
        <v>323</v>
      </c>
      <c r="L6" s="657" t="s">
        <v>324</v>
      </c>
    </row>
    <row r="7" spans="1:16" s="627" customFormat="1">
      <c r="A7" s="633" t="s">
        <v>325</v>
      </c>
      <c r="B7" s="637">
        <v>0.01</v>
      </c>
      <c r="C7" s="638"/>
      <c r="D7" s="639">
        <v>0</v>
      </c>
      <c r="E7" s="639">
        <v>0</v>
      </c>
      <c r="F7" s="634">
        <v>-4876312.2</v>
      </c>
      <c r="G7" s="639">
        <v>1485669.0544799999</v>
      </c>
      <c r="H7" s="634">
        <f t="shared" ref="H7:H16" si="0">ROUND(((F7)*(B7/12))+((SUM(G7)/2)*(B7/12)),2)</f>
        <v>-3444.56</v>
      </c>
      <c r="I7" s="634">
        <f>SUM(D7:H7)</f>
        <v>-3394087.7055200003</v>
      </c>
      <c r="J7" s="634"/>
      <c r="K7" s="635">
        <f>_xll.Get_Balance(A7,"YTD","USD","Total","A","","001","191000","GD","ID","DL")</f>
        <v>-3394087.71</v>
      </c>
      <c r="L7" s="636">
        <f t="shared" ref="L7:L21" si="1">K7-I7</f>
        <v>-4.4799996539950371E-3</v>
      </c>
    </row>
    <row r="8" spans="1:16" s="627" customFormat="1">
      <c r="A8" s="633" t="s">
        <v>326</v>
      </c>
      <c r="B8" s="637">
        <v>0.01</v>
      </c>
      <c r="C8" s="638"/>
      <c r="D8" s="639">
        <v>0</v>
      </c>
      <c r="E8" s="639">
        <v>0</v>
      </c>
      <c r="F8" s="634">
        <f t="shared" ref="F8:F16" si="2">I7+E8</f>
        <v>-3394087.7055200003</v>
      </c>
      <c r="G8" s="639">
        <v>1040390.9957999999</v>
      </c>
      <c r="H8" s="634">
        <f t="shared" si="0"/>
        <v>-2394.91</v>
      </c>
      <c r="I8" s="634">
        <f t="shared" ref="I8:I21" si="3">SUM(D8:H8)</f>
        <v>-2356091.6197200008</v>
      </c>
      <c r="J8" s="634"/>
      <c r="K8" s="635">
        <f>_xll.Get_Balance(A8,"YTD","USD","Total","A","","001","191000","GD","ID","DL")</f>
        <v>-2356091.62</v>
      </c>
      <c r="L8" s="636">
        <f t="shared" si="1"/>
        <v>-2.7999933809041977E-4</v>
      </c>
    </row>
    <row r="9" spans="1:16" s="627" customFormat="1">
      <c r="A9" s="633" t="s">
        <v>327</v>
      </c>
      <c r="B9" s="637">
        <v>0.01</v>
      </c>
      <c r="C9" s="638"/>
      <c r="D9" s="639">
        <v>0</v>
      </c>
      <c r="E9" s="639">
        <v>0</v>
      </c>
      <c r="F9" s="634">
        <f t="shared" si="2"/>
        <v>-2356091.6197200008</v>
      </c>
      <c r="G9" s="639">
        <v>891458.62103999988</v>
      </c>
      <c r="H9" s="634">
        <f t="shared" si="0"/>
        <v>-1591.97</v>
      </c>
      <c r="I9" s="634">
        <f t="shared" si="3"/>
        <v>-1466224.9686800009</v>
      </c>
      <c r="J9" s="634"/>
      <c r="K9" s="635">
        <f>_xll.Get_Balance(A9,"YTD","USD","Total","A","","001","191000","GD","ID","DL")</f>
        <v>-1466224.97</v>
      </c>
      <c r="L9" s="636">
        <f t="shared" si="1"/>
        <v>-1.3199991080909967E-3</v>
      </c>
    </row>
    <row r="10" spans="1:16" s="627" customFormat="1">
      <c r="A10" s="633" t="s">
        <v>328</v>
      </c>
      <c r="B10" s="637">
        <v>0.01</v>
      </c>
      <c r="C10" s="638"/>
      <c r="D10" s="639">
        <v>0</v>
      </c>
      <c r="E10" s="639">
        <v>0</v>
      </c>
      <c r="F10" s="634">
        <f t="shared" si="2"/>
        <v>-1466224.9686800009</v>
      </c>
      <c r="G10" s="639">
        <v>625286.12223999994</v>
      </c>
      <c r="H10" s="634">
        <f t="shared" si="0"/>
        <v>-961.32</v>
      </c>
      <c r="I10" s="634">
        <f t="shared" si="3"/>
        <v>-841900.16644000087</v>
      </c>
      <c r="J10" s="634"/>
      <c r="K10" s="635">
        <f>_xll.Get_Balance(A10,"YTD","USD","Total","A","","001","191000","GD","ID","DL")</f>
        <v>-841900.17</v>
      </c>
      <c r="L10" s="636">
        <f t="shared" si="1"/>
        <v>-3.5599991679191589E-3</v>
      </c>
    </row>
    <row r="11" spans="1:16" s="627" customFormat="1">
      <c r="A11" s="633" t="s">
        <v>329</v>
      </c>
      <c r="B11" s="637">
        <v>0.01</v>
      </c>
      <c r="C11" s="638"/>
      <c r="D11" s="639">
        <v>0</v>
      </c>
      <c r="E11" s="639">
        <v>0</v>
      </c>
      <c r="F11" s="634">
        <f t="shared" si="2"/>
        <v>-841900.16644000087</v>
      </c>
      <c r="G11" s="639">
        <v>365738.12703999999</v>
      </c>
      <c r="H11" s="634">
        <f t="shared" si="0"/>
        <v>-549.19000000000005</v>
      </c>
      <c r="I11" s="634">
        <f t="shared" si="3"/>
        <v>-476711.22940000088</v>
      </c>
      <c r="J11" s="634"/>
      <c r="K11" s="635">
        <f>_xll.Get_Balance(A11,"YTD","USD","Total","A","","001","191000","GD","ID","DL")</f>
        <v>-476711.24</v>
      </c>
      <c r="L11" s="636">
        <f t="shared" si="1"/>
        <v>-1.0599999106489122E-2</v>
      </c>
    </row>
    <row r="12" spans="1:16" s="627" customFormat="1">
      <c r="A12" s="633" t="s">
        <v>330</v>
      </c>
      <c r="B12" s="637">
        <v>0.01</v>
      </c>
      <c r="C12" s="638"/>
      <c r="D12" s="639">
        <v>0</v>
      </c>
      <c r="E12" s="639">
        <v>0</v>
      </c>
      <c r="F12" s="634">
        <f t="shared" si="2"/>
        <v>-476711.22940000088</v>
      </c>
      <c r="G12" s="639">
        <v>237611.55235999997</v>
      </c>
      <c r="H12" s="634">
        <f t="shared" si="0"/>
        <v>-298.25</v>
      </c>
      <c r="I12" s="634">
        <f t="shared" si="3"/>
        <v>-239397.92704000091</v>
      </c>
      <c r="J12" s="634"/>
      <c r="K12" s="635">
        <f>_xll.Get_Balance(A12,"YTD","USD","Total","A","","001","191000","GD","ID","DL")</f>
        <v>-239397.94</v>
      </c>
      <c r="L12" s="636">
        <f t="shared" si="1"/>
        <v>-1.2959999090526253E-2</v>
      </c>
    </row>
    <row r="13" spans="1:16" s="627" customFormat="1">
      <c r="A13" s="633" t="s">
        <v>331</v>
      </c>
      <c r="B13" s="637">
        <v>0.01</v>
      </c>
      <c r="C13" s="638"/>
      <c r="D13" s="639">
        <v>0</v>
      </c>
      <c r="E13" s="639">
        <v>0</v>
      </c>
      <c r="F13" s="634">
        <f t="shared" si="2"/>
        <v>-239397.92704000091</v>
      </c>
      <c r="G13" s="639">
        <v>187929.91619999998</v>
      </c>
      <c r="H13" s="634">
        <f t="shared" si="0"/>
        <v>-121.19</v>
      </c>
      <c r="I13" s="634">
        <f t="shared" si="3"/>
        <v>-51589.200840000936</v>
      </c>
      <c r="J13" s="634"/>
      <c r="K13" s="635">
        <f>_xll.Get_Balance(A13,"YTD","USD","Total","A","","001","191000","GD","ID","DL")</f>
        <v>-51589.22</v>
      </c>
      <c r="L13" s="636">
        <f t="shared" si="1"/>
        <v>-1.9159999064868316E-2</v>
      </c>
    </row>
    <row r="14" spans="1:16" s="627" customFormat="1">
      <c r="A14" s="633" t="s">
        <v>332</v>
      </c>
      <c r="B14" s="637">
        <v>0.01</v>
      </c>
      <c r="C14" s="638"/>
      <c r="D14" s="639">
        <v>0</v>
      </c>
      <c r="E14" s="639">
        <v>0</v>
      </c>
      <c r="F14" s="634">
        <f t="shared" si="2"/>
        <v>-51589.200840000936</v>
      </c>
      <c r="G14" s="639">
        <v>219009.42128000001</v>
      </c>
      <c r="H14" s="634">
        <f t="shared" si="0"/>
        <v>48.26</v>
      </c>
      <c r="I14" s="634">
        <f t="shared" si="3"/>
        <v>167468.48043999908</v>
      </c>
      <c r="J14" s="634"/>
      <c r="K14" s="635">
        <f>_xll.Get_Balance(A14,"YTD","USD","Total","A","","001","191000","GD","ID","DL")</f>
        <v>167468.46</v>
      </c>
      <c r="L14" s="636">
        <f t="shared" si="1"/>
        <v>-2.0439999090740457E-2</v>
      </c>
    </row>
    <row r="15" spans="1:16" s="627" customFormat="1">
      <c r="A15" s="633" t="s">
        <v>333</v>
      </c>
      <c r="B15" s="637">
        <v>0.01</v>
      </c>
      <c r="C15" s="638"/>
      <c r="D15" s="639">
        <v>0</v>
      </c>
      <c r="E15" s="639">
        <v>0</v>
      </c>
      <c r="F15" s="634">
        <f t="shared" si="2"/>
        <v>167468.48043999908</v>
      </c>
      <c r="G15" s="639">
        <v>226872.35427999997</v>
      </c>
      <c r="H15" s="634">
        <f t="shared" si="0"/>
        <v>234.09</v>
      </c>
      <c r="I15" s="634">
        <f t="shared" si="3"/>
        <v>394574.92471999908</v>
      </c>
      <c r="J15" s="634"/>
      <c r="K15" s="635">
        <f>_xll.Get_Balance(A15,"YTD","USD","Total","A","","001","191000","GD","ID","DL")</f>
        <v>394574.9</v>
      </c>
      <c r="L15" s="636">
        <f t="shared" si="1"/>
        <v>-2.4719999055378139E-2</v>
      </c>
    </row>
    <row r="16" spans="1:16" s="627" customFormat="1">
      <c r="A16" s="633" t="s">
        <v>334</v>
      </c>
      <c r="B16" s="637">
        <v>0.01</v>
      </c>
      <c r="C16" s="638"/>
      <c r="D16" s="639">
        <v>0</v>
      </c>
      <c r="E16" s="639">
        <v>0</v>
      </c>
      <c r="F16" s="634">
        <f t="shared" si="2"/>
        <v>394574.92471999908</v>
      </c>
      <c r="G16" s="639">
        <v>629393.18415999995</v>
      </c>
      <c r="H16" s="634">
        <f t="shared" si="0"/>
        <v>591.05999999999995</v>
      </c>
      <c r="I16" s="634">
        <f t="shared" si="3"/>
        <v>1024559.1688799991</v>
      </c>
      <c r="J16" s="634"/>
      <c r="K16" s="635">
        <f>_xll.Get_Balance(A16,"YTD","USD","Total","A","","001","191000","GD","ID","DL")</f>
        <v>1024559.14</v>
      </c>
      <c r="L16" s="636">
        <f t="shared" si="1"/>
        <v>-2.8879999066703022E-2</v>
      </c>
    </row>
    <row r="17" spans="1:24" s="627" customFormat="1">
      <c r="A17" s="633" t="s">
        <v>335</v>
      </c>
      <c r="B17" s="637">
        <v>0.01</v>
      </c>
      <c r="C17" s="638"/>
      <c r="D17" s="639">
        <v>-12233.26</v>
      </c>
      <c r="E17" s="639">
        <v>-7053834.8600000003</v>
      </c>
      <c r="F17" s="634">
        <f>I16</f>
        <v>1024559.1688799991</v>
      </c>
      <c r="G17" s="639">
        <v>886838</v>
      </c>
      <c r="H17" s="634">
        <f>ROUND(((I16+E17)*(B17/12))+((G17/2)*(B17/12)),2)</f>
        <v>-4654.88</v>
      </c>
      <c r="I17" s="634">
        <f t="shared" si="3"/>
        <v>-5159325.8311200012</v>
      </c>
      <c r="J17" s="634"/>
      <c r="K17" s="635">
        <f>_xll.Get_Balance(A17,"YTD","USD","Total","A","","001","191000","GD","ID","DL")</f>
        <v>-5159291.96</v>
      </c>
      <c r="L17" s="636">
        <f t="shared" si="1"/>
        <v>33.871120001189411</v>
      </c>
      <c r="M17" s="661"/>
    </row>
    <row r="18" spans="1:24" s="627" customFormat="1" ht="15.75" thickBot="1">
      <c r="A18" s="641" t="s">
        <v>336</v>
      </c>
      <c r="B18" s="642">
        <v>0.01</v>
      </c>
      <c r="C18" s="638"/>
      <c r="D18" s="643">
        <v>81340</v>
      </c>
      <c r="E18" s="643">
        <v>0</v>
      </c>
      <c r="F18" s="644">
        <f>I17</f>
        <v>-5159325.8311200012</v>
      </c>
      <c r="G18" s="643">
        <v>1270294</v>
      </c>
      <c r="H18" s="644">
        <f>ROUND(((F18+E18)*(B18/12))+(((G18+D18)/2)*(B18/12)),2)</f>
        <v>-3736.26</v>
      </c>
      <c r="I18" s="644">
        <f>SUM(D18:H18)</f>
        <v>-3811428.0911200009</v>
      </c>
      <c r="J18" s="644"/>
      <c r="K18" s="645">
        <f>_xll.Get_Balance(A18,"YTD","USD","Total","A","","001","191000","GD","ID","DL")</f>
        <v>-3811350.1</v>
      </c>
      <c r="L18" s="646">
        <f t="shared" si="1"/>
        <v>77.991120000835508</v>
      </c>
      <c r="N18" s="656"/>
    </row>
    <row r="19" spans="1:24" s="627" customFormat="1" collapsed="1">
      <c r="A19" s="647" t="s">
        <v>337</v>
      </c>
      <c r="B19" s="648">
        <v>0.01</v>
      </c>
      <c r="C19" s="638"/>
      <c r="D19" s="649">
        <v>0</v>
      </c>
      <c r="E19" s="649">
        <v>0</v>
      </c>
      <c r="F19" s="650">
        <f>I18+E19</f>
        <v>-3811428.0911200009</v>
      </c>
      <c r="G19" s="649">
        <v>1020678.49</v>
      </c>
      <c r="H19" s="650">
        <f>ROUND(((F19+G19/2)*B19/12),2)</f>
        <v>-2750.91</v>
      </c>
      <c r="I19" s="650">
        <f>SUM(D19:H19)</f>
        <v>-2793500.5111200009</v>
      </c>
      <c r="J19" s="650"/>
      <c r="K19" s="651">
        <f>_xll.Get_Balance(A19,"YTD","USD","Total","A","","001","191000","GD","ID","DL")</f>
        <v>-2793500.52</v>
      </c>
      <c r="L19" s="636">
        <f t="shared" si="1"/>
        <v>-8.8799991644918919E-3</v>
      </c>
    </row>
    <row r="20" spans="1:24" s="627" customFormat="1">
      <c r="A20" s="633" t="s">
        <v>338</v>
      </c>
      <c r="B20" s="648">
        <v>0.01</v>
      </c>
      <c r="C20" s="638"/>
      <c r="D20" s="639">
        <v>0</v>
      </c>
      <c r="E20" s="639">
        <v>0</v>
      </c>
      <c r="F20" s="650">
        <f>I19+E20</f>
        <v>-2793500.5111200009</v>
      </c>
      <c r="G20" s="649">
        <v>1088930.17</v>
      </c>
      <c r="H20" s="634">
        <f>ROUND(((I19+E20)*(B20/12))+((SUM(G20+D20)/2)*(B20/12)),2)</f>
        <v>-1874.2</v>
      </c>
      <c r="I20" s="634">
        <f t="shared" si="3"/>
        <v>-1706444.5411200009</v>
      </c>
      <c r="J20" s="634"/>
      <c r="K20" s="635">
        <f>_xll.Get_Balance(A20,"YTD","USD","Total","A","","001","191000","GD","ID","DL")</f>
        <v>-1706444.55</v>
      </c>
      <c r="L20" s="636">
        <f t="shared" si="1"/>
        <v>-8.8799991644918919E-3</v>
      </c>
    </row>
    <row r="21" spans="1:24" s="627" customFormat="1">
      <c r="A21" s="633" t="s">
        <v>339</v>
      </c>
      <c r="B21" s="648">
        <v>0.01</v>
      </c>
      <c r="C21" s="638"/>
      <c r="D21" s="639">
        <v>0</v>
      </c>
      <c r="E21" s="639">
        <v>0</v>
      </c>
      <c r="F21" s="650">
        <f>I20+E21</f>
        <v>-1706444.5411200009</v>
      </c>
      <c r="G21" s="649">
        <v>888381.94</v>
      </c>
      <c r="H21" s="634">
        <f>ROUND(((F21+G21/2)*B21/12),2)</f>
        <v>-1051.8800000000001</v>
      </c>
      <c r="I21" s="634">
        <f t="shared" si="3"/>
        <v>-819114.48112000094</v>
      </c>
      <c r="J21" s="634"/>
      <c r="K21" s="635">
        <f>_xll.Get_Balance(A21,"YTD","USD","Total","A","","001","191000","GD","ID","DL")</f>
        <v>-819114.49</v>
      </c>
      <c r="L21" s="636">
        <f t="shared" si="1"/>
        <v>-8.87999904807657E-3</v>
      </c>
      <c r="N21" s="656"/>
    </row>
    <row r="22" spans="1:24" ht="15.75">
      <c r="R22" s="654"/>
      <c r="S22" s="653"/>
      <c r="T22" s="653"/>
      <c r="U22" s="652"/>
      <c r="V22" s="625"/>
      <c r="W22" s="625"/>
      <c r="X22" s="625"/>
    </row>
    <row r="23" spans="1:24">
      <c r="R23" s="625"/>
      <c r="S23" s="625"/>
      <c r="T23" s="625"/>
      <c r="U23" s="625"/>
      <c r="V23" s="625"/>
      <c r="W23" s="625"/>
      <c r="X23" s="625"/>
    </row>
    <row r="24" spans="1:24">
      <c r="R24" s="625"/>
      <c r="S24" s="625"/>
      <c r="T24" s="625"/>
      <c r="U24" s="625"/>
      <c r="V24" s="625"/>
      <c r="W24" s="625"/>
      <c r="X24" s="625"/>
    </row>
  </sheetData>
  <mergeCells count="1">
    <mergeCell ref="D5:I5"/>
  </mergeCells>
  <pageMargins left="0.7" right="0" top="0.75" bottom="0.75" header="0.3" footer="0.3"/>
  <pageSetup scale="58" orientation="landscape" r:id="rId1"/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5"/>
  <sheetViews>
    <sheetView showGridLines="0" topLeftCell="A7" zoomScale="70" zoomScaleNormal="70" workbookViewId="0">
      <selection activeCell="L23" sqref="L23:L27"/>
    </sheetView>
  </sheetViews>
  <sheetFormatPr defaultColWidth="16" defaultRowHeight="15"/>
  <cols>
    <col min="1" max="1" width="46.28515625" style="1" customWidth="1"/>
    <col min="2" max="2" width="25.5703125" style="1" customWidth="1"/>
    <col min="3" max="3" width="25.28515625" style="1" customWidth="1"/>
    <col min="4" max="4" width="2.7109375" style="30" customWidth="1"/>
    <col min="5" max="5" width="4.28515625" style="1" customWidth="1"/>
    <col min="6" max="6" width="26.7109375" style="1" customWidth="1"/>
    <col min="7" max="7" width="19" style="1" customWidth="1"/>
    <col min="8" max="8" width="22" style="1" customWidth="1"/>
    <col min="9" max="9" width="20.42578125" style="1" customWidth="1"/>
    <col min="10" max="10" width="26.28515625" style="1" customWidth="1"/>
    <col min="11" max="11" width="21.85546875" style="1" bestFit="1" customWidth="1"/>
    <col min="12" max="12" width="23.85546875" style="1" customWidth="1"/>
    <col min="13" max="13" width="20.85546875" style="1" bestFit="1" customWidth="1"/>
    <col min="14" max="15" width="16" style="1"/>
    <col min="16" max="16" width="16.28515625" style="1" bestFit="1" customWidth="1"/>
    <col min="17" max="16384" width="16" style="1"/>
  </cols>
  <sheetData>
    <row r="1" spans="1:13" ht="16.5" thickBot="1">
      <c r="A1" s="145" t="s">
        <v>64</v>
      </c>
      <c r="B1" s="29"/>
      <c r="C1" s="526">
        <v>201801</v>
      </c>
      <c r="F1" s="527">
        <f>C1</f>
        <v>201801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75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5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75">
      <c r="A4" s="38" t="s">
        <v>88</v>
      </c>
      <c r="C4" s="557">
        <v>3655974.78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557">
        <f>28431.47-1275.62</f>
        <v>27155.850000000002</v>
      </c>
      <c r="D5" s="34"/>
      <c r="F5" s="38"/>
      <c r="G5" s="38"/>
      <c r="H5" s="11"/>
      <c r="I5" s="584">
        <v>0.69059999999999999</v>
      </c>
      <c r="J5" s="584">
        <v>0.30940000000000001</v>
      </c>
      <c r="K5" s="443">
        <f>ROUND(G45/(G45+K43),4)</f>
        <v>0.70330000000000004</v>
      </c>
      <c r="L5" s="443">
        <f>1-K5</f>
        <v>0.29669999999999996</v>
      </c>
      <c r="M5" s="38"/>
    </row>
    <row r="6" spans="1:13" ht="16.5" thickBot="1">
      <c r="A6" s="49" t="s">
        <v>30</v>
      </c>
      <c r="C6" s="558">
        <f>-1494747.7-426339.9-121811.4-137037.83-78568.35-98131.26</f>
        <v>-2356636.44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5" thickBot="1">
      <c r="A7" s="66" t="s">
        <v>140</v>
      </c>
      <c r="C7" s="100">
        <f>SUM(C4:C6)</f>
        <v>1326494.19</v>
      </c>
      <c r="D7" s="35"/>
      <c r="F7" s="166" t="s">
        <v>139</v>
      </c>
      <c r="G7" s="166"/>
      <c r="H7" s="125">
        <f>C34</f>
        <v>2253440.5299999993</v>
      </c>
      <c r="I7" s="167">
        <f>H7*I5</f>
        <v>1556226.0300179995</v>
      </c>
      <c r="J7" s="167">
        <f>H7*J5</f>
        <v>697214.49998199986</v>
      </c>
      <c r="K7" s="167"/>
      <c r="L7" s="167"/>
      <c r="M7" s="38"/>
    </row>
    <row r="8" spans="1:13" ht="15.75">
      <c r="A8" s="1" t="s">
        <v>89</v>
      </c>
      <c r="C8" s="557">
        <v>252729.32</v>
      </c>
      <c r="D8" s="35"/>
      <c r="F8" s="38"/>
      <c r="G8" s="38"/>
      <c r="H8" s="168"/>
      <c r="I8" s="168"/>
      <c r="J8" s="168"/>
      <c r="K8" s="168"/>
      <c r="L8" s="168"/>
      <c r="M8" s="38"/>
    </row>
    <row r="9" spans="1:13" ht="15.75">
      <c r="A9" s="38" t="s">
        <v>90</v>
      </c>
      <c r="C9" s="557">
        <f>8973.45+5.43</f>
        <v>8978.880000000001</v>
      </c>
      <c r="D9" s="36"/>
      <c r="F9" s="166" t="s">
        <v>119</v>
      </c>
      <c r="G9" s="38"/>
      <c r="H9" s="167">
        <f>C56</f>
        <v>7455235.2899999982</v>
      </c>
      <c r="I9" s="167"/>
      <c r="J9" s="167"/>
      <c r="K9" s="167">
        <f>H9*K5</f>
        <v>5243266.9794569993</v>
      </c>
      <c r="L9" s="167">
        <f>H9*L5</f>
        <v>2211968.3105429993</v>
      </c>
      <c r="M9" s="38"/>
    </row>
    <row r="10" spans="1:13" ht="15.75">
      <c r="A10" s="49" t="s">
        <v>91</v>
      </c>
      <c r="C10" s="558">
        <v>-3418.47</v>
      </c>
      <c r="D10" s="36"/>
      <c r="F10" s="169" t="s">
        <v>44</v>
      </c>
      <c r="G10" s="38"/>
      <c r="H10" s="167">
        <f>C57</f>
        <v>5580.95</v>
      </c>
      <c r="I10" s="167"/>
      <c r="J10" s="167"/>
      <c r="K10" s="167">
        <f>H10</f>
        <v>5580.95</v>
      </c>
      <c r="L10" s="167"/>
      <c r="M10" s="38"/>
    </row>
    <row r="11" spans="1:13">
      <c r="A11" s="66" t="s">
        <v>145</v>
      </c>
      <c r="C11" s="100">
        <f>SUM(C8:C10)</f>
        <v>258289.73</v>
      </c>
      <c r="D11" s="36"/>
      <c r="F11" s="169" t="s">
        <v>45</v>
      </c>
      <c r="G11" s="38"/>
      <c r="H11" s="170">
        <f>C58</f>
        <v>4185.79</v>
      </c>
      <c r="I11" s="167"/>
      <c r="J11" s="167"/>
      <c r="K11" s="170"/>
      <c r="L11" s="170">
        <f>H11</f>
        <v>4185.79</v>
      </c>
      <c r="M11" s="38"/>
    </row>
    <row r="12" spans="1:13" ht="15.75">
      <c r="A12" s="1" t="s">
        <v>165</v>
      </c>
      <c r="C12" s="557">
        <f>200789.19+1706.01</f>
        <v>202495.2</v>
      </c>
      <c r="D12" s="36"/>
      <c r="F12" s="169" t="s">
        <v>138</v>
      </c>
      <c r="G12" s="38"/>
      <c r="H12" s="167">
        <f>H9+H10+H11</f>
        <v>7465002.0299999984</v>
      </c>
      <c r="I12" s="167"/>
      <c r="J12" s="167"/>
      <c r="K12" s="167">
        <f>SUM(K9:K11)</f>
        <v>5248847.9294569995</v>
      </c>
      <c r="L12" s="167">
        <f>SUM(L9:L11)</f>
        <v>2216154.1005429993</v>
      </c>
      <c r="M12" s="38"/>
    </row>
    <row r="13" spans="1:13" ht="16.5" thickBot="1">
      <c r="A13" s="49" t="s">
        <v>166</v>
      </c>
      <c r="C13" s="553">
        <v>0</v>
      </c>
      <c r="D13" s="36"/>
      <c r="F13" s="171"/>
      <c r="G13" s="172"/>
      <c r="H13" s="173"/>
      <c r="I13" s="174"/>
      <c r="J13" s="173"/>
      <c r="K13" s="168"/>
      <c r="L13" s="173"/>
      <c r="M13" s="38"/>
    </row>
    <row r="14" spans="1:13" ht="16.5" thickBot="1">
      <c r="A14" s="66" t="s">
        <v>92</v>
      </c>
      <c r="C14" s="100">
        <f>SUM(C12:C13)</f>
        <v>202495.2</v>
      </c>
      <c r="D14" s="37"/>
      <c r="F14" s="50" t="s">
        <v>69</v>
      </c>
      <c r="G14" s="175"/>
      <c r="H14" s="125">
        <f>H12+H7</f>
        <v>9718442.5599999987</v>
      </c>
      <c r="I14" s="176">
        <f>SUM(I7:I13)</f>
        <v>1556226.0300179995</v>
      </c>
      <c r="J14" s="176">
        <f>SUM(J7:J13)</f>
        <v>697214.49998199986</v>
      </c>
      <c r="K14" s="176">
        <f>K12</f>
        <v>5248847.9294569995</v>
      </c>
      <c r="L14" s="176">
        <f>L12</f>
        <v>2216154.1005429993</v>
      </c>
      <c r="M14" s="38"/>
    </row>
    <row r="15" spans="1:13" ht="15.75">
      <c r="A15" s="1" t="s">
        <v>183</v>
      </c>
      <c r="C15" s="557">
        <f>411773.16+3986.07</f>
        <v>415759.23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"/>
      <c r="L15" s="173">
        <f>H12-K14-L14</f>
        <v>0</v>
      </c>
      <c r="M15" s="38"/>
    </row>
    <row r="16" spans="1:13" ht="15.75">
      <c r="A16" s="49" t="s">
        <v>184</v>
      </c>
      <c r="C16" s="553">
        <v>0</v>
      </c>
      <c r="D16" s="36"/>
      <c r="F16" s="178"/>
      <c r="G16" s="172"/>
      <c r="H16" s="179"/>
      <c r="I16" s="180"/>
      <c r="J16" s="179"/>
      <c r="K16" s="38"/>
      <c r="L16" s="179"/>
      <c r="M16" s="38"/>
    </row>
    <row r="17" spans="1:14" ht="15.75" thickBot="1">
      <c r="A17" s="66" t="s">
        <v>185</v>
      </c>
      <c r="C17" s="100">
        <f>SUM(C15:C16)</f>
        <v>415759.23</v>
      </c>
      <c r="D17" s="37"/>
      <c r="F17" s="171"/>
      <c r="G17" s="172"/>
      <c r="H17" s="179"/>
      <c r="I17" s="180"/>
      <c r="J17" s="183"/>
      <c r="K17" s="38"/>
      <c r="L17" s="179"/>
      <c r="M17" s="38"/>
    </row>
    <row r="18" spans="1:14" ht="16.5" thickBot="1">
      <c r="A18" s="1" t="s">
        <v>163</v>
      </c>
      <c r="C18" s="557">
        <f>83248.66+10571.6-991.71</f>
        <v>92828.55</v>
      </c>
      <c r="D18" s="36"/>
      <c r="F18" s="674" t="s">
        <v>134</v>
      </c>
      <c r="G18" s="675"/>
      <c r="H18" s="675"/>
      <c r="I18" s="676"/>
      <c r="J18" s="674" t="s">
        <v>135</v>
      </c>
      <c r="K18" s="675"/>
      <c r="L18" s="675"/>
      <c r="M18" s="676"/>
    </row>
    <row r="19" spans="1:14" ht="15.75">
      <c r="A19" s="46" t="s">
        <v>164</v>
      </c>
      <c r="C19" s="558">
        <f>908.45</f>
        <v>908.45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93737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B21" s="382"/>
      <c r="C21" s="558">
        <f>1850+820.3</f>
        <v>2670.3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2670.3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0">
        <v>20257484</v>
      </c>
      <c r="H23" s="604">
        <v>0.10743999999999999</v>
      </c>
      <c r="I23" s="196">
        <f t="shared" ref="I23:I31" si="0">G23*H23</f>
        <v>2176464.0809599999</v>
      </c>
      <c r="J23" s="200" t="s">
        <v>37</v>
      </c>
      <c r="K23" s="560">
        <v>8822773</v>
      </c>
      <c r="L23" s="604">
        <v>0.10496999999999999</v>
      </c>
      <c r="M23" s="196">
        <f>K23*L23</f>
        <v>926126.48180999991</v>
      </c>
      <c r="N23" s="382"/>
    </row>
    <row r="24" spans="1:14" ht="15.75">
      <c r="A24" s="208" t="s">
        <v>186</v>
      </c>
      <c r="C24" s="311">
        <v>0</v>
      </c>
      <c r="D24" s="36"/>
      <c r="F24" s="200" t="s">
        <v>305</v>
      </c>
      <c r="G24" s="560">
        <v>22671</v>
      </c>
      <c r="H24" s="604">
        <v>0.10743999999999999</v>
      </c>
      <c r="I24" s="196">
        <f t="shared" si="0"/>
        <v>2435.7722399999998</v>
      </c>
      <c r="J24" s="200" t="s">
        <v>38</v>
      </c>
      <c r="K24" s="560">
        <v>2761366</v>
      </c>
      <c r="L24" s="604">
        <v>0.10496999999999999</v>
      </c>
      <c r="M24" s="196">
        <f t="shared" ref="M24:M27" si="1">K24*L24</f>
        <v>289860.58901999996</v>
      </c>
      <c r="N24" s="382"/>
    </row>
    <row r="25" spans="1:14" ht="15.75">
      <c r="A25" s="208" t="s">
        <v>189</v>
      </c>
      <c r="C25" s="312">
        <v>0</v>
      </c>
      <c r="D25" s="36"/>
      <c r="F25" s="200" t="s">
        <v>38</v>
      </c>
      <c r="G25" s="560">
        <v>6608892</v>
      </c>
      <c r="H25" s="604">
        <v>9.8650000000000002E-2</v>
      </c>
      <c r="I25" s="196">
        <f t="shared" si="0"/>
        <v>651967.19579999999</v>
      </c>
      <c r="J25" s="200" t="s">
        <v>39</v>
      </c>
      <c r="K25" s="560">
        <v>3610</v>
      </c>
      <c r="L25" s="604">
        <v>0.10496999999999999</v>
      </c>
      <c r="M25" s="196">
        <f t="shared" si="1"/>
        <v>378.94169999999997</v>
      </c>
      <c r="N25" s="382"/>
    </row>
    <row r="26" spans="1:14" ht="15.75">
      <c r="A26" s="209" t="s">
        <v>313</v>
      </c>
      <c r="C26" s="313">
        <v>0</v>
      </c>
      <c r="D26" s="36"/>
      <c r="F26" s="200" t="s">
        <v>39</v>
      </c>
      <c r="G26" s="560">
        <v>10558</v>
      </c>
      <c r="H26" s="604">
        <v>9.8650000000000002E-2</v>
      </c>
      <c r="I26" s="196">
        <f t="shared" si="0"/>
        <v>1041.5467000000001</v>
      </c>
      <c r="J26" s="200" t="s">
        <v>40</v>
      </c>
      <c r="K26" s="261"/>
      <c r="L26" s="604">
        <v>0.10496999999999999</v>
      </c>
      <c r="M26" s="196">
        <f t="shared" si="1"/>
        <v>0</v>
      </c>
      <c r="N26" s="382"/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0">
        <v>362835</v>
      </c>
      <c r="H27" s="604">
        <v>0.10433000000000001</v>
      </c>
      <c r="I27" s="196">
        <f t="shared" si="0"/>
        <v>37854.575550000001</v>
      </c>
      <c r="J27" s="200" t="s">
        <v>41</v>
      </c>
      <c r="K27" s="261"/>
      <c r="L27" s="604">
        <v>0.10496999999999999</v>
      </c>
      <c r="M27" s="196">
        <f t="shared" si="1"/>
        <v>0</v>
      </c>
      <c r="N27" s="382"/>
    </row>
    <row r="28" spans="1:14" ht="16.5" thickBot="1">
      <c r="A28" s="210" t="s">
        <v>150</v>
      </c>
      <c r="C28" s="311">
        <v>0</v>
      </c>
      <c r="D28" s="37"/>
      <c r="F28" s="200" t="s">
        <v>41</v>
      </c>
      <c r="G28" s="560">
        <v>65295</v>
      </c>
      <c r="H28" s="604">
        <v>0.10433000000000001</v>
      </c>
      <c r="I28" s="196">
        <f t="shared" si="0"/>
        <v>6812.2273500000001</v>
      </c>
      <c r="J28" s="199" t="s">
        <v>127</v>
      </c>
      <c r="K28" s="181">
        <f>SUM(K23:K27)</f>
        <v>11587749</v>
      </c>
      <c r="L28" s="182"/>
      <c r="M28" s="197">
        <f>SUM(M23:M27)</f>
        <v>1216366.0125299999</v>
      </c>
      <c r="N28" s="382"/>
    </row>
    <row r="29" spans="1:14" ht="17.25" thickTop="1" thickBot="1">
      <c r="A29" s="210" t="s">
        <v>167</v>
      </c>
      <c r="B29" s="38"/>
      <c r="C29" s="311">
        <v>0</v>
      </c>
      <c r="D29" s="36"/>
      <c r="F29" s="200" t="s">
        <v>42</v>
      </c>
      <c r="G29" s="560">
        <v>0</v>
      </c>
      <c r="H29" s="604">
        <v>6.2480000000000001E-2</v>
      </c>
      <c r="I29" s="196">
        <f t="shared" si="0"/>
        <v>0</v>
      </c>
      <c r="J29" s="199"/>
      <c r="K29" s="231">
        <v>11587749</v>
      </c>
      <c r="L29" s="187" t="s">
        <v>102</v>
      </c>
      <c r="M29" s="463">
        <f>M28/K28</f>
        <v>0.10496999999999999</v>
      </c>
      <c r="N29" s="382"/>
    </row>
    <row r="30" spans="1:14" ht="16.5" thickBot="1">
      <c r="A30" s="2" t="s">
        <v>111</v>
      </c>
      <c r="C30" s="125">
        <f>C7+C11+C14+C17+C20+C22+C27+C28+C29</f>
        <v>2299445.6499999994</v>
      </c>
      <c r="D30" s="37"/>
      <c r="F30" s="200" t="s">
        <v>43</v>
      </c>
      <c r="G30" s="560">
        <v>139102</v>
      </c>
      <c r="H30" s="604">
        <v>6.2480000000000001E-2</v>
      </c>
      <c r="I30" s="196">
        <f t="shared" si="0"/>
        <v>8691.0929599999999</v>
      </c>
      <c r="J30" s="200"/>
      <c r="K30" s="230">
        <f>K28-K29</f>
        <v>0</v>
      </c>
      <c r="L30" s="182"/>
      <c r="M30" s="198"/>
    </row>
    <row r="31" spans="1:14" ht="15.75">
      <c r="A31" s="1" t="s">
        <v>112</v>
      </c>
      <c r="C31" s="557">
        <v>-8961.94</v>
      </c>
      <c r="D31" s="39"/>
      <c r="F31" s="200" t="s">
        <v>74</v>
      </c>
      <c r="G31" s="560">
        <v>3629622</v>
      </c>
      <c r="H31" s="662">
        <v>5.4000000000000001E-4</v>
      </c>
      <c r="I31" s="196">
        <f t="shared" si="0"/>
        <v>1959.9958799999999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71">
        <f>C30+C31</f>
        <v>2290483.7099999995</v>
      </c>
      <c r="D32" s="40"/>
      <c r="F32" s="199" t="s">
        <v>127</v>
      </c>
      <c r="G32" s="181">
        <f>SUM(G23:G31)</f>
        <v>31096459</v>
      </c>
      <c r="H32" s="7"/>
      <c r="I32" s="197">
        <f>SUM(I23:I31)</f>
        <v>2887226.4874399994</v>
      </c>
      <c r="J32" s="192"/>
      <c r="K32" s="193"/>
      <c r="L32" s="7"/>
      <c r="M32" s="190"/>
    </row>
    <row r="33" spans="1:17" ht="17.25" thickTop="1" thickBot="1">
      <c r="A33" s="1" t="s">
        <v>113</v>
      </c>
      <c r="C33" s="571">
        <f>-C5-C9-C13-C16-C19</f>
        <v>-37043.18</v>
      </c>
      <c r="D33" s="36"/>
      <c r="F33" s="186"/>
      <c r="G33" s="231">
        <v>31096459</v>
      </c>
      <c r="H33" s="187" t="s">
        <v>102</v>
      </c>
      <c r="I33" s="216">
        <f>I32/G32</f>
        <v>9.2847436019644528E-2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2253440.5299999993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72"/>
      <c r="L35" s="672"/>
      <c r="M35" s="673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90">
        <v>8822773</v>
      </c>
      <c r="L36" s="604">
        <v>0.21725</v>
      </c>
      <c r="M36" s="196">
        <f t="shared" ref="M36:M42" si="2">K36*L36</f>
        <v>1916747.4342499999</v>
      </c>
      <c r="N36" s="382"/>
      <c r="P36" s="272"/>
      <c r="Q36" s="272"/>
    </row>
    <row r="37" spans="1:17" ht="15.75">
      <c r="A37" s="7" t="s">
        <v>129</v>
      </c>
      <c r="B37" s="86" t="s">
        <v>115</v>
      </c>
      <c r="C37" s="557">
        <v>9310111.5999999996</v>
      </c>
      <c r="D37" s="36"/>
      <c r="F37" s="200" t="s">
        <v>37</v>
      </c>
      <c r="G37" s="590">
        <v>20257484</v>
      </c>
      <c r="H37" s="604">
        <v>0.21817</v>
      </c>
      <c r="I37" s="196">
        <f t="shared" ref="I37:I44" si="3">G37*H37</f>
        <v>4419575.2842800003</v>
      </c>
      <c r="J37" s="200" t="s">
        <v>38</v>
      </c>
      <c r="K37" s="590">
        <v>2761366</v>
      </c>
      <c r="L37" s="604">
        <v>0.21725</v>
      </c>
      <c r="M37" s="196">
        <f t="shared" si="2"/>
        <v>599906.7635</v>
      </c>
      <c r="N37" s="382"/>
      <c r="P37" s="272"/>
      <c r="Q37" s="272"/>
    </row>
    <row r="38" spans="1:17" ht="15.75">
      <c r="A38" s="144" t="s">
        <v>14</v>
      </c>
      <c r="B38" s="86" t="s">
        <v>115</v>
      </c>
      <c r="C38" s="557">
        <v>0</v>
      </c>
      <c r="D38" s="36"/>
      <c r="F38" s="200" t="s">
        <v>305</v>
      </c>
      <c r="G38" s="590">
        <v>22671</v>
      </c>
      <c r="H38" s="604">
        <v>0.21817</v>
      </c>
      <c r="I38" s="196">
        <f t="shared" si="3"/>
        <v>4946.1320699999997</v>
      </c>
      <c r="J38" s="200" t="s">
        <v>39</v>
      </c>
      <c r="K38" s="590">
        <v>3610</v>
      </c>
      <c r="L38" s="604">
        <v>0.21725</v>
      </c>
      <c r="M38" s="196">
        <f t="shared" si="2"/>
        <v>784.27250000000004</v>
      </c>
      <c r="N38" s="382"/>
      <c r="P38" s="272"/>
      <c r="Q38" s="272"/>
    </row>
    <row r="39" spans="1:17" ht="15.75">
      <c r="A39" s="7" t="s">
        <v>146</v>
      </c>
      <c r="B39" s="86" t="s">
        <v>147</v>
      </c>
      <c r="C39" s="557">
        <v>-92480.2</v>
      </c>
      <c r="D39" s="36"/>
      <c r="F39" s="200" t="s">
        <v>38</v>
      </c>
      <c r="G39" s="590">
        <v>6608892</v>
      </c>
      <c r="H39" s="604">
        <v>0.21817</v>
      </c>
      <c r="I39" s="196">
        <f t="shared" si="3"/>
        <v>1441861.9676399999</v>
      </c>
      <c r="J39" s="200" t="s">
        <v>40</v>
      </c>
      <c r="K39" s="262">
        <f>K26</f>
        <v>0</v>
      </c>
      <c r="L39" s="604">
        <v>0.21725</v>
      </c>
      <c r="M39" s="196">
        <f t="shared" si="2"/>
        <v>0</v>
      </c>
      <c r="N39" s="382"/>
      <c r="P39" s="272"/>
      <c r="Q39" s="272"/>
    </row>
    <row r="40" spans="1:17" ht="15.75">
      <c r="A40" s="7" t="s">
        <v>131</v>
      </c>
      <c r="B40" s="86" t="s">
        <v>132</v>
      </c>
      <c r="C40" s="557">
        <v>2270713.2799999998</v>
      </c>
      <c r="D40" s="36"/>
      <c r="F40" s="200" t="s">
        <v>39</v>
      </c>
      <c r="G40" s="590">
        <v>10558</v>
      </c>
      <c r="H40" s="604">
        <v>0.21817</v>
      </c>
      <c r="I40" s="196">
        <f t="shared" si="3"/>
        <v>2303.4388600000002</v>
      </c>
      <c r="J40" s="200" t="s">
        <v>41</v>
      </c>
      <c r="K40" s="262">
        <f>K27</f>
        <v>0</v>
      </c>
      <c r="L40" s="604">
        <v>0.21725</v>
      </c>
      <c r="M40" s="196">
        <f t="shared" si="2"/>
        <v>0</v>
      </c>
      <c r="N40" s="382"/>
      <c r="P40" s="272"/>
      <c r="Q40" s="272"/>
    </row>
    <row r="41" spans="1:17" ht="15.75">
      <c r="A41" s="7" t="s">
        <v>153</v>
      </c>
      <c r="B41" s="6" t="s">
        <v>155</v>
      </c>
      <c r="C41" s="557">
        <v>1919.57</v>
      </c>
      <c r="D41" s="36"/>
      <c r="F41" s="200" t="s">
        <v>40</v>
      </c>
      <c r="G41" s="590">
        <v>362835</v>
      </c>
      <c r="H41" s="604">
        <v>0.21817</v>
      </c>
      <c r="I41" s="196">
        <f t="shared" si="3"/>
        <v>79159.711949999997</v>
      </c>
      <c r="J41" s="200" t="s">
        <v>42</v>
      </c>
      <c r="K41" s="261">
        <v>0</v>
      </c>
      <c r="L41" s="604">
        <v>0.21725</v>
      </c>
      <c r="M41" s="196">
        <f t="shared" si="2"/>
        <v>0</v>
      </c>
      <c r="N41" s="382"/>
      <c r="P41" s="272"/>
      <c r="Q41" s="272"/>
    </row>
    <row r="42" spans="1:17" ht="16.5" thickBot="1">
      <c r="A42" s="7" t="s">
        <v>178</v>
      </c>
      <c r="B42" s="229" t="s">
        <v>179</v>
      </c>
      <c r="C42" s="557">
        <v>895916.94</v>
      </c>
      <c r="D42" s="37"/>
      <c r="F42" s="200" t="s">
        <v>41</v>
      </c>
      <c r="G42" s="590">
        <v>65295</v>
      </c>
      <c r="H42" s="604">
        <v>0.21817</v>
      </c>
      <c r="I42" s="196">
        <f t="shared" si="3"/>
        <v>14245.41015</v>
      </c>
      <c r="J42" s="200" t="s">
        <v>43</v>
      </c>
      <c r="K42" s="263">
        <v>0</v>
      </c>
      <c r="L42" s="604">
        <v>0.21725</v>
      </c>
      <c r="M42" s="196">
        <f t="shared" si="2"/>
        <v>0</v>
      </c>
      <c r="N42" s="382"/>
      <c r="P42" s="272"/>
      <c r="Q42" s="272"/>
    </row>
    <row r="43" spans="1:17" ht="16.5" thickBot="1">
      <c r="A43" s="85" t="s">
        <v>123</v>
      </c>
      <c r="B43" s="12"/>
      <c r="C43" s="125">
        <f>SUM(C37:C42)</f>
        <v>12386181.189999999</v>
      </c>
      <c r="D43" s="36"/>
      <c r="F43" s="200" t="s">
        <v>42</v>
      </c>
      <c r="G43" s="590">
        <v>0</v>
      </c>
      <c r="H43" s="604">
        <v>0.21817</v>
      </c>
      <c r="I43" s="196">
        <f t="shared" si="3"/>
        <v>0</v>
      </c>
      <c r="J43" s="199" t="s">
        <v>133</v>
      </c>
      <c r="K43" s="181">
        <f>SUM(K36:K42)</f>
        <v>11587749</v>
      </c>
      <c r="L43" s="182"/>
      <c r="M43" s="197">
        <f>SUM(M36:M42)</f>
        <v>2517438.4702499998</v>
      </c>
    </row>
    <row r="44" spans="1:17" ht="16.5" thickBot="1">
      <c r="A44" s="83" t="s">
        <v>177</v>
      </c>
      <c r="B44" s="84" t="s">
        <v>120</v>
      </c>
      <c r="C44" s="557">
        <f>-447647.7+3873607.53-24735.54+1377.31</f>
        <v>3402601.5999999996</v>
      </c>
      <c r="D44" s="37"/>
      <c r="F44" s="200" t="s">
        <v>43</v>
      </c>
      <c r="G44" s="590">
        <v>139102</v>
      </c>
      <c r="H44" s="604">
        <v>0.21817</v>
      </c>
      <c r="I44" s="196">
        <f t="shared" si="3"/>
        <v>30347.88334</v>
      </c>
      <c r="J44" s="194"/>
      <c r="K44" s="232">
        <v>11587749</v>
      </c>
      <c r="L44" s="189" t="s">
        <v>102</v>
      </c>
      <c r="M44" s="217">
        <f>M43/K43</f>
        <v>0.21724999999999997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27466837</v>
      </c>
      <c r="H45" s="182"/>
      <c r="I45" s="197">
        <f>SUM(I37:I44)</f>
        <v>5992439.8282900015</v>
      </c>
      <c r="J45" s="124"/>
      <c r="K45" s="230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27466837</v>
      </c>
      <c r="H46" s="189" t="s">
        <v>102</v>
      </c>
      <c r="I46" s="215">
        <f>I45/G45</f>
        <v>0.21817000000000006</v>
      </c>
      <c r="J46" s="124"/>
      <c r="K46" s="230"/>
      <c r="L46" s="383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0">
        <f>G45-G46</f>
        <v>0</v>
      </c>
      <c r="H47" s="38"/>
      <c r="I47" s="38"/>
      <c r="J47" s="124"/>
      <c r="K47" s="230"/>
      <c r="L47" s="383"/>
      <c r="M47" s="124"/>
    </row>
    <row r="48" spans="1:17" ht="16.5" thickBot="1">
      <c r="A48" s="144" t="s">
        <v>304</v>
      </c>
      <c r="B48" s="6" t="s">
        <v>115</v>
      </c>
      <c r="C48" s="557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75">
      <c r="A49" s="7" t="s">
        <v>130</v>
      </c>
      <c r="B49" s="86" t="s">
        <v>152</v>
      </c>
      <c r="C49" s="557">
        <v>19453.97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5" thickBot="1">
      <c r="A50" s="7" t="s">
        <v>222</v>
      </c>
      <c r="B50" s="218" t="s">
        <v>152</v>
      </c>
      <c r="C50" s="557">
        <v>3069.37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75">
      <c r="A51" s="7" t="s">
        <v>308</v>
      </c>
      <c r="B51" s="450" t="s">
        <v>152</v>
      </c>
      <c r="C51" s="557">
        <v>5858.93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75">
      <c r="A52" s="22" t="s">
        <v>118</v>
      </c>
      <c r="B52" s="6"/>
      <c r="C52" s="572">
        <f>-C33</f>
        <v>37043.18</v>
      </c>
      <c r="D52" s="33"/>
      <c r="F52" s="38" t="s">
        <v>136</v>
      </c>
      <c r="G52" s="38"/>
      <c r="H52" s="212">
        <f>K12</f>
        <v>5248847.9294569995</v>
      </c>
      <c r="I52" s="115">
        <f>I14</f>
        <v>1556226.0300179995</v>
      </c>
      <c r="J52" s="115">
        <f>L12</f>
        <v>2216154.1005429993</v>
      </c>
      <c r="K52" s="115">
        <f>J14</f>
        <v>697214.49998199986</v>
      </c>
      <c r="L52" s="132">
        <f>SUM(H52:K52)</f>
        <v>9718442.5599999987</v>
      </c>
      <c r="M52" s="38"/>
    </row>
    <row r="53" spans="1:21" ht="16.5" thickBot="1">
      <c r="A53" s="383" t="s">
        <v>315</v>
      </c>
      <c r="B53" s="603" t="s">
        <v>316</v>
      </c>
      <c r="C53" s="557">
        <f>7821.52+0.01</f>
        <v>7821.5300000000007</v>
      </c>
      <c r="D53" s="36"/>
      <c r="F53" s="1" t="s">
        <v>109</v>
      </c>
      <c r="H53" s="212">
        <f>-I45</f>
        <v>-5992439.8282900015</v>
      </c>
      <c r="I53" s="115">
        <f>-I32</f>
        <v>-2887226.4874399994</v>
      </c>
      <c r="J53" s="115">
        <f>-M43</f>
        <v>-2517438.4702499998</v>
      </c>
      <c r="K53" s="115">
        <f>-M28</f>
        <v>-1216366.0125299999</v>
      </c>
      <c r="L53" s="260">
        <f>SUM(H53:K53)</f>
        <v>-12613470.79851</v>
      </c>
    </row>
    <row r="54" spans="1:21" ht="16.5" thickBot="1">
      <c r="A54" s="380" t="s">
        <v>124</v>
      </c>
      <c r="B54" s="471" t="s">
        <v>296</v>
      </c>
      <c r="C54" s="557">
        <f>-538419.62-4072845.36-3427529.5</f>
        <v>-8038794.4799999995</v>
      </c>
      <c r="D54" s="36"/>
      <c r="F54" s="1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-2895028.2385100015</v>
      </c>
    </row>
    <row r="55" spans="1:21" ht="16.5" thickBot="1">
      <c r="A55" s="1" t="s">
        <v>312</v>
      </c>
      <c r="B55" s="6" t="s">
        <v>190</v>
      </c>
      <c r="C55" s="557">
        <v>-375000</v>
      </c>
      <c r="D55" s="36"/>
      <c r="F55" s="1" t="s">
        <v>71</v>
      </c>
      <c r="H55" s="125">
        <f>H52+H53+H54</f>
        <v>-743591.89883300196</v>
      </c>
      <c r="I55" s="125">
        <f>I52+I53+I54</f>
        <v>-1331000.4574219999</v>
      </c>
      <c r="J55" s="125">
        <f>J52+J53+J54</f>
        <v>-301284.36970700044</v>
      </c>
      <c r="K55" s="125">
        <f>K52+K53+K54</f>
        <v>-519151.51254800009</v>
      </c>
      <c r="L55" s="47">
        <f>SUM(H55:K55)</f>
        <v>-2895028.2385100024</v>
      </c>
    </row>
    <row r="56" spans="1:21" ht="16.5" thickBot="1">
      <c r="A56" s="82" t="s">
        <v>119</v>
      </c>
      <c r="B56" s="84"/>
      <c r="C56" s="160">
        <f>SUM(C43:C55)</f>
        <v>7455235.2899999982</v>
      </c>
      <c r="D56" s="36"/>
      <c r="F56" s="239" t="s">
        <v>181</v>
      </c>
      <c r="H56" s="1" t="s">
        <v>173</v>
      </c>
      <c r="I56" s="5">
        <f>SUM(H55:I55)</f>
        <v>-2074592.3562550019</v>
      </c>
      <c r="J56" s="15" t="s">
        <v>174</v>
      </c>
      <c r="K56" s="1">
        <f>SUM(J55:K55)</f>
        <v>-820435.88225500053</v>
      </c>
      <c r="L56" s="213">
        <f>ROUND(L54-L55,3)</f>
        <v>0</v>
      </c>
      <c r="T56" s="42"/>
    </row>
    <row r="57" spans="1:21" ht="16.5" thickTop="1">
      <c r="A57" s="1" t="s">
        <v>121</v>
      </c>
      <c r="B57" s="6" t="s">
        <v>115</v>
      </c>
      <c r="C57" s="557">
        <v>5580.95</v>
      </c>
      <c r="D57" s="36"/>
      <c r="F57" s="395" t="s">
        <v>181</v>
      </c>
      <c r="H57" s="96"/>
    </row>
    <row r="58" spans="1:21" ht="16.5" thickBot="1">
      <c r="A58" s="1" t="s">
        <v>122</v>
      </c>
      <c r="B58" s="6" t="s">
        <v>115</v>
      </c>
      <c r="C58" s="557">
        <v>4185.79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7465002.0299999984</v>
      </c>
      <c r="D59" s="36"/>
      <c r="F59" s="541" t="s">
        <v>303</v>
      </c>
      <c r="G59" s="542" t="str">
        <f>IF(OR(AND(I56&gt;0,K56&gt;0),AND(I56&lt;0,K56&lt;0)),"OK","ERROR")</f>
        <v>OK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9718442.5599999987</v>
      </c>
      <c r="D61" s="37"/>
      <c r="H61" s="347" t="e">
        <f>SUM('WA - Def-Amtz (current)'!AL5:AL10,'WA - Def-Amtz (current)'!AL35:AL40,'WA - Def-Amtz (current)'!AL70:AL73,#REF!,#REF!,#REF!)+'WA - Def-Amtz (current)'!AL43+#REF!</f>
        <v>#REF!</v>
      </c>
      <c r="I61" s="447" t="e">
        <f>SUM('WA - Def-Amtz (current)'!AM5:AM10,'WA - Def-Amtz (current)'!AM35:AM40,'WA - Def-Amtz (current)'!AM70:AM73,#REF!,#REF!,#REF!)+'WA - Def-Amtz (current)'!AM44+#REF!</f>
        <v>#REF!</v>
      </c>
      <c r="J61" s="1">
        <f>H53+I53+J53+K53</f>
        <v>-12613470.79851</v>
      </c>
    </row>
    <row r="62" spans="1:21" ht="15.75">
      <c r="A62" s="2"/>
      <c r="B62" s="9" t="s">
        <v>160</v>
      </c>
      <c r="C62" s="348">
        <v>9718442.5600000005</v>
      </c>
      <c r="G62" s="5"/>
      <c r="I62" s="135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G63" s="382"/>
      <c r="H63" s="382"/>
      <c r="I63" s="382"/>
      <c r="J63" s="382"/>
      <c r="S63" s="6"/>
    </row>
    <row r="64" spans="1:21" ht="15.75">
      <c r="A64" s="44"/>
      <c r="C64" s="349"/>
      <c r="D64" s="43"/>
      <c r="G64" s="382"/>
      <c r="H64" s="382"/>
      <c r="I64" s="382"/>
      <c r="J64" s="382"/>
      <c r="N64" s="22"/>
      <c r="U64" s="2"/>
    </row>
    <row r="65" spans="1:21" ht="15.75">
      <c r="A65" s="44"/>
      <c r="C65" s="8"/>
      <c r="D65" s="36"/>
      <c r="G65" s="382"/>
      <c r="H65" s="382"/>
      <c r="I65" s="382"/>
      <c r="J65" s="382"/>
      <c r="N65" s="22"/>
      <c r="S65" s="23"/>
    </row>
    <row r="66" spans="1:21" ht="15.75">
      <c r="A66" s="2"/>
      <c r="C66" s="8"/>
      <c r="D66" s="36"/>
      <c r="G66" s="382"/>
      <c r="H66" s="96"/>
      <c r="I66" s="382"/>
      <c r="J66" s="382"/>
      <c r="N66" s="22"/>
      <c r="S66" s="24"/>
    </row>
    <row r="67" spans="1:21">
      <c r="C67" s="100"/>
      <c r="D67" s="36"/>
      <c r="G67" s="382"/>
      <c r="H67" s="382"/>
      <c r="I67" s="382"/>
      <c r="J67" s="382"/>
      <c r="N67" s="22"/>
      <c r="S67" s="25"/>
    </row>
    <row r="68" spans="1:21">
      <c r="D68" s="36"/>
      <c r="G68" s="382"/>
      <c r="H68" s="382"/>
      <c r="I68" s="382"/>
      <c r="J68" s="382"/>
      <c r="N68" s="22"/>
      <c r="S68" s="24"/>
    </row>
    <row r="69" spans="1:21">
      <c r="D69" s="37"/>
      <c r="G69" s="382"/>
      <c r="H69" s="382"/>
      <c r="I69" s="382"/>
      <c r="J69" s="382"/>
      <c r="N69" s="22"/>
    </row>
    <row r="70" spans="1:21">
      <c r="D70" s="36"/>
      <c r="G70" s="382"/>
      <c r="H70" s="382"/>
      <c r="I70" s="382"/>
      <c r="J70" s="382"/>
      <c r="N70" s="22"/>
      <c r="S70" s="26"/>
    </row>
    <row r="71" spans="1:21">
      <c r="D71" s="36"/>
      <c r="G71" s="382"/>
      <c r="H71" s="382"/>
      <c r="I71" s="382"/>
      <c r="J71" s="382"/>
    </row>
    <row r="72" spans="1:21">
      <c r="D72" s="36"/>
      <c r="G72" s="382"/>
      <c r="H72" s="382"/>
      <c r="I72" s="382"/>
      <c r="J72" s="382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1">
        <v>-2130</v>
      </c>
    </row>
    <row r="1485" spans="3:3">
      <c r="C1485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3 L56 I62">
    <cfRule type="cellIs" dxfId="232" priority="27" stopIfTrue="1" operator="equal">
      <formula>0</formula>
    </cfRule>
    <cfRule type="cellIs" dxfId="231" priority="28" stopIfTrue="1" operator="notEqual">
      <formula>0</formula>
    </cfRule>
  </conditionalFormatting>
  <conditionalFormatting sqref="G34 G47 K30 K45:K47">
    <cfRule type="cellIs" dxfId="230" priority="20" operator="notEqual">
      <formula>0</formula>
    </cfRule>
  </conditionalFormatting>
  <conditionalFormatting sqref="C63">
    <cfRule type="cellIs" dxfId="229" priority="14" stopIfTrue="1" operator="equal">
      <formula>0</formula>
    </cfRule>
    <cfRule type="cellIs" dxfId="228" priority="15" stopIfTrue="1" operator="notEqual">
      <formula>0</formula>
    </cfRule>
  </conditionalFormatting>
  <conditionalFormatting sqref="K30">
    <cfRule type="cellIs" dxfId="227" priority="13" operator="notEqual">
      <formula>0</formula>
    </cfRule>
  </conditionalFormatting>
  <conditionalFormatting sqref="G59">
    <cfRule type="cellIs" dxfId="226" priority="2" operator="equal">
      <formula>"ERROR"</formula>
    </cfRule>
  </conditionalFormatting>
  <conditionalFormatting sqref="G59">
    <cfRule type="cellIs" dxfId="22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5"/>
  <sheetViews>
    <sheetView showGridLines="0" topLeftCell="A22" zoomScale="70" zoomScaleNormal="70" workbookViewId="0">
      <selection activeCell="H61" sqref="H61:I61"/>
    </sheetView>
  </sheetViews>
  <sheetFormatPr defaultColWidth="16" defaultRowHeight="15"/>
  <cols>
    <col min="1" max="1" width="44.85546875" style="382" customWidth="1"/>
    <col min="2" max="2" width="25.5703125" style="382" customWidth="1"/>
    <col min="3" max="3" width="25.28515625" style="382" customWidth="1"/>
    <col min="4" max="4" width="2.7109375" style="30" customWidth="1"/>
    <col min="5" max="5" width="4.28515625" style="382" customWidth="1"/>
    <col min="6" max="6" width="26.7109375" style="382" customWidth="1"/>
    <col min="7" max="7" width="19" style="382" customWidth="1"/>
    <col min="8" max="8" width="22" style="382" customWidth="1"/>
    <col min="9" max="9" width="20.42578125" style="382" customWidth="1"/>
    <col min="10" max="10" width="26.28515625" style="382" customWidth="1"/>
    <col min="11" max="11" width="21.85546875" style="382" bestFit="1" customWidth="1"/>
    <col min="12" max="12" width="23.85546875" style="382" customWidth="1"/>
    <col min="13" max="13" width="20.85546875" style="382" bestFit="1" customWidth="1"/>
    <col min="14" max="14" width="16" style="382"/>
    <col min="15" max="16" width="16.28515625" style="382" bestFit="1" customWidth="1"/>
    <col min="17" max="16384" width="16" style="382"/>
  </cols>
  <sheetData>
    <row r="1" spans="1:13" ht="16.5" thickBot="1">
      <c r="A1" s="145" t="s">
        <v>64</v>
      </c>
      <c r="B1" s="29"/>
      <c r="C1" s="527">
        <f>Jan!C1+1</f>
        <v>201802</v>
      </c>
      <c r="F1" s="527">
        <f>C1</f>
        <v>201802</v>
      </c>
      <c r="G1" s="383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3"/>
    </row>
    <row r="2" spans="1:13" ht="15.75">
      <c r="C2" s="31"/>
      <c r="F2" s="383"/>
      <c r="G2" s="383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3"/>
    </row>
    <row r="3" spans="1:13" ht="16.5" thickBot="1">
      <c r="A3" s="63" t="s">
        <v>110</v>
      </c>
      <c r="C3" s="32"/>
      <c r="D3" s="33"/>
      <c r="F3" s="50" t="s">
        <v>72</v>
      </c>
      <c r="G3" s="383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3"/>
    </row>
    <row r="4" spans="1:13" ht="15.75">
      <c r="A4" s="383" t="s">
        <v>88</v>
      </c>
      <c r="C4" s="557">
        <v>3302170.75</v>
      </c>
      <c r="D4" s="34"/>
      <c r="F4" s="383"/>
      <c r="G4" s="383"/>
      <c r="H4" s="11"/>
      <c r="I4" s="383"/>
      <c r="J4" s="383"/>
      <c r="L4" s="383"/>
      <c r="M4" s="383"/>
    </row>
    <row r="5" spans="1:13" ht="14.25" customHeight="1">
      <c r="A5" s="383" t="s">
        <v>31</v>
      </c>
      <c r="C5" s="557">
        <f>31936.15-1356.32</f>
        <v>30579.83</v>
      </c>
      <c r="D5" s="34"/>
      <c r="F5" s="383"/>
      <c r="G5" s="383"/>
      <c r="H5" s="11"/>
      <c r="I5" s="584">
        <v>0.69059999999999999</v>
      </c>
      <c r="J5" s="584">
        <v>0.30940000000000001</v>
      </c>
      <c r="K5" s="443">
        <f>ROUND(G45/(G45+K43),4)</f>
        <v>0.67810000000000004</v>
      </c>
      <c r="L5" s="443">
        <f>1-K5</f>
        <v>0.32189999999999996</v>
      </c>
      <c r="M5" s="383"/>
    </row>
    <row r="6" spans="1:13" ht="16.5" thickBot="1">
      <c r="A6" s="49" t="s">
        <v>30</v>
      </c>
      <c r="C6" s="558">
        <f>-1350094.69-385081.19-110023.2-123776.1-70964.96-88634.69</f>
        <v>-2128574.83</v>
      </c>
      <c r="D6" s="34"/>
      <c r="F6" s="383"/>
      <c r="G6" s="383"/>
      <c r="H6" s="383"/>
      <c r="I6" s="383"/>
      <c r="J6" s="383"/>
      <c r="K6" s="383"/>
      <c r="L6" s="383"/>
      <c r="M6" s="383"/>
    </row>
    <row r="7" spans="1:13" ht="16.5" thickBot="1">
      <c r="A7" s="66" t="s">
        <v>140</v>
      </c>
      <c r="C7" s="100">
        <f>SUM(C4:C6)</f>
        <v>1204175.75</v>
      </c>
      <c r="D7" s="35"/>
      <c r="F7" s="166" t="s">
        <v>139</v>
      </c>
      <c r="G7" s="166"/>
      <c r="H7" s="125">
        <f>C34</f>
        <v>2050580.85</v>
      </c>
      <c r="I7" s="167">
        <f>H7*I5</f>
        <v>1416131.1350100001</v>
      </c>
      <c r="J7" s="167">
        <f>H7*J5</f>
        <v>634449.71499000001</v>
      </c>
      <c r="K7" s="167"/>
      <c r="L7" s="167"/>
      <c r="M7" s="383"/>
    </row>
    <row r="8" spans="1:13" ht="15.75">
      <c r="A8" s="382" t="s">
        <v>89</v>
      </c>
      <c r="C8" s="557">
        <v>228271.63</v>
      </c>
      <c r="D8" s="35"/>
      <c r="F8" s="383"/>
      <c r="G8" s="383"/>
      <c r="H8" s="168"/>
      <c r="I8" s="168"/>
      <c r="J8" s="168"/>
      <c r="K8" s="168"/>
      <c r="L8" s="168"/>
      <c r="M8" s="383"/>
    </row>
    <row r="9" spans="1:13" ht="15.75">
      <c r="A9" s="383" t="s">
        <v>90</v>
      </c>
      <c r="C9" s="557">
        <f>8020.76+20438.86+25218.45</f>
        <v>53678.070000000007</v>
      </c>
      <c r="D9" s="36"/>
      <c r="F9" s="166" t="s">
        <v>119</v>
      </c>
      <c r="G9" s="383"/>
      <c r="H9" s="167">
        <f>C56</f>
        <v>7856148.2400000002</v>
      </c>
      <c r="I9" s="167"/>
      <c r="J9" s="167"/>
      <c r="K9" s="167">
        <f>H9*K5</f>
        <v>5327254.1215440007</v>
      </c>
      <c r="L9" s="167">
        <f>H9*L5</f>
        <v>2528894.118456</v>
      </c>
      <c r="M9" s="383"/>
    </row>
    <row r="10" spans="1:13" ht="15.75">
      <c r="A10" s="49" t="s">
        <v>91</v>
      </c>
      <c r="C10" s="558">
        <f>-3087.64</f>
        <v>-3087.64</v>
      </c>
      <c r="D10" s="36"/>
      <c r="F10" s="169" t="s">
        <v>44</v>
      </c>
      <c r="G10" s="383"/>
      <c r="H10" s="167">
        <f>C57</f>
        <v>39031.120000000003</v>
      </c>
      <c r="I10" s="167"/>
      <c r="J10" s="167"/>
      <c r="K10" s="167">
        <f>H10</f>
        <v>39031.120000000003</v>
      </c>
      <c r="L10" s="167"/>
      <c r="M10" s="383"/>
    </row>
    <row r="11" spans="1:13">
      <c r="A11" s="66" t="s">
        <v>145</v>
      </c>
      <c r="C11" s="100">
        <f>SUM(C8:C10)</f>
        <v>278862.06</v>
      </c>
      <c r="D11" s="36"/>
      <c r="F11" s="169" t="s">
        <v>45</v>
      </c>
      <c r="G11" s="383"/>
      <c r="H11" s="170">
        <f>C58</f>
        <v>16847.12</v>
      </c>
      <c r="I11" s="167"/>
      <c r="J11" s="167"/>
      <c r="K11" s="170"/>
      <c r="L11" s="170">
        <f>H11</f>
        <v>16847.12</v>
      </c>
      <c r="M11" s="383"/>
    </row>
    <row r="12" spans="1:13" ht="15.75">
      <c r="A12" s="382" t="s">
        <v>165</v>
      </c>
      <c r="C12" s="557">
        <f>192542.32-5898</f>
        <v>186644.32</v>
      </c>
      <c r="D12" s="36"/>
      <c r="F12" s="169" t="s">
        <v>138</v>
      </c>
      <c r="G12" s="383"/>
      <c r="H12" s="167">
        <f>H9+H10+H11</f>
        <v>7912026.4800000004</v>
      </c>
      <c r="I12" s="167"/>
      <c r="J12" s="167"/>
      <c r="K12" s="167">
        <f>SUM(K9:K11)</f>
        <v>5366285.2415440008</v>
      </c>
      <c r="L12" s="167">
        <f>SUM(L9:L11)</f>
        <v>2545741.2384560001</v>
      </c>
      <c r="M12" s="383"/>
    </row>
    <row r="13" spans="1:13" ht="16.5" thickBot="1">
      <c r="A13" s="49" t="s">
        <v>166</v>
      </c>
      <c r="C13" s="553">
        <v>0</v>
      </c>
      <c r="D13" s="36"/>
      <c r="F13" s="171"/>
      <c r="G13" s="172"/>
      <c r="H13" s="173"/>
      <c r="I13" s="174"/>
      <c r="J13" s="173"/>
      <c r="K13" s="168"/>
      <c r="L13" s="173"/>
      <c r="M13" s="383"/>
    </row>
    <row r="14" spans="1:13" ht="16.5" thickBot="1">
      <c r="A14" s="66" t="s">
        <v>92</v>
      </c>
      <c r="C14" s="100">
        <f>SUM(C12:C13)</f>
        <v>186644.32</v>
      </c>
      <c r="D14" s="37"/>
      <c r="F14" s="50" t="s">
        <v>69</v>
      </c>
      <c r="G14" s="175"/>
      <c r="H14" s="125">
        <f>H12+H7</f>
        <v>9962607.3300000001</v>
      </c>
      <c r="I14" s="176">
        <f>SUM(I7:I13)</f>
        <v>1416131.1350100001</v>
      </c>
      <c r="J14" s="176">
        <f>SUM(J7:J13)</f>
        <v>634449.71499000001</v>
      </c>
      <c r="K14" s="176">
        <f>K12</f>
        <v>5366285.2415440008</v>
      </c>
      <c r="L14" s="176">
        <f>L12</f>
        <v>2545741.2384560001</v>
      </c>
      <c r="M14" s="383"/>
    </row>
    <row r="15" spans="1:13" ht="15.75">
      <c r="A15" s="382" t="s">
        <v>183</v>
      </c>
      <c r="C15" s="557">
        <f>394860.7-12095.45</f>
        <v>382765.25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3"/>
      <c r="L15" s="173">
        <f>H12-K14-L14</f>
        <v>0</v>
      </c>
      <c r="M15" s="383"/>
    </row>
    <row r="16" spans="1:13" ht="15.75">
      <c r="A16" s="49" t="s">
        <v>184</v>
      </c>
      <c r="C16" s="553">
        <v>0</v>
      </c>
      <c r="D16" s="36"/>
      <c r="F16" s="178"/>
      <c r="G16" s="172"/>
      <c r="H16" s="179"/>
      <c r="I16" s="180"/>
      <c r="J16" s="179"/>
      <c r="K16" s="383"/>
      <c r="L16" s="179"/>
      <c r="M16" s="383"/>
    </row>
    <row r="17" spans="1:13" ht="15.75" thickBot="1">
      <c r="A17" s="66" t="s">
        <v>185</v>
      </c>
      <c r="C17" s="100">
        <f>SUM(C15:C16)</f>
        <v>382765.25</v>
      </c>
      <c r="D17" s="37"/>
      <c r="F17" s="171"/>
      <c r="G17" s="172"/>
      <c r="H17" s="179"/>
      <c r="I17" s="180"/>
      <c r="J17" s="183"/>
      <c r="K17" s="383"/>
      <c r="L17" s="179"/>
      <c r="M17" s="383"/>
    </row>
    <row r="18" spans="1:13" ht="16.5" thickBot="1">
      <c r="A18" s="382" t="s">
        <v>163</v>
      </c>
      <c r="C18" s="557">
        <f>79829.44+10137.4-2766.73</f>
        <v>87200.11</v>
      </c>
      <c r="D18" s="36"/>
      <c r="F18" s="674" t="s">
        <v>134</v>
      </c>
      <c r="G18" s="675"/>
      <c r="H18" s="675"/>
      <c r="I18" s="676"/>
      <c r="J18" s="674" t="s">
        <v>135</v>
      </c>
      <c r="K18" s="675"/>
      <c r="L18" s="675"/>
      <c r="M18" s="676"/>
    </row>
    <row r="19" spans="1:13" ht="15.75">
      <c r="A19" s="46" t="s">
        <v>164</v>
      </c>
      <c r="C19" s="558">
        <f>2240.22</f>
        <v>2240.2199999999998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89440.33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58">
        <f>1884.24+1850</f>
        <v>3734.24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3734.24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59">
        <v>18179866</v>
      </c>
      <c r="H23" s="387" t="s">
        <v>306</v>
      </c>
      <c r="I23" s="575">
        <v>2081351</v>
      </c>
      <c r="J23" s="200" t="s">
        <v>37</v>
      </c>
      <c r="K23" s="559">
        <v>9222783</v>
      </c>
      <c r="L23" s="387" t="s">
        <v>306</v>
      </c>
      <c r="M23" s="575">
        <v>1027603</v>
      </c>
    </row>
    <row r="24" spans="1:13" ht="15.75">
      <c r="A24" s="208" t="s">
        <v>186</v>
      </c>
      <c r="C24" s="311">
        <v>0</v>
      </c>
      <c r="D24" s="36"/>
      <c r="F24" s="200" t="s">
        <v>305</v>
      </c>
      <c r="G24" s="559">
        <v>21014</v>
      </c>
      <c r="H24" s="387" t="s">
        <v>306</v>
      </c>
      <c r="I24" s="575">
        <v>2402</v>
      </c>
      <c r="J24" s="200" t="s">
        <v>38</v>
      </c>
      <c r="K24" s="559">
        <v>3135975</v>
      </c>
      <c r="L24" s="387" t="s">
        <v>306</v>
      </c>
      <c r="M24" s="575">
        <v>351342</v>
      </c>
    </row>
    <row r="25" spans="1:13" ht="15.75">
      <c r="A25" s="208" t="s">
        <v>189</v>
      </c>
      <c r="C25" s="312">
        <v>0</v>
      </c>
      <c r="D25" s="36"/>
      <c r="F25" s="200" t="s">
        <v>38</v>
      </c>
      <c r="G25" s="559">
        <v>7202971</v>
      </c>
      <c r="H25" s="387" t="s">
        <v>306</v>
      </c>
      <c r="I25" s="575">
        <v>759003</v>
      </c>
      <c r="J25" s="200" t="s">
        <v>39</v>
      </c>
      <c r="K25" s="559">
        <v>3435</v>
      </c>
      <c r="L25" s="387" t="s">
        <v>306</v>
      </c>
      <c r="M25" s="575">
        <v>384</v>
      </c>
    </row>
    <row r="26" spans="1:13" ht="15.75">
      <c r="A26" s="209" t="s">
        <v>188</v>
      </c>
      <c r="C26" s="313">
        <v>0</v>
      </c>
      <c r="D26" s="36"/>
      <c r="F26" s="200" t="s">
        <v>39</v>
      </c>
      <c r="G26" s="559">
        <v>21563</v>
      </c>
      <c r="H26" s="387" t="s">
        <v>306</v>
      </c>
      <c r="I26" s="575">
        <v>2123</v>
      </c>
      <c r="J26" s="200" t="s">
        <v>40</v>
      </c>
      <c r="K26" s="559">
        <v>0</v>
      </c>
      <c r="L26" s="387" t="s">
        <v>306</v>
      </c>
      <c r="M26" s="575">
        <f t="shared" ref="M26:M27" si="0">K26*L26</f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59">
        <v>448875</v>
      </c>
      <c r="H27" s="387" t="s">
        <v>306</v>
      </c>
      <c r="I27" s="575">
        <v>48583</v>
      </c>
      <c r="J27" s="200" t="s">
        <v>41</v>
      </c>
      <c r="K27" s="559">
        <v>0</v>
      </c>
      <c r="L27" s="387" t="s">
        <v>306</v>
      </c>
      <c r="M27" s="575">
        <f t="shared" si="0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59">
        <v>48826</v>
      </c>
      <c r="H28" s="387" t="s">
        <v>306</v>
      </c>
      <c r="I28" s="575">
        <v>5622</v>
      </c>
      <c r="J28" s="199" t="s">
        <v>127</v>
      </c>
      <c r="K28" s="181">
        <f>SUM(K23:K27)</f>
        <v>12362193</v>
      </c>
      <c r="L28" s="182"/>
      <c r="M28" s="197">
        <f>SUM(M23:M27)</f>
        <v>1379329</v>
      </c>
    </row>
    <row r="29" spans="1:13" ht="17.25" thickTop="1" thickBot="1">
      <c r="A29" s="210" t="s">
        <v>167</v>
      </c>
      <c r="B29" s="383"/>
      <c r="C29" s="311">
        <v>0</v>
      </c>
      <c r="D29" s="36"/>
      <c r="F29" s="200" t="s">
        <v>42</v>
      </c>
      <c r="G29" s="559">
        <v>0</v>
      </c>
      <c r="H29" s="387" t="s">
        <v>306</v>
      </c>
      <c r="I29" s="575">
        <v>0</v>
      </c>
      <c r="J29" s="199"/>
      <c r="K29" s="231">
        <v>12362193</v>
      </c>
      <c r="L29" s="187" t="s">
        <v>102</v>
      </c>
      <c r="M29" s="463">
        <f>M28/K28</f>
        <v>0.11157640072436986</v>
      </c>
    </row>
    <row r="30" spans="1:13" ht="16.5" thickBot="1">
      <c r="A30" s="2" t="s">
        <v>111</v>
      </c>
      <c r="C30" s="125">
        <f>C7+C11+C14+C17+C20+C22+C27+C28+C29</f>
        <v>2145621.9500000002</v>
      </c>
      <c r="D30" s="37"/>
      <c r="F30" s="200" t="s">
        <v>43</v>
      </c>
      <c r="G30" s="559">
        <v>117328</v>
      </c>
      <c r="H30" s="387" t="s">
        <v>306</v>
      </c>
      <c r="I30" s="575">
        <v>7875</v>
      </c>
      <c r="J30" s="200"/>
      <c r="K30" s="230">
        <f>K28-K29</f>
        <v>0</v>
      </c>
      <c r="L30" s="182"/>
      <c r="M30" s="198"/>
    </row>
    <row r="31" spans="1:13" ht="15.75">
      <c r="A31" s="382" t="s">
        <v>112</v>
      </c>
      <c r="C31" s="557">
        <v>-8542.98</v>
      </c>
      <c r="D31" s="39"/>
      <c r="F31" s="200" t="s">
        <v>74</v>
      </c>
      <c r="G31" s="559">
        <v>3567188</v>
      </c>
      <c r="H31" s="387" t="s">
        <v>306</v>
      </c>
      <c r="I31" s="575">
        <v>1901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3">
        <f>C30+C31</f>
        <v>2137078.9700000002</v>
      </c>
      <c r="D32" s="40"/>
      <c r="F32" s="199" t="s">
        <v>127</v>
      </c>
      <c r="G32" s="181">
        <f>SUM(G23:G31)</f>
        <v>29607631</v>
      </c>
      <c r="H32" s="7"/>
      <c r="I32" s="197">
        <f>SUM(I23:I31)</f>
        <v>2908860</v>
      </c>
      <c r="J32" s="192"/>
      <c r="K32" s="193"/>
      <c r="L32" s="7"/>
      <c r="M32" s="190"/>
    </row>
    <row r="33" spans="1:17" ht="17.25" thickTop="1" thickBot="1">
      <c r="A33" s="382" t="s">
        <v>113</v>
      </c>
      <c r="C33" s="310">
        <f>-C5-C9-C13-C16-C19</f>
        <v>-86498.12000000001</v>
      </c>
      <c r="D33" s="36"/>
      <c r="F33" s="186"/>
      <c r="G33" s="231">
        <v>29607631</v>
      </c>
      <c r="H33" s="187" t="s">
        <v>102</v>
      </c>
      <c r="I33" s="216">
        <f>I32/G32</f>
        <v>9.8246968830434295E-2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2050580.85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72"/>
      <c r="L35" s="672"/>
      <c r="M35" s="673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73">
        <f>K23</f>
        <v>9222783</v>
      </c>
      <c r="L36" s="387" t="s">
        <v>306</v>
      </c>
      <c r="M36" s="575">
        <v>1347216</v>
      </c>
      <c r="P36" s="272"/>
      <c r="Q36" s="272"/>
    </row>
    <row r="37" spans="1:17" ht="15.75">
      <c r="A37" s="7" t="s">
        <v>129</v>
      </c>
      <c r="B37" s="530" t="s">
        <v>115</v>
      </c>
      <c r="C37" s="557">
        <v>9543034.9000000004</v>
      </c>
      <c r="D37" s="36"/>
      <c r="F37" s="200" t="s">
        <v>37</v>
      </c>
      <c r="G37" s="573">
        <v>18179866</v>
      </c>
      <c r="H37" s="387" t="s">
        <v>306</v>
      </c>
      <c r="I37" s="575">
        <v>2666323</v>
      </c>
      <c r="J37" s="200" t="s">
        <v>38</v>
      </c>
      <c r="K37" s="573">
        <f>K24</f>
        <v>3135975</v>
      </c>
      <c r="L37" s="387" t="s">
        <v>306</v>
      </c>
      <c r="M37" s="575">
        <v>472170</v>
      </c>
      <c r="P37" s="272"/>
      <c r="Q37" s="272"/>
    </row>
    <row r="38" spans="1:17" ht="15.75">
      <c r="A38" s="144" t="s">
        <v>14</v>
      </c>
      <c r="B38" s="530" t="s">
        <v>115</v>
      </c>
      <c r="C38" s="557">
        <v>0</v>
      </c>
      <c r="D38" s="36"/>
      <c r="F38" s="200" t="s">
        <v>305</v>
      </c>
      <c r="G38" s="573">
        <v>21014</v>
      </c>
      <c r="H38" s="387" t="s">
        <v>306</v>
      </c>
      <c r="I38" s="575">
        <v>3079</v>
      </c>
      <c r="J38" s="200" t="s">
        <v>39</v>
      </c>
      <c r="K38" s="573">
        <f>K25</f>
        <v>3435</v>
      </c>
      <c r="L38" s="387" t="s">
        <v>306</v>
      </c>
      <c r="M38" s="575">
        <v>594</v>
      </c>
      <c r="P38" s="272"/>
      <c r="Q38" s="272"/>
    </row>
    <row r="39" spans="1:17" ht="15.75">
      <c r="A39" s="7" t="s">
        <v>146</v>
      </c>
      <c r="B39" s="530" t="s">
        <v>147</v>
      </c>
      <c r="C39" s="557">
        <v>-78881.08</v>
      </c>
      <c r="D39" s="36"/>
      <c r="F39" s="200" t="s">
        <v>38</v>
      </c>
      <c r="G39" s="573">
        <v>7202971</v>
      </c>
      <c r="H39" s="387" t="s">
        <v>306</v>
      </c>
      <c r="I39" s="575">
        <v>1097244</v>
      </c>
      <c r="J39" s="200" t="s">
        <v>40</v>
      </c>
      <c r="K39" s="573">
        <f>K26</f>
        <v>0</v>
      </c>
      <c r="L39" s="387" t="s">
        <v>306</v>
      </c>
      <c r="M39" s="575">
        <f t="shared" ref="M39:M42" si="1">K39*L39</f>
        <v>0</v>
      </c>
      <c r="P39" s="272"/>
      <c r="Q39" s="272"/>
    </row>
    <row r="40" spans="1:17" ht="15.75">
      <c r="A40" s="7" t="s">
        <v>131</v>
      </c>
      <c r="B40" s="530" t="s">
        <v>132</v>
      </c>
      <c r="C40" s="557">
        <v>1620475.5</v>
      </c>
      <c r="D40" s="36"/>
      <c r="F40" s="200" t="s">
        <v>39</v>
      </c>
      <c r="G40" s="573">
        <v>21563</v>
      </c>
      <c r="H40" s="387" t="s">
        <v>306</v>
      </c>
      <c r="I40" s="575">
        <v>3152</v>
      </c>
      <c r="J40" s="200" t="s">
        <v>41</v>
      </c>
      <c r="K40" s="573">
        <f>K27</f>
        <v>0</v>
      </c>
      <c r="L40" s="387" t="s">
        <v>306</v>
      </c>
      <c r="M40" s="575">
        <f t="shared" si="1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7">
        <v>87624.95</v>
      </c>
      <c r="D41" s="36"/>
      <c r="F41" s="200" t="s">
        <v>40</v>
      </c>
      <c r="G41" s="573">
        <v>448875</v>
      </c>
      <c r="H41" s="387" t="s">
        <v>306</v>
      </c>
      <c r="I41" s="575">
        <v>65803</v>
      </c>
      <c r="J41" s="200" t="s">
        <v>42</v>
      </c>
      <c r="K41" s="573">
        <v>0</v>
      </c>
      <c r="L41" s="387" t="s">
        <v>306</v>
      </c>
      <c r="M41" s="575">
        <f t="shared" si="1"/>
        <v>0</v>
      </c>
      <c r="P41" s="272"/>
      <c r="Q41" s="272"/>
    </row>
    <row r="42" spans="1:17" ht="16.5" thickBot="1">
      <c r="A42" s="7" t="s">
        <v>178</v>
      </c>
      <c r="B42" s="530" t="s">
        <v>179</v>
      </c>
      <c r="C42" s="557">
        <v>827715.23</v>
      </c>
      <c r="D42" s="37"/>
      <c r="F42" s="200" t="s">
        <v>41</v>
      </c>
      <c r="G42" s="573">
        <v>48826</v>
      </c>
      <c r="H42" s="387" t="s">
        <v>306</v>
      </c>
      <c r="I42" s="575">
        <v>9365</v>
      </c>
      <c r="J42" s="200" t="s">
        <v>43</v>
      </c>
      <c r="K42" s="573">
        <v>0</v>
      </c>
      <c r="L42" s="387" t="s">
        <v>306</v>
      </c>
      <c r="M42" s="575">
        <f t="shared" si="1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11999969.5</v>
      </c>
      <c r="D43" s="36"/>
      <c r="F43" s="200" t="s">
        <v>42</v>
      </c>
      <c r="G43" s="573">
        <v>0</v>
      </c>
      <c r="H43" s="387" t="s">
        <v>306</v>
      </c>
      <c r="I43" s="575">
        <v>0</v>
      </c>
      <c r="J43" s="199" t="s">
        <v>133</v>
      </c>
      <c r="K43" s="181">
        <f>SUM(K36:K42)</f>
        <v>12362193</v>
      </c>
      <c r="L43" s="182"/>
      <c r="M43" s="197">
        <f>SUM(M36:M42)</f>
        <v>1819980</v>
      </c>
    </row>
    <row r="44" spans="1:17" ht="16.5" thickBot="1">
      <c r="A44" s="83" t="s">
        <v>177</v>
      </c>
      <c r="B44" s="84" t="s">
        <v>120</v>
      </c>
      <c r="C44" s="557">
        <f>-466167.08+4763434.38-34955.1+6300.92</f>
        <v>4268613.12</v>
      </c>
      <c r="D44" s="37"/>
      <c r="F44" s="200" t="s">
        <v>43</v>
      </c>
      <c r="G44" s="573">
        <v>117328</v>
      </c>
      <c r="H44" s="387" t="s">
        <v>306</v>
      </c>
      <c r="I44" s="575">
        <v>20720</v>
      </c>
      <c r="J44" s="194"/>
      <c r="K44" s="232">
        <v>12362193</v>
      </c>
      <c r="L44" s="189" t="s">
        <v>102</v>
      </c>
      <c r="M44" s="217">
        <f>M43/K43</f>
        <v>0.14722145172786091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26040443</v>
      </c>
      <c r="H45" s="182"/>
      <c r="I45" s="197">
        <f>SUM(I37:I44)</f>
        <v>3865686</v>
      </c>
      <c r="J45" s="85"/>
      <c r="K45" s="230">
        <f>K43-K44</f>
        <v>0</v>
      </c>
      <c r="L45" s="187"/>
      <c r="M45" s="55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26040443</v>
      </c>
      <c r="H46" s="189" t="s">
        <v>102</v>
      </c>
      <c r="I46" s="215">
        <f>I45/G45</f>
        <v>0.14844931785530685</v>
      </c>
      <c r="J46" s="85"/>
      <c r="K46" s="231"/>
      <c r="L46" s="187"/>
      <c r="M46" s="554"/>
    </row>
    <row r="47" spans="1:17" ht="15.75">
      <c r="A47" s="382" t="s">
        <v>137</v>
      </c>
      <c r="B47" s="6" t="s">
        <v>115</v>
      </c>
      <c r="C47" s="122">
        <v>0</v>
      </c>
      <c r="D47" s="36"/>
      <c r="F47" s="383"/>
      <c r="G47" s="230">
        <f>G45-G46</f>
        <v>0</v>
      </c>
      <c r="H47" s="383"/>
      <c r="I47" s="383"/>
      <c r="J47" s="124"/>
      <c r="K47" s="230"/>
      <c r="L47" s="383"/>
      <c r="M47" s="124"/>
    </row>
    <row r="48" spans="1:17" ht="16.5" thickBot="1">
      <c r="A48" s="144" t="s">
        <v>304</v>
      </c>
      <c r="B48" s="6" t="s">
        <v>115</v>
      </c>
      <c r="C48" s="557">
        <v>7000</v>
      </c>
      <c r="D48" s="36"/>
      <c r="F48" s="383"/>
      <c r="G48" s="383"/>
      <c r="H48" s="383"/>
      <c r="I48" s="383"/>
      <c r="J48" s="124"/>
      <c r="K48" s="114"/>
      <c r="L48" s="383"/>
      <c r="M48" s="68"/>
    </row>
    <row r="49" spans="1:21" ht="15.75">
      <c r="A49" s="7" t="s">
        <v>130</v>
      </c>
      <c r="B49" s="530" t="s">
        <v>152</v>
      </c>
      <c r="C49" s="557">
        <v>15979.98</v>
      </c>
      <c r="D49" s="36"/>
      <c r="F49" s="383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3"/>
    </row>
    <row r="50" spans="1:21" ht="16.5" thickBot="1">
      <c r="A50" s="7" t="s">
        <v>222</v>
      </c>
      <c r="B50" s="530" t="s">
        <v>152</v>
      </c>
      <c r="C50" s="557">
        <v>2533.2199999999998</v>
      </c>
      <c r="D50" s="37"/>
      <c r="F50" s="50" t="s">
        <v>73</v>
      </c>
      <c r="G50" s="383"/>
      <c r="H50" s="130" t="s">
        <v>2</v>
      </c>
      <c r="I50" s="131" t="s">
        <v>3</v>
      </c>
      <c r="J50" s="131" t="s">
        <v>2</v>
      </c>
      <c r="K50" s="128" t="s">
        <v>3</v>
      </c>
      <c r="L50" s="383"/>
      <c r="M50" s="383"/>
    </row>
    <row r="51" spans="1:21" ht="15.75">
      <c r="A51" s="7" t="s">
        <v>308</v>
      </c>
      <c r="B51" s="530" t="s">
        <v>152</v>
      </c>
      <c r="C51" s="557">
        <v>2513.29</v>
      </c>
      <c r="D51" s="36"/>
      <c r="F51" s="383"/>
      <c r="G51" s="383"/>
      <c r="H51" s="151"/>
      <c r="I51" s="152"/>
      <c r="J51" s="152"/>
      <c r="K51" s="152"/>
      <c r="L51" s="126" t="s">
        <v>103</v>
      </c>
      <c r="M51" s="383"/>
    </row>
    <row r="52" spans="1:21" ht="15.75">
      <c r="A52" s="22" t="s">
        <v>118</v>
      </c>
      <c r="B52" s="6"/>
      <c r="C52" s="100">
        <f>-C33</f>
        <v>86498.12000000001</v>
      </c>
      <c r="D52" s="33"/>
      <c r="F52" s="383" t="s">
        <v>136</v>
      </c>
      <c r="G52" s="383"/>
      <c r="H52" s="212">
        <f>K12</f>
        <v>5366285.2415440008</v>
      </c>
      <c r="I52" s="115">
        <f>I14</f>
        <v>1416131.1350100001</v>
      </c>
      <c r="J52" s="115">
        <f>L12</f>
        <v>2545741.2384560001</v>
      </c>
      <c r="K52" s="115">
        <f>J14</f>
        <v>634449.71499000001</v>
      </c>
      <c r="L52" s="132">
        <f>SUM(H52:K52)</f>
        <v>9962607.3300000001</v>
      </c>
      <c r="M52" s="383"/>
    </row>
    <row r="53" spans="1:21" ht="16.5" thickBot="1">
      <c r="A53" s="383" t="s">
        <v>315</v>
      </c>
      <c r="B53" s="615" t="s">
        <v>316</v>
      </c>
      <c r="C53" s="557">
        <v>6015.52</v>
      </c>
      <c r="D53" s="36"/>
      <c r="F53" s="382" t="s">
        <v>109</v>
      </c>
      <c r="H53" s="212">
        <f>-I45</f>
        <v>-3865686</v>
      </c>
      <c r="I53" s="115">
        <f>-I32</f>
        <v>-2908860</v>
      </c>
      <c r="J53" s="115">
        <f>-M43</f>
        <v>-1819980</v>
      </c>
      <c r="K53" s="115">
        <f>-M28</f>
        <v>-1379329</v>
      </c>
      <c r="L53" s="260">
        <f>SUM(H53:K53)</f>
        <v>-9973855</v>
      </c>
    </row>
    <row r="54" spans="1:21" ht="16.5" thickBot="1">
      <c r="A54" s="380" t="s">
        <v>124</v>
      </c>
      <c r="B54" s="471" t="s">
        <v>296</v>
      </c>
      <c r="C54" s="557">
        <f>-565084.1-5558647.79-2034242.62</f>
        <v>-8157974.5099999998</v>
      </c>
      <c r="D54" s="36"/>
      <c r="F54" s="382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-11247.669999999925</v>
      </c>
    </row>
    <row r="55" spans="1:21" ht="16.5" thickBot="1">
      <c r="A55" s="382" t="s">
        <v>312</v>
      </c>
      <c r="B55" s="6" t="s">
        <v>190</v>
      </c>
      <c r="C55" s="557">
        <v>-375000</v>
      </c>
      <c r="D55" s="36"/>
      <c r="F55" s="382" t="s">
        <v>71</v>
      </c>
      <c r="H55" s="125">
        <f>IFERROR(H52+H53+H54,0)</f>
        <v>1500599.2415440008</v>
      </c>
      <c r="I55" s="125">
        <f>I52+I53+I54</f>
        <v>-1492728.8649899999</v>
      </c>
      <c r="J55" s="125">
        <f>IFERROR(J52+J53+J54,0)</f>
        <v>725761.23845600011</v>
      </c>
      <c r="K55" s="125">
        <f>K52+K53+K54</f>
        <v>-744879.28500999999</v>
      </c>
      <c r="L55" s="47">
        <f>SUM(H55:K55)</f>
        <v>-11247.669999998994</v>
      </c>
    </row>
    <row r="56" spans="1:21" ht="16.5" thickBot="1">
      <c r="A56" s="82" t="s">
        <v>119</v>
      </c>
      <c r="B56" s="84"/>
      <c r="C56" s="160">
        <f>SUM(C43:C55)</f>
        <v>7856148.2400000002</v>
      </c>
      <c r="D56" s="36"/>
      <c r="F56" s="239" t="s">
        <v>181</v>
      </c>
      <c r="H56" s="382" t="s">
        <v>173</v>
      </c>
      <c r="I56" s="5">
        <f>SUM(H55:I55)</f>
        <v>7870.3765540008899</v>
      </c>
      <c r="J56" s="15" t="s">
        <v>174</v>
      </c>
      <c r="K56" s="382">
        <f>SUM(J55:K55)</f>
        <v>-19118.046553999884</v>
      </c>
      <c r="L56" s="213">
        <f>ROUND(L54-L55,3)</f>
        <v>0</v>
      </c>
      <c r="T56" s="42"/>
    </row>
    <row r="57" spans="1:21" ht="16.5" thickTop="1">
      <c r="A57" s="382" t="s">
        <v>121</v>
      </c>
      <c r="B57" s="6" t="s">
        <v>115</v>
      </c>
      <c r="C57" s="557">
        <v>39031.120000000003</v>
      </c>
      <c r="D57" s="36"/>
      <c r="F57" s="395" t="s">
        <v>181</v>
      </c>
      <c r="H57" s="96"/>
    </row>
    <row r="58" spans="1:21" ht="16.5" thickBot="1">
      <c r="A58" s="382" t="s">
        <v>122</v>
      </c>
      <c r="B58" s="6" t="s">
        <v>115</v>
      </c>
      <c r="C58" s="557">
        <v>16847.12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7912026.4800000004</v>
      </c>
      <c r="D59" s="36"/>
      <c r="F59" s="541" t="s">
        <v>303</v>
      </c>
      <c r="G59" s="542" t="str">
        <f>IF(OR(AND(I56&gt;0,K56&gt;0),AND(I56&lt;0,K56&lt;0)),"OK","ERROR")</f>
        <v>ERROR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9962607.3300000001</v>
      </c>
      <c r="D61" s="37"/>
      <c r="H61" s="347" t="e">
        <f>SUM('WA - Def-Amtz (current)'!AL5:AL10,'WA - Def-Amtz (current)'!AL35:AL40,'WA - Def-Amtz (current)'!AL70:AL73,#REF!,#REF!,#REF!)+'WA - Def-Amtz (current)'!AL43+#REF!</f>
        <v>#REF!</v>
      </c>
      <c r="I61" s="447" t="e">
        <f>SUM('WA - Def-Amtz (current)'!AM5:AM10,'WA - Def-Amtz (current)'!AM35:AM40,'WA - Def-Amtz (current)'!AM70:AM73,#REF!,#REF!,#REF!)+'WA - Def-Amtz (current)'!AM44+#REF!</f>
        <v>#REF!</v>
      </c>
      <c r="J61" s="382">
        <f>H53+I53+J53+K53</f>
        <v>-9973855</v>
      </c>
    </row>
    <row r="62" spans="1:21" ht="15.75">
      <c r="A62" s="2"/>
      <c r="B62" s="9" t="s">
        <v>160</v>
      </c>
      <c r="C62" s="592">
        <v>9962607.3300000001</v>
      </c>
      <c r="G62" s="5"/>
      <c r="I62" s="336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49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2">
        <v>-2130</v>
      </c>
    </row>
    <row r="1485" spans="3:3">
      <c r="C1485" s="382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24" priority="9" stopIfTrue="1" operator="equal">
      <formula>0</formula>
    </cfRule>
    <cfRule type="cellIs" dxfId="223" priority="10" stopIfTrue="1" operator="notEqual">
      <formula>0</formula>
    </cfRule>
  </conditionalFormatting>
  <conditionalFormatting sqref="G34 G47 K30 K47">
    <cfRule type="cellIs" dxfId="222" priority="8" operator="notEqual">
      <formula>0</formula>
    </cfRule>
  </conditionalFormatting>
  <conditionalFormatting sqref="C63">
    <cfRule type="cellIs" dxfId="221" priority="6" stopIfTrue="1" operator="equal">
      <formula>0</formula>
    </cfRule>
    <cfRule type="cellIs" dxfId="220" priority="7" stopIfTrue="1" operator="notEqual">
      <formula>0</formula>
    </cfRule>
  </conditionalFormatting>
  <conditionalFormatting sqref="K30">
    <cfRule type="cellIs" dxfId="219" priority="5" operator="notEqual">
      <formula>0</formula>
    </cfRule>
  </conditionalFormatting>
  <conditionalFormatting sqref="G59">
    <cfRule type="cellIs" dxfId="218" priority="4" operator="equal">
      <formula>"""ERROR"""</formula>
    </cfRule>
  </conditionalFormatting>
  <conditionalFormatting sqref="G59">
    <cfRule type="cellIs" dxfId="217" priority="3" operator="equal">
      <formula>"ERROR"</formula>
    </cfRule>
  </conditionalFormatting>
  <conditionalFormatting sqref="G59">
    <cfRule type="cellIs" dxfId="216" priority="2" operator="equal">
      <formula>"ERROR"</formula>
    </cfRule>
  </conditionalFormatting>
  <conditionalFormatting sqref="K45">
    <cfRule type="cellIs" dxfId="215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5"/>
  <sheetViews>
    <sheetView showGridLines="0" topLeftCell="A28" zoomScale="70" zoomScaleNormal="70" workbookViewId="0">
      <selection activeCell="C63" sqref="C63"/>
    </sheetView>
  </sheetViews>
  <sheetFormatPr defaultColWidth="16" defaultRowHeight="15"/>
  <cols>
    <col min="1" max="1" width="44.85546875" style="382" customWidth="1"/>
    <col min="2" max="2" width="25.5703125" style="382" customWidth="1"/>
    <col min="3" max="3" width="25.28515625" style="382" customWidth="1"/>
    <col min="4" max="4" width="2.7109375" style="30" customWidth="1"/>
    <col min="5" max="5" width="4.28515625" style="382" customWidth="1"/>
    <col min="6" max="6" width="26.7109375" style="382" customWidth="1"/>
    <col min="7" max="7" width="19" style="382" customWidth="1"/>
    <col min="8" max="8" width="22" style="382" customWidth="1"/>
    <col min="9" max="9" width="20.42578125" style="382" customWidth="1"/>
    <col min="10" max="10" width="26.28515625" style="382" customWidth="1"/>
    <col min="11" max="11" width="21.85546875" style="382" bestFit="1" customWidth="1"/>
    <col min="12" max="12" width="23.85546875" style="382" customWidth="1"/>
    <col min="13" max="13" width="20.85546875" style="382" bestFit="1" customWidth="1"/>
    <col min="14" max="15" width="16" style="382"/>
    <col min="16" max="16" width="16.28515625" style="382" bestFit="1" customWidth="1"/>
    <col min="17" max="16384" width="16" style="382"/>
  </cols>
  <sheetData>
    <row r="1" spans="1:13" ht="16.5" thickBot="1">
      <c r="A1" s="145" t="s">
        <v>64</v>
      </c>
      <c r="B1" s="29"/>
      <c r="C1" s="527">
        <f>Feb!C1+1</f>
        <v>201803</v>
      </c>
      <c r="F1" s="527">
        <f>C1</f>
        <v>201803</v>
      </c>
      <c r="G1" s="383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3"/>
    </row>
    <row r="2" spans="1:13" ht="15.75">
      <c r="C2" s="31"/>
      <c r="F2" s="383"/>
      <c r="G2" s="383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3"/>
    </row>
    <row r="3" spans="1:13" ht="16.5" thickBot="1">
      <c r="A3" s="63" t="s">
        <v>110</v>
      </c>
      <c r="C3" s="32"/>
      <c r="D3" s="33"/>
      <c r="F3" s="50" t="s">
        <v>72</v>
      </c>
      <c r="G3" s="383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3"/>
    </row>
    <row r="4" spans="1:13" ht="15.75">
      <c r="A4" s="383" t="s">
        <v>88</v>
      </c>
      <c r="C4" s="564">
        <f>3655974.78</f>
        <v>3655974.78</v>
      </c>
      <c r="D4" s="34"/>
      <c r="F4" s="383"/>
      <c r="G4" s="383"/>
      <c r="H4" s="11"/>
      <c r="I4" s="383"/>
      <c r="J4" s="383"/>
      <c r="L4" s="383"/>
      <c r="M4" s="383"/>
    </row>
    <row r="5" spans="1:13" ht="14.25" customHeight="1">
      <c r="A5" s="383" t="s">
        <v>31</v>
      </c>
      <c r="C5" s="564">
        <f>19618.65</f>
        <v>19618.650000000001</v>
      </c>
      <c r="D5" s="34"/>
      <c r="F5" s="383"/>
      <c r="G5" s="383"/>
      <c r="H5" s="11"/>
      <c r="I5" s="584">
        <v>0.69059999999999999</v>
      </c>
      <c r="J5" s="584">
        <v>0.30940000000000001</v>
      </c>
      <c r="K5" s="443">
        <f>ROUND(G45/(G45+K43),4)</f>
        <v>0.68479999999999996</v>
      </c>
      <c r="L5" s="443">
        <f>1-K5</f>
        <v>0.31520000000000004</v>
      </c>
      <c r="M5" s="383"/>
    </row>
    <row r="6" spans="1:13" ht="16.5" thickBot="1">
      <c r="A6" s="49" t="s">
        <v>30</v>
      </c>
      <c r="C6" s="565">
        <f>-78568.35-98131.26-1494747.7-426339.9-121811.4-137037.83</f>
        <v>-2356636.44</v>
      </c>
      <c r="D6" s="34"/>
      <c r="F6" s="383"/>
      <c r="G6" s="383"/>
      <c r="H6" s="383"/>
      <c r="I6" s="383"/>
      <c r="J6" s="383"/>
      <c r="K6" s="383"/>
      <c r="L6" s="383"/>
      <c r="M6" s="383"/>
    </row>
    <row r="7" spans="1:13" ht="16.5" thickBot="1">
      <c r="A7" s="66" t="s">
        <v>140</v>
      </c>
      <c r="C7" s="100">
        <f>SUM(C4:C6)</f>
        <v>1318956.9899999998</v>
      </c>
      <c r="D7" s="35"/>
      <c r="F7" s="166" t="s">
        <v>139</v>
      </c>
      <c r="G7" s="166"/>
      <c r="H7" s="125">
        <f>C34</f>
        <v>2206228.3000000003</v>
      </c>
      <c r="I7" s="167">
        <f>H7*I5</f>
        <v>1523621.2639800003</v>
      </c>
      <c r="J7" s="167">
        <f>H7*J5</f>
        <v>682607.03602000012</v>
      </c>
      <c r="K7" s="167"/>
      <c r="L7" s="167"/>
      <c r="M7" s="383"/>
    </row>
    <row r="8" spans="1:13" ht="15.75">
      <c r="A8" s="382" t="s">
        <v>89</v>
      </c>
      <c r="C8" s="564">
        <f>252729.32</f>
        <v>252729.32</v>
      </c>
      <c r="D8" s="35"/>
      <c r="F8" s="383"/>
      <c r="G8" s="383"/>
      <c r="H8" s="168"/>
      <c r="I8" s="168"/>
      <c r="J8" s="168"/>
      <c r="K8" s="168"/>
      <c r="L8" s="168"/>
      <c r="M8" s="383"/>
    </row>
    <row r="9" spans="1:13" ht="15.75">
      <c r="A9" s="383" t="s">
        <v>90</v>
      </c>
      <c r="C9" s="564">
        <f>8961.92</f>
        <v>8961.92</v>
      </c>
      <c r="D9" s="36"/>
      <c r="F9" s="166" t="s">
        <v>119</v>
      </c>
      <c r="G9" s="383"/>
      <c r="H9" s="167">
        <f>C56</f>
        <v>5743116.8900000006</v>
      </c>
      <c r="I9" s="167"/>
      <c r="J9" s="167"/>
      <c r="K9" s="167">
        <f>H9*K5</f>
        <v>3932886.4462720002</v>
      </c>
      <c r="L9" s="167">
        <f>H9*L5</f>
        <v>1810230.4437280004</v>
      </c>
      <c r="M9" s="383"/>
    </row>
    <row r="10" spans="1:13" ht="15.75">
      <c r="A10" s="49" t="s">
        <v>91</v>
      </c>
      <c r="C10" s="565">
        <v>-3418.47</v>
      </c>
      <c r="D10" s="36"/>
      <c r="F10" s="169" t="s">
        <v>44</v>
      </c>
      <c r="G10" s="383"/>
      <c r="H10" s="167">
        <f>C57</f>
        <v>-74701.33</v>
      </c>
      <c r="I10" s="167"/>
      <c r="J10" s="167"/>
      <c r="K10" s="167">
        <f>H10</f>
        <v>-74701.33</v>
      </c>
      <c r="L10" s="167"/>
      <c r="M10" s="383"/>
    </row>
    <row r="11" spans="1:13">
      <c r="A11" s="66" t="s">
        <v>145</v>
      </c>
      <c r="C11" s="100">
        <f>SUM(C8:C10)</f>
        <v>258272.77000000002</v>
      </c>
      <c r="D11" s="36"/>
      <c r="F11" s="169" t="s">
        <v>45</v>
      </c>
      <c r="G11" s="383"/>
      <c r="H11" s="170">
        <f>C58</f>
        <v>-34446.04</v>
      </c>
      <c r="I11" s="167"/>
      <c r="J11" s="167"/>
      <c r="K11" s="170"/>
      <c r="L11" s="170">
        <f>H11</f>
        <v>-34446.04</v>
      </c>
      <c r="M11" s="383"/>
    </row>
    <row r="12" spans="1:13" ht="15.75">
      <c r="A12" s="382" t="s">
        <v>165</v>
      </c>
      <c r="C12" s="564">
        <f>191628.73-1256.28</f>
        <v>190372.45</v>
      </c>
      <c r="D12" s="36"/>
      <c r="F12" s="169" t="s">
        <v>138</v>
      </c>
      <c r="G12" s="383"/>
      <c r="H12" s="167">
        <f>H9+H10+H11</f>
        <v>5633969.5200000005</v>
      </c>
      <c r="I12" s="167"/>
      <c r="J12" s="167"/>
      <c r="K12" s="167">
        <f>SUM(K9:K11)</f>
        <v>3858185.1162720001</v>
      </c>
      <c r="L12" s="167">
        <f>SUM(L9:L11)</f>
        <v>1775784.4037280004</v>
      </c>
      <c r="M12" s="383"/>
    </row>
    <row r="13" spans="1:13" ht="16.5" thickBot="1">
      <c r="A13" s="49" t="s">
        <v>166</v>
      </c>
      <c r="C13" s="553">
        <v>0</v>
      </c>
      <c r="D13" s="36"/>
      <c r="F13" s="171"/>
      <c r="G13" s="172"/>
      <c r="H13" s="173"/>
      <c r="I13" s="174"/>
      <c r="J13" s="173"/>
      <c r="K13" s="168"/>
      <c r="L13" s="173"/>
      <c r="M13" s="383"/>
    </row>
    <row r="14" spans="1:13" ht="16.5" thickBot="1">
      <c r="A14" s="66" t="s">
        <v>92</v>
      </c>
      <c r="C14" s="100">
        <f>SUM(C12:C13)</f>
        <v>190372.45</v>
      </c>
      <c r="D14" s="37"/>
      <c r="F14" s="50" t="s">
        <v>69</v>
      </c>
      <c r="G14" s="175"/>
      <c r="H14" s="125">
        <f>H12+H7</f>
        <v>7840197.8200000003</v>
      </c>
      <c r="I14" s="176">
        <f>SUM(I7:I13)</f>
        <v>1523621.2639800003</v>
      </c>
      <c r="J14" s="176">
        <f>SUM(J7:J13)</f>
        <v>682607.03602000012</v>
      </c>
      <c r="K14" s="176">
        <f>K12</f>
        <v>3858185.1162720001</v>
      </c>
      <c r="L14" s="176">
        <f>L12</f>
        <v>1775784.4037280004</v>
      </c>
      <c r="M14" s="383"/>
    </row>
    <row r="15" spans="1:13" ht="15.75">
      <c r="A15" s="382" t="s">
        <v>183</v>
      </c>
      <c r="C15" s="564">
        <f>392987.14-2576.2</f>
        <v>390410.94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3"/>
      <c r="L15" s="173">
        <f>H12-K14-L14</f>
        <v>0</v>
      </c>
      <c r="M15" s="383"/>
    </row>
    <row r="16" spans="1:13" ht="15.75">
      <c r="A16" s="49" t="s">
        <v>184</v>
      </c>
      <c r="C16" s="553">
        <v>0</v>
      </c>
      <c r="D16" s="36"/>
      <c r="F16" s="178"/>
      <c r="G16" s="172"/>
      <c r="H16" s="179"/>
      <c r="I16" s="180"/>
      <c r="J16" s="179"/>
      <c r="K16" s="383"/>
      <c r="L16" s="179"/>
      <c r="M16" s="383"/>
    </row>
    <row r="17" spans="1:13" ht="15.75" thickBot="1">
      <c r="A17" s="66" t="s">
        <v>185</v>
      </c>
      <c r="C17" s="100">
        <f>SUM(C15:C16)</f>
        <v>390410.94</v>
      </c>
      <c r="D17" s="37"/>
      <c r="F17" s="171"/>
      <c r="G17" s="172"/>
      <c r="H17" s="179"/>
      <c r="I17" s="180"/>
      <c r="J17" s="183"/>
      <c r="K17" s="383"/>
      <c r="L17" s="179"/>
      <c r="M17" s="383"/>
    </row>
    <row r="18" spans="1:13" ht="16.5" thickBot="1">
      <c r="A18" s="382" t="s">
        <v>163</v>
      </c>
      <c r="C18" s="564">
        <f>79450.67+10089.3-460.96</f>
        <v>89079.01</v>
      </c>
      <c r="D18" s="36"/>
      <c r="F18" s="674" t="s">
        <v>134</v>
      </c>
      <c r="G18" s="675"/>
      <c r="H18" s="675"/>
      <c r="I18" s="676"/>
      <c r="J18" s="674" t="s">
        <v>135</v>
      </c>
      <c r="K18" s="675"/>
      <c r="L18" s="675"/>
      <c r="M18" s="676"/>
    </row>
    <row r="19" spans="1:13" ht="15.75">
      <c r="A19" s="46" t="s">
        <v>164</v>
      </c>
      <c r="C19" s="553">
        <v>0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89079.01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4">
        <f>1850+2129.49</f>
        <v>3979.49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3979.49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59">
        <v>15771469</v>
      </c>
      <c r="H23" s="387" t="s">
        <v>306</v>
      </c>
      <c r="I23" s="575">
        <v>1689163</v>
      </c>
      <c r="J23" s="200" t="s">
        <v>37</v>
      </c>
      <c r="K23" s="559">
        <v>7413396</v>
      </c>
      <c r="L23" s="387" t="s">
        <v>306</v>
      </c>
      <c r="M23" s="575">
        <v>779254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59">
        <v>19043</v>
      </c>
      <c r="H24" s="387" t="s">
        <v>306</v>
      </c>
      <c r="I24" s="575">
        <v>2041</v>
      </c>
      <c r="J24" s="200" t="s">
        <v>38</v>
      </c>
      <c r="K24" s="559">
        <v>2669250</v>
      </c>
      <c r="L24" s="387" t="s">
        <v>306</v>
      </c>
      <c r="M24" s="575">
        <v>281330</v>
      </c>
    </row>
    <row r="25" spans="1:13" ht="15.75">
      <c r="A25" s="208" t="s">
        <v>189</v>
      </c>
      <c r="C25" s="555">
        <v>0</v>
      </c>
      <c r="D25" s="36"/>
      <c r="F25" s="200" t="s">
        <v>38</v>
      </c>
      <c r="G25" s="559">
        <v>5606266</v>
      </c>
      <c r="H25" s="387" t="s">
        <v>306</v>
      </c>
      <c r="I25" s="575">
        <v>554510</v>
      </c>
      <c r="J25" s="200" t="s">
        <v>39</v>
      </c>
      <c r="K25" s="559">
        <v>3652</v>
      </c>
      <c r="L25" s="387" t="s">
        <v>306</v>
      </c>
      <c r="M25" s="575">
        <v>384</v>
      </c>
    </row>
    <row r="26" spans="1:13" ht="15.75">
      <c r="A26" s="209" t="s">
        <v>188</v>
      </c>
      <c r="C26" s="556">
        <v>0</v>
      </c>
      <c r="D26" s="36"/>
      <c r="F26" s="200" t="s">
        <v>39</v>
      </c>
      <c r="G26" s="559">
        <v>7893</v>
      </c>
      <c r="H26" s="387" t="s">
        <v>306</v>
      </c>
      <c r="I26" s="575">
        <v>775</v>
      </c>
      <c r="J26" s="200" t="s">
        <v>40</v>
      </c>
      <c r="K26" s="261"/>
      <c r="L26" s="387" t="s">
        <v>306</v>
      </c>
      <c r="M26" s="196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59">
        <v>345298</v>
      </c>
      <c r="H27" s="387" t="s">
        <v>306</v>
      </c>
      <c r="I27" s="575">
        <v>35924</v>
      </c>
      <c r="J27" s="200" t="s">
        <v>41</v>
      </c>
      <c r="K27" s="261"/>
      <c r="L27" s="387" t="s">
        <v>306</v>
      </c>
      <c r="M27" s="196"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59">
        <v>51647</v>
      </c>
      <c r="H28" s="387" t="s">
        <v>306</v>
      </c>
      <c r="I28" s="575">
        <v>5193</v>
      </c>
      <c r="J28" s="199" t="s">
        <v>127</v>
      </c>
      <c r="K28" s="181">
        <f>SUM(K23:K27)</f>
        <v>10086298</v>
      </c>
      <c r="L28" s="182"/>
      <c r="M28" s="197">
        <f>SUM(M23:M27)</f>
        <v>1060968</v>
      </c>
    </row>
    <row r="29" spans="1:13" ht="17.25" thickTop="1" thickBot="1">
      <c r="A29" s="210" t="s">
        <v>167</v>
      </c>
      <c r="B29" s="383"/>
      <c r="C29" s="311">
        <v>0</v>
      </c>
      <c r="D29" s="36"/>
      <c r="F29" s="200" t="s">
        <v>42</v>
      </c>
      <c r="G29" s="559">
        <v>0</v>
      </c>
      <c r="H29" s="387" t="s">
        <v>306</v>
      </c>
      <c r="I29" s="575">
        <v>0</v>
      </c>
      <c r="J29" s="199"/>
      <c r="K29" s="231">
        <v>10086298</v>
      </c>
      <c r="L29" s="187" t="s">
        <v>102</v>
      </c>
      <c r="M29" s="463">
        <f>M28/K28</f>
        <v>0.10518903962583695</v>
      </c>
    </row>
    <row r="30" spans="1:13" ht="16.5" thickBot="1">
      <c r="A30" s="2" t="s">
        <v>111</v>
      </c>
      <c r="C30" s="125">
        <f>C7+C11+C14+C17+C20+C22+C27+C28+C29</f>
        <v>2251071.65</v>
      </c>
      <c r="D30" s="37"/>
      <c r="F30" s="200" t="s">
        <v>43</v>
      </c>
      <c r="G30" s="559">
        <v>113117</v>
      </c>
      <c r="H30" s="387" t="s">
        <v>306</v>
      </c>
      <c r="I30" s="575">
        <v>7050</v>
      </c>
      <c r="J30" s="200"/>
      <c r="K30" s="230">
        <f>K28-K29</f>
        <v>0</v>
      </c>
      <c r="L30" s="182"/>
      <c r="M30" s="198"/>
    </row>
    <row r="31" spans="1:13" ht="15.75">
      <c r="A31" s="382" t="s">
        <v>112</v>
      </c>
      <c r="C31" s="557">
        <v>-16262.78</v>
      </c>
      <c r="D31" s="39"/>
      <c r="F31" s="200" t="s">
        <v>74</v>
      </c>
      <c r="G31" s="559">
        <v>3349134</v>
      </c>
      <c r="H31" s="387" t="s">
        <v>306</v>
      </c>
      <c r="I31" s="575">
        <v>1785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1">
        <f>C30+C31</f>
        <v>2234808.87</v>
      </c>
      <c r="D32" s="40"/>
      <c r="F32" s="199" t="s">
        <v>127</v>
      </c>
      <c r="G32" s="181">
        <f>SUM(G23:G31)</f>
        <v>25263867</v>
      </c>
      <c r="H32" s="7"/>
      <c r="I32" s="197">
        <f>SUM(I23:I31)</f>
        <v>2296441</v>
      </c>
      <c r="J32" s="192"/>
      <c r="K32" s="193"/>
      <c r="L32" s="7"/>
      <c r="M32" s="190"/>
    </row>
    <row r="33" spans="1:17" ht="17.25" thickTop="1" thickBot="1">
      <c r="A33" s="382" t="s">
        <v>113</v>
      </c>
      <c r="C33" s="571">
        <f>-C5-C9-C13-C16-C19</f>
        <v>-28580.57</v>
      </c>
      <c r="D33" s="36"/>
      <c r="F33" s="186"/>
      <c r="G33" s="231">
        <v>25263867</v>
      </c>
      <c r="H33" s="187" t="s">
        <v>102</v>
      </c>
      <c r="I33" s="216">
        <f>I32/G32</f>
        <v>9.0898238183410321E-2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2206228.3000000003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72"/>
      <c r="L35" s="672"/>
      <c r="M35" s="673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73">
        <f>K23</f>
        <v>7413396</v>
      </c>
      <c r="L36" s="387" t="s">
        <v>306</v>
      </c>
      <c r="M36" s="575">
        <v>1205053</v>
      </c>
      <c r="P36" s="272"/>
      <c r="Q36" s="272"/>
    </row>
    <row r="37" spans="1:17" ht="15.75">
      <c r="A37" s="7" t="s">
        <v>129</v>
      </c>
      <c r="B37" s="530" t="s">
        <v>115</v>
      </c>
      <c r="C37" s="557">
        <v>5776255.3700000001</v>
      </c>
      <c r="D37" s="36"/>
      <c r="F37" s="200" t="s">
        <v>37</v>
      </c>
      <c r="G37" s="573">
        <f>G23</f>
        <v>15771469</v>
      </c>
      <c r="H37" s="387" t="s">
        <v>306</v>
      </c>
      <c r="I37" s="575">
        <v>2583934</v>
      </c>
      <c r="J37" s="200" t="s">
        <v>38</v>
      </c>
      <c r="K37" s="573">
        <f>K24</f>
        <v>2669250</v>
      </c>
      <c r="L37" s="387" t="s">
        <v>306</v>
      </c>
      <c r="M37" s="575">
        <v>435058</v>
      </c>
      <c r="P37" s="272"/>
      <c r="Q37" s="272"/>
    </row>
    <row r="38" spans="1:17" ht="15.75">
      <c r="A38" s="144" t="s">
        <v>14</v>
      </c>
      <c r="B38" s="530" t="s">
        <v>115</v>
      </c>
      <c r="C38" s="557">
        <v>0</v>
      </c>
      <c r="D38" s="36"/>
      <c r="F38" s="200" t="s">
        <v>305</v>
      </c>
      <c r="G38" s="573">
        <f>G24</f>
        <v>19043</v>
      </c>
      <c r="H38" s="387" t="s">
        <v>306</v>
      </c>
      <c r="I38" s="575">
        <v>3121</v>
      </c>
      <c r="J38" s="200" t="s">
        <v>39</v>
      </c>
      <c r="K38" s="573">
        <f>K25</f>
        <v>3652</v>
      </c>
      <c r="L38" s="387" t="s">
        <v>306</v>
      </c>
      <c r="M38" s="575">
        <v>593</v>
      </c>
      <c r="P38" s="272"/>
      <c r="Q38" s="272"/>
    </row>
    <row r="39" spans="1:17" ht="15.75">
      <c r="A39" s="7" t="s">
        <v>146</v>
      </c>
      <c r="B39" s="530" t="s">
        <v>147</v>
      </c>
      <c r="C39" s="557">
        <v>-62803.33</v>
      </c>
      <c r="D39" s="36"/>
      <c r="F39" s="200" t="s">
        <v>38</v>
      </c>
      <c r="G39" s="573">
        <f t="shared" ref="G39:G44" si="0">G25</f>
        <v>5606266</v>
      </c>
      <c r="H39" s="387" t="s">
        <v>306</v>
      </c>
      <c r="I39" s="575">
        <v>923773</v>
      </c>
      <c r="J39" s="200" t="s">
        <v>40</v>
      </c>
      <c r="K39" s="573">
        <f>K26</f>
        <v>0</v>
      </c>
      <c r="L39" s="387" t="s">
        <v>306</v>
      </c>
      <c r="M39" s="575">
        <v>0</v>
      </c>
      <c r="P39" s="272"/>
      <c r="Q39" s="272"/>
    </row>
    <row r="40" spans="1:17" ht="15.75">
      <c r="A40" s="7" t="s">
        <v>131</v>
      </c>
      <c r="B40" s="530" t="s">
        <v>132</v>
      </c>
      <c r="C40" s="557">
        <v>2411896.9</v>
      </c>
      <c r="D40" s="36"/>
      <c r="F40" s="200" t="s">
        <v>39</v>
      </c>
      <c r="G40" s="573">
        <f t="shared" si="0"/>
        <v>7893</v>
      </c>
      <c r="H40" s="387" t="s">
        <v>306</v>
      </c>
      <c r="I40" s="575">
        <v>1293</v>
      </c>
      <c r="J40" s="200" t="s">
        <v>41</v>
      </c>
      <c r="K40" s="573">
        <f>K27</f>
        <v>0</v>
      </c>
      <c r="L40" s="387" t="s">
        <v>306</v>
      </c>
      <c r="M40" s="575">
        <f t="shared" ref="M40:M42" si="1">K40*L40</f>
        <v>0</v>
      </c>
      <c r="P40" s="272"/>
      <c r="Q40" s="272"/>
    </row>
    <row r="41" spans="1:17" ht="15.75">
      <c r="A41" s="7" t="s">
        <v>153</v>
      </c>
      <c r="B41" s="6" t="s">
        <v>155</v>
      </c>
      <c r="C41" s="557">
        <v>-72303.67</v>
      </c>
      <c r="D41" s="36"/>
      <c r="F41" s="200" t="s">
        <v>40</v>
      </c>
      <c r="G41" s="573">
        <f t="shared" si="0"/>
        <v>345298</v>
      </c>
      <c r="H41" s="387" t="s">
        <v>306</v>
      </c>
      <c r="I41" s="575">
        <v>56592</v>
      </c>
      <c r="J41" s="200" t="s">
        <v>42</v>
      </c>
      <c r="K41" s="559">
        <v>0</v>
      </c>
      <c r="L41" s="387" t="s">
        <v>306</v>
      </c>
      <c r="M41" s="575">
        <f t="shared" si="1"/>
        <v>0</v>
      </c>
      <c r="P41" s="272"/>
      <c r="Q41" s="272"/>
    </row>
    <row r="42" spans="1:17" ht="16.5" thickBot="1">
      <c r="A42" s="7" t="s">
        <v>178</v>
      </c>
      <c r="B42" s="530" t="s">
        <v>179</v>
      </c>
      <c r="C42" s="557">
        <v>602629.88</v>
      </c>
      <c r="D42" s="37"/>
      <c r="F42" s="200" t="s">
        <v>41</v>
      </c>
      <c r="G42" s="573">
        <f t="shared" si="0"/>
        <v>51647</v>
      </c>
      <c r="H42" s="387" t="s">
        <v>306</v>
      </c>
      <c r="I42" s="575">
        <v>8652</v>
      </c>
      <c r="J42" s="200" t="s">
        <v>43</v>
      </c>
      <c r="K42" s="574">
        <v>0</v>
      </c>
      <c r="L42" s="387" t="s">
        <v>306</v>
      </c>
      <c r="M42" s="575">
        <f t="shared" si="1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8655675.1500000004</v>
      </c>
      <c r="D43" s="36"/>
      <c r="F43" s="200" t="s">
        <v>42</v>
      </c>
      <c r="G43" s="573">
        <f t="shared" si="0"/>
        <v>0</v>
      </c>
      <c r="H43" s="387" t="s">
        <v>306</v>
      </c>
      <c r="I43" s="575">
        <v>0</v>
      </c>
      <c r="J43" s="199" t="s">
        <v>133</v>
      </c>
      <c r="K43" s="181">
        <f>SUM(K36:K42)</f>
        <v>10086298</v>
      </c>
      <c r="L43" s="182"/>
      <c r="M43" s="197">
        <f>SUM(M36:M42)</f>
        <v>1640704</v>
      </c>
    </row>
    <row r="44" spans="1:17" ht="16.5" thickBot="1">
      <c r="A44" s="83" t="s">
        <v>177</v>
      </c>
      <c r="B44" s="84" t="s">
        <v>120</v>
      </c>
      <c r="C44" s="557">
        <f>0+1627939.45+159.14</f>
        <v>1628098.5899999999</v>
      </c>
      <c r="D44" s="37"/>
      <c r="F44" s="200" t="s">
        <v>43</v>
      </c>
      <c r="G44" s="573">
        <f t="shared" si="0"/>
        <v>113117</v>
      </c>
      <c r="H44" s="387" t="s">
        <v>306</v>
      </c>
      <c r="I44" s="575">
        <v>18549</v>
      </c>
      <c r="J44" s="194"/>
      <c r="K44" s="232">
        <v>10086298</v>
      </c>
      <c r="L44" s="189" t="s">
        <v>102</v>
      </c>
      <c r="M44" s="217">
        <f>M43/K43</f>
        <v>0.16266661960612308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21914733</v>
      </c>
      <c r="H45" s="182"/>
      <c r="I45" s="197">
        <f>SUM(I37:I44)</f>
        <v>3595914</v>
      </c>
      <c r="J45" s="85"/>
      <c r="K45" s="231"/>
      <c r="L45" s="187"/>
      <c r="M45" s="55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21914733</v>
      </c>
      <c r="H46" s="189" t="s">
        <v>102</v>
      </c>
      <c r="I46" s="215">
        <f>I45/G45</f>
        <v>0.16408659872789688</v>
      </c>
      <c r="J46" s="85"/>
      <c r="K46" s="231"/>
      <c r="L46" s="187"/>
      <c r="M46" s="554"/>
    </row>
    <row r="47" spans="1:17" ht="19.5" customHeight="1">
      <c r="A47" s="382" t="s">
        <v>137</v>
      </c>
      <c r="B47" s="6" t="s">
        <v>115</v>
      </c>
      <c r="C47" s="557">
        <v>-9987.66</v>
      </c>
      <c r="D47" s="36"/>
      <c r="F47" s="383"/>
      <c r="G47" s="230">
        <f>G45-G46</f>
        <v>0</v>
      </c>
      <c r="H47" s="383"/>
      <c r="I47" s="383"/>
      <c r="J47" s="124"/>
      <c r="K47" s="230">
        <f>K43-K44</f>
        <v>0</v>
      </c>
      <c r="L47" s="383"/>
      <c r="M47" s="124"/>
    </row>
    <row r="48" spans="1:17" ht="16.5" thickBot="1">
      <c r="A48" s="144" t="s">
        <v>220</v>
      </c>
      <c r="B48" s="6" t="s">
        <v>115</v>
      </c>
      <c r="C48" s="557">
        <v>7000</v>
      </c>
      <c r="D48" s="36"/>
      <c r="F48" s="383"/>
      <c r="G48" s="383"/>
      <c r="H48" s="383"/>
      <c r="I48" s="383"/>
      <c r="J48" s="124"/>
      <c r="K48" s="114"/>
      <c r="L48" s="383"/>
      <c r="M48" s="68"/>
    </row>
    <row r="49" spans="1:21" ht="15.75">
      <c r="A49" s="7" t="s">
        <v>130</v>
      </c>
      <c r="B49" s="530" t="s">
        <v>152</v>
      </c>
      <c r="C49" s="557">
        <v>16410.12</v>
      </c>
      <c r="D49" s="36"/>
      <c r="F49" s="383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3"/>
    </row>
    <row r="50" spans="1:21" ht="16.5" thickBot="1">
      <c r="A50" s="7" t="s">
        <v>222</v>
      </c>
      <c r="B50" s="530" t="s">
        <v>152</v>
      </c>
      <c r="C50" s="557">
        <v>5860.22</v>
      </c>
      <c r="D50" s="37"/>
      <c r="F50" s="50" t="s">
        <v>73</v>
      </c>
      <c r="G50" s="383"/>
      <c r="H50" s="130" t="s">
        <v>2</v>
      </c>
      <c r="I50" s="131" t="s">
        <v>3</v>
      </c>
      <c r="J50" s="131" t="s">
        <v>2</v>
      </c>
      <c r="K50" s="128" t="s">
        <v>3</v>
      </c>
      <c r="L50" s="383"/>
      <c r="M50" s="383"/>
    </row>
    <row r="51" spans="1:21" ht="15.75">
      <c r="A51" s="7" t="s">
        <v>308</v>
      </c>
      <c r="B51" s="530" t="s">
        <v>152</v>
      </c>
      <c r="C51" s="557">
        <v>5039.74</v>
      </c>
      <c r="D51" s="36"/>
      <c r="F51" s="383"/>
      <c r="G51" s="383"/>
      <c r="H51" s="151"/>
      <c r="I51" s="152"/>
      <c r="J51" s="152"/>
      <c r="K51" s="152"/>
      <c r="L51" s="126" t="s">
        <v>103</v>
      </c>
      <c r="M51" s="383"/>
    </row>
    <row r="52" spans="1:21" ht="15.75">
      <c r="A52" s="22" t="s">
        <v>118</v>
      </c>
      <c r="B52" s="6"/>
      <c r="C52" s="572">
        <f>-C33</f>
        <v>28580.57</v>
      </c>
      <c r="D52" s="33"/>
      <c r="F52" s="383" t="s">
        <v>136</v>
      </c>
      <c r="G52" s="383"/>
      <c r="H52" s="212">
        <f>K12</f>
        <v>3858185.1162720001</v>
      </c>
      <c r="I52" s="115">
        <f>I14</f>
        <v>1523621.2639800003</v>
      </c>
      <c r="J52" s="115">
        <f>L12</f>
        <v>1775784.4037280004</v>
      </c>
      <c r="K52" s="115">
        <f>J14</f>
        <v>682607.03602000012</v>
      </c>
      <c r="L52" s="132">
        <f>SUM(H52:K52)</f>
        <v>7840197.8200000012</v>
      </c>
      <c r="M52" s="383"/>
    </row>
    <row r="53" spans="1:21" ht="16.5" thickBot="1">
      <c r="A53" s="383" t="s">
        <v>315</v>
      </c>
      <c r="B53" s="616" t="s">
        <v>316</v>
      </c>
      <c r="C53" s="557">
        <f>6346.37+0.02</f>
        <v>6346.39</v>
      </c>
      <c r="D53" s="36"/>
      <c r="F53" s="382" t="s">
        <v>109</v>
      </c>
      <c r="H53" s="212">
        <f>-I45</f>
        <v>-3595914</v>
      </c>
      <c r="I53" s="115">
        <f>-I32</f>
        <v>-2296441</v>
      </c>
      <c r="J53" s="115">
        <f>-M43</f>
        <v>-1640704</v>
      </c>
      <c r="K53" s="115">
        <f>-M28</f>
        <v>-1060968</v>
      </c>
      <c r="L53" s="260">
        <f>SUM(H53:K53)</f>
        <v>-8594027</v>
      </c>
    </row>
    <row r="54" spans="1:21" ht="16.5" thickBot="1">
      <c r="A54" s="380" t="s">
        <v>124</v>
      </c>
      <c r="B54" s="471" t="s">
        <v>296</v>
      </c>
      <c r="C54" s="557">
        <f>-1087890.77-1589166.12-1547849.34</f>
        <v>-4224906.2300000004</v>
      </c>
      <c r="D54" s="36"/>
      <c r="F54" s="382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-753829.17999999877</v>
      </c>
    </row>
    <row r="55" spans="1:21" ht="16.5" thickBot="1">
      <c r="A55" s="382" t="s">
        <v>312</v>
      </c>
      <c r="B55" s="6" t="s">
        <v>190</v>
      </c>
      <c r="C55" s="557">
        <v>-375000</v>
      </c>
      <c r="D55" s="36"/>
      <c r="F55" s="382" t="s">
        <v>71</v>
      </c>
      <c r="H55" s="125">
        <f>IFERROR(H52+H53+H54,0)</f>
        <v>262271.11627200013</v>
      </c>
      <c r="I55" s="125">
        <f>I52+I53+I54</f>
        <v>-772819.73601999972</v>
      </c>
      <c r="J55" s="125">
        <f>IFERROR(J52+J53+J54,0)</f>
        <v>135080.40372800035</v>
      </c>
      <c r="K55" s="125">
        <f>K52+K53+K54</f>
        <v>-378360.96397999988</v>
      </c>
      <c r="L55" s="47">
        <f>SUM(H55:K55)</f>
        <v>-753829.17999999912</v>
      </c>
    </row>
    <row r="56" spans="1:21" ht="16.5" thickBot="1">
      <c r="A56" s="82" t="s">
        <v>119</v>
      </c>
      <c r="B56" s="84"/>
      <c r="C56" s="160">
        <f>SUM(C43:C55)</f>
        <v>5743116.8900000006</v>
      </c>
      <c r="D56" s="36"/>
      <c r="F56" s="239" t="s">
        <v>181</v>
      </c>
      <c r="H56" s="382" t="s">
        <v>173</v>
      </c>
      <c r="I56" s="5">
        <f>SUM(H55:I55)</f>
        <v>-510548.61974799959</v>
      </c>
      <c r="J56" s="15" t="s">
        <v>174</v>
      </c>
      <c r="K56" s="382">
        <f>SUM(J55:K55)</f>
        <v>-243280.56025199953</v>
      </c>
      <c r="L56" s="213">
        <f>ROUND(L54-L55,3)</f>
        <v>0</v>
      </c>
      <c r="T56" s="42"/>
    </row>
    <row r="57" spans="1:21" ht="16.5" thickTop="1">
      <c r="A57" s="382" t="s">
        <v>121</v>
      </c>
      <c r="B57" s="6" t="s">
        <v>115</v>
      </c>
      <c r="C57" s="557">
        <v>-74701.33</v>
      </c>
      <c r="D57" s="36"/>
      <c r="F57" s="395" t="s">
        <v>181</v>
      </c>
      <c r="H57" s="96"/>
    </row>
    <row r="58" spans="1:21" ht="16.5" thickBot="1">
      <c r="A58" s="382" t="s">
        <v>122</v>
      </c>
      <c r="B58" s="6" t="s">
        <v>115</v>
      </c>
      <c r="C58" s="557">
        <v>-34446.04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5633969.5200000005</v>
      </c>
      <c r="D59" s="36"/>
      <c r="F59" s="541" t="s">
        <v>303</v>
      </c>
      <c r="G59" s="542" t="str">
        <f>IF(OR(AND(I56&gt;0,K56&gt;0),AND(I56&lt;0,K56&lt;0)),"OK","ERROR")</f>
        <v>OK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7840197.8200000003</v>
      </c>
      <c r="D61" s="37"/>
      <c r="H61" s="347" t="e">
        <f>SUM('WA - Def-Amtz (current)'!AL5:AL41)+SUM(#REF!)</f>
        <v>#REF!</v>
      </c>
      <c r="I61" s="447" t="e">
        <f>SUM('WA - Def-Amtz (current)'!AM5:AM41)+SUM(#REF!)</f>
        <v>#REF!</v>
      </c>
      <c r="J61" s="382">
        <f>H53+I53+J53+K53</f>
        <v>-8594027</v>
      </c>
    </row>
    <row r="62" spans="1:21" ht="15.75">
      <c r="A62" s="2"/>
      <c r="B62" s="9" t="s">
        <v>160</v>
      </c>
      <c r="C62" s="348">
        <v>7840197.8200000003</v>
      </c>
      <c r="G62" s="5"/>
      <c r="I62" s="336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49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2">
        <v>-2130</v>
      </c>
    </row>
    <row r="1485" spans="3:3">
      <c r="C1485" s="382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14" priority="8" stopIfTrue="1" operator="equal">
      <formula>0</formula>
    </cfRule>
    <cfRule type="cellIs" dxfId="213" priority="9" stopIfTrue="1" operator="notEqual">
      <formula>0</formula>
    </cfRule>
  </conditionalFormatting>
  <conditionalFormatting sqref="G34 G47 K30 K47">
    <cfRule type="cellIs" dxfId="212" priority="7" operator="notEqual">
      <formula>0</formula>
    </cfRule>
  </conditionalFormatting>
  <conditionalFormatting sqref="C63">
    <cfRule type="cellIs" dxfId="211" priority="5" stopIfTrue="1" operator="equal">
      <formula>0</formula>
    </cfRule>
    <cfRule type="cellIs" dxfId="210" priority="6" stopIfTrue="1" operator="notEqual">
      <formula>0</formula>
    </cfRule>
  </conditionalFormatting>
  <conditionalFormatting sqref="K30">
    <cfRule type="cellIs" dxfId="209" priority="4" operator="notEqual">
      <formula>0</formula>
    </cfRule>
  </conditionalFormatting>
  <conditionalFormatting sqref="G59">
    <cfRule type="cellIs" dxfId="208" priority="3" operator="equal">
      <formula>"""ERROR"""</formula>
    </cfRule>
  </conditionalFormatting>
  <conditionalFormatting sqref="G59">
    <cfRule type="cellIs" dxfId="207" priority="2" operator="equal">
      <formula>"ERROR"</formula>
    </cfRule>
  </conditionalFormatting>
  <conditionalFormatting sqref="G59">
    <cfRule type="cellIs" dxfId="20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5"/>
  <sheetViews>
    <sheetView showGridLines="0" zoomScale="70" zoomScaleNormal="70" workbookViewId="0">
      <selection activeCell="C4" sqref="C4"/>
    </sheetView>
  </sheetViews>
  <sheetFormatPr defaultColWidth="16" defaultRowHeight="15"/>
  <cols>
    <col min="1" max="1" width="44.85546875" style="382" customWidth="1"/>
    <col min="2" max="2" width="25.5703125" style="382" customWidth="1"/>
    <col min="3" max="3" width="25.28515625" style="382" customWidth="1"/>
    <col min="4" max="4" width="2.7109375" style="30" customWidth="1"/>
    <col min="5" max="5" width="4.28515625" style="382" customWidth="1"/>
    <col min="6" max="6" width="26.7109375" style="382" customWidth="1"/>
    <col min="7" max="7" width="19" style="382" customWidth="1"/>
    <col min="8" max="8" width="22" style="382" customWidth="1"/>
    <col min="9" max="9" width="20.42578125" style="382" customWidth="1"/>
    <col min="10" max="10" width="26.28515625" style="382" customWidth="1"/>
    <col min="11" max="11" width="21.85546875" style="382" bestFit="1" customWidth="1"/>
    <col min="12" max="12" width="23.85546875" style="382" customWidth="1"/>
    <col min="13" max="13" width="20.85546875" style="382" bestFit="1" customWidth="1"/>
    <col min="14" max="15" width="16" style="382"/>
    <col min="16" max="16" width="16.28515625" style="382" bestFit="1" customWidth="1"/>
    <col min="17" max="16384" width="16" style="382"/>
  </cols>
  <sheetData>
    <row r="1" spans="1:13" ht="16.5" thickBot="1">
      <c r="A1" s="145" t="s">
        <v>64</v>
      </c>
      <c r="B1" s="29"/>
      <c r="C1" s="527">
        <f>Mar!C1+1</f>
        <v>201804</v>
      </c>
      <c r="F1" s="527">
        <f>C1</f>
        <v>201804</v>
      </c>
      <c r="G1" s="383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3"/>
    </row>
    <row r="2" spans="1:13" ht="15.75">
      <c r="C2" s="31"/>
      <c r="F2" s="383"/>
      <c r="G2" s="383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3"/>
    </row>
    <row r="3" spans="1:13" ht="16.5" thickBot="1">
      <c r="A3" s="63" t="s">
        <v>110</v>
      </c>
      <c r="C3" s="32"/>
      <c r="D3" s="33"/>
      <c r="F3" s="50" t="s">
        <v>72</v>
      </c>
      <c r="G3" s="383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3"/>
    </row>
    <row r="4" spans="1:13" ht="15.75">
      <c r="A4" s="383" t="s">
        <v>88</v>
      </c>
      <c r="C4" s="564">
        <f>3538040.09+1470.91</f>
        <v>3539511</v>
      </c>
      <c r="D4" s="34"/>
      <c r="F4" s="383"/>
      <c r="G4" s="383"/>
      <c r="H4" s="11"/>
      <c r="I4" s="383"/>
      <c r="J4" s="383"/>
      <c r="L4" s="383"/>
      <c r="M4" s="383"/>
    </row>
    <row r="5" spans="1:13" ht="14.25" customHeight="1">
      <c r="A5" s="383" t="s">
        <v>31</v>
      </c>
      <c r="C5" s="564">
        <f>16061.06</f>
        <v>16061.06</v>
      </c>
      <c r="D5" s="34"/>
      <c r="F5" s="383"/>
      <c r="G5" s="383"/>
      <c r="H5" s="11"/>
      <c r="I5" s="584">
        <v>0.69059999999999999</v>
      </c>
      <c r="J5" s="584">
        <v>0.30940000000000001</v>
      </c>
      <c r="K5" s="443">
        <f>ROUND(G45/(G45+K43),4)</f>
        <v>0.67259999999999998</v>
      </c>
      <c r="L5" s="443">
        <f>1-K5</f>
        <v>0.32740000000000002</v>
      </c>
      <c r="M5" s="383"/>
    </row>
    <row r="6" spans="1:13" ht="16.5" thickBot="1">
      <c r="A6" s="49" t="s">
        <v>30</v>
      </c>
      <c r="C6" s="565">
        <f>-1446530.02-412587-117882-132617.25-76033.89-94965.74</f>
        <v>-2280615.9000000004</v>
      </c>
      <c r="D6" s="34"/>
      <c r="F6" s="383"/>
      <c r="G6" s="383"/>
      <c r="H6" s="383"/>
      <c r="I6" s="383"/>
      <c r="J6" s="383"/>
      <c r="K6" s="383"/>
      <c r="L6" s="383"/>
      <c r="M6" s="383"/>
    </row>
    <row r="7" spans="1:13" ht="16.5" thickBot="1">
      <c r="A7" s="66" t="s">
        <v>140</v>
      </c>
      <c r="C7" s="100">
        <f>SUM(C4:C6)</f>
        <v>1274956.1599999997</v>
      </c>
      <c r="D7" s="35"/>
      <c r="F7" s="166" t="s">
        <v>139</v>
      </c>
      <c r="G7" s="166"/>
      <c r="H7" s="125">
        <f>C34</f>
        <v>2127344.9299999997</v>
      </c>
      <c r="I7" s="167">
        <f>H7*I5</f>
        <v>1469144.4086579997</v>
      </c>
      <c r="J7" s="167">
        <f>H7*J5</f>
        <v>658200.52134199988</v>
      </c>
      <c r="K7" s="167"/>
      <c r="L7" s="167"/>
      <c r="M7" s="383"/>
    </row>
    <row r="8" spans="1:13" ht="15.75">
      <c r="A8" s="382" t="s">
        <v>89</v>
      </c>
      <c r="C8" s="564">
        <f>185334.94</f>
        <v>185334.94</v>
      </c>
      <c r="D8" s="35"/>
      <c r="F8" s="383"/>
      <c r="G8" s="383"/>
      <c r="H8" s="168"/>
      <c r="I8" s="168"/>
      <c r="J8" s="168"/>
      <c r="K8" s="168"/>
      <c r="L8" s="168"/>
      <c r="M8" s="383"/>
    </row>
    <row r="9" spans="1:13" ht="15.75">
      <c r="A9" s="383" t="s">
        <v>90</v>
      </c>
      <c r="C9" s="564">
        <f>6414.09+8938.67</f>
        <v>15352.76</v>
      </c>
      <c r="D9" s="36"/>
      <c r="F9" s="166" t="s">
        <v>119</v>
      </c>
      <c r="G9" s="383"/>
      <c r="H9" s="167">
        <f>C56</f>
        <v>1557712.2000000011</v>
      </c>
      <c r="I9" s="167"/>
      <c r="J9" s="167"/>
      <c r="K9" s="167">
        <f>H9*K5</f>
        <v>1047717.2257200007</v>
      </c>
      <c r="L9" s="167">
        <f>H9*L5</f>
        <v>509994.97428000043</v>
      </c>
      <c r="M9" s="383"/>
    </row>
    <row r="10" spans="1:13" ht="15.75">
      <c r="A10" s="49" t="s">
        <v>91</v>
      </c>
      <c r="C10" s="565">
        <v>-3308.2</v>
      </c>
      <c r="D10" s="36"/>
      <c r="F10" s="169" t="s">
        <v>44</v>
      </c>
      <c r="G10" s="383"/>
      <c r="H10" s="167">
        <f>C57</f>
        <v>47027.57</v>
      </c>
      <c r="I10" s="167"/>
      <c r="J10" s="167"/>
      <c r="K10" s="167">
        <f>H10</f>
        <v>47027.57</v>
      </c>
      <c r="L10" s="167"/>
      <c r="M10" s="383"/>
    </row>
    <row r="11" spans="1:13">
      <c r="A11" s="66" t="s">
        <v>145</v>
      </c>
      <c r="C11" s="100">
        <f>SUM(C8:C10)</f>
        <v>197379.5</v>
      </c>
      <c r="D11" s="36"/>
      <c r="F11" s="169" t="s">
        <v>45</v>
      </c>
      <c r="G11" s="383"/>
      <c r="H11" s="170">
        <f>C58</f>
        <v>21059.439999999999</v>
      </c>
      <c r="I11" s="167"/>
      <c r="J11" s="167"/>
      <c r="K11" s="170"/>
      <c r="L11" s="170">
        <f>H11</f>
        <v>21059.439999999999</v>
      </c>
      <c r="M11" s="383"/>
    </row>
    <row r="12" spans="1:13" ht="15.75">
      <c r="A12" s="382" t="s">
        <v>165</v>
      </c>
      <c r="C12" s="564">
        <f>585.95+192443.54</f>
        <v>193029.49000000002</v>
      </c>
      <c r="D12" s="36"/>
      <c r="F12" s="169" t="s">
        <v>138</v>
      </c>
      <c r="G12" s="383"/>
      <c r="H12" s="167">
        <f>H9+H10+H11</f>
        <v>1625799.2100000011</v>
      </c>
      <c r="I12" s="167"/>
      <c r="J12" s="167"/>
      <c r="K12" s="167">
        <f>SUM(K9:K11)</f>
        <v>1094744.7957200008</v>
      </c>
      <c r="L12" s="167">
        <f>SUM(L9:L11)</f>
        <v>531054.41428000038</v>
      </c>
      <c r="M12" s="383"/>
    </row>
    <row r="13" spans="1:13" ht="16.5" thickBot="1">
      <c r="A13" s="49" t="s">
        <v>166</v>
      </c>
      <c r="C13" s="553">
        <v>0</v>
      </c>
      <c r="D13" s="36"/>
      <c r="F13" s="171"/>
      <c r="G13" s="172"/>
      <c r="H13" s="173"/>
      <c r="I13" s="174"/>
      <c r="J13" s="173"/>
      <c r="K13" s="168"/>
      <c r="L13" s="173"/>
      <c r="M13" s="383"/>
    </row>
    <row r="14" spans="1:13" ht="16.5" thickBot="1">
      <c r="A14" s="66" t="s">
        <v>92</v>
      </c>
      <c r="C14" s="100">
        <f>SUM(C12:C13)</f>
        <v>193029.49000000002</v>
      </c>
      <c r="D14" s="37"/>
      <c r="F14" s="50" t="s">
        <v>69</v>
      </c>
      <c r="G14" s="175"/>
      <c r="H14" s="125">
        <f>H12+H7</f>
        <v>3753144.1400000006</v>
      </c>
      <c r="I14" s="176">
        <f>SUM(I7:I13)</f>
        <v>1469144.4086579997</v>
      </c>
      <c r="J14" s="176">
        <f>SUM(J7:J13)</f>
        <v>658200.52134199988</v>
      </c>
      <c r="K14" s="176">
        <f>K12</f>
        <v>1094744.7957200008</v>
      </c>
      <c r="L14" s="176">
        <f>L12</f>
        <v>531054.41428000038</v>
      </c>
      <c r="M14" s="383"/>
    </row>
    <row r="15" spans="1:13" ht="15.75">
      <c r="A15" s="382" t="s">
        <v>183</v>
      </c>
      <c r="C15" s="564">
        <f>1201.68+394658.14</f>
        <v>395859.82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3"/>
      <c r="L15" s="173">
        <f>H12-K14-L14</f>
        <v>0</v>
      </c>
      <c r="M15" s="383"/>
    </row>
    <row r="16" spans="1:13" ht="15.75">
      <c r="A16" s="49" t="s">
        <v>184</v>
      </c>
      <c r="C16" s="553">
        <v>0</v>
      </c>
      <c r="D16" s="36"/>
      <c r="F16" s="178"/>
      <c r="G16" s="172"/>
      <c r="H16" s="179"/>
      <c r="I16" s="180"/>
      <c r="J16" s="179"/>
      <c r="K16" s="383"/>
      <c r="L16" s="179"/>
      <c r="M16" s="383"/>
    </row>
    <row r="17" spans="1:13" ht="15.75" thickBot="1">
      <c r="A17" s="66" t="s">
        <v>185</v>
      </c>
      <c r="C17" s="100">
        <f>SUM(C15:C16)</f>
        <v>395859.82</v>
      </c>
      <c r="D17" s="37"/>
      <c r="F17" s="171"/>
      <c r="G17" s="172"/>
      <c r="H17" s="179"/>
      <c r="I17" s="180"/>
      <c r="J17" s="183"/>
      <c r="K17" s="383"/>
      <c r="L17" s="179"/>
      <c r="M17" s="383"/>
    </row>
    <row r="18" spans="1:13" ht="16.5" thickBot="1">
      <c r="A18" s="382" t="s">
        <v>163</v>
      </c>
      <c r="C18" s="564">
        <f>259.47+10132.2+82836.48</f>
        <v>93228.15</v>
      </c>
      <c r="D18" s="36"/>
      <c r="F18" s="674" t="s">
        <v>134</v>
      </c>
      <c r="G18" s="675"/>
      <c r="H18" s="675"/>
      <c r="I18" s="676"/>
      <c r="J18" s="674" t="s">
        <v>135</v>
      </c>
      <c r="K18" s="675"/>
      <c r="L18" s="675"/>
      <c r="M18" s="676"/>
    </row>
    <row r="19" spans="1:13" ht="15.75">
      <c r="A19" s="46" t="s">
        <v>164</v>
      </c>
      <c r="C19" s="565">
        <f>713.84</f>
        <v>713.84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93941.989999999991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5">
        <f>1850+2455.63</f>
        <v>4305.63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4305.63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0">
        <v>9759881</v>
      </c>
      <c r="H23" s="604">
        <v>0.10743999999999999</v>
      </c>
      <c r="I23" s="196">
        <f t="shared" ref="I23:I31" si="0">G23*H23</f>
        <v>1048601.61464</v>
      </c>
      <c r="J23" s="200" t="s">
        <v>37</v>
      </c>
      <c r="K23" s="560">
        <v>5025669</v>
      </c>
      <c r="L23" s="604">
        <v>0.10496999999999999</v>
      </c>
      <c r="M23" s="196">
        <f>K23*L23</f>
        <v>527544.47493000003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0">
        <v>11770</v>
      </c>
      <c r="H24" s="604">
        <v>0.10743999999999999</v>
      </c>
      <c r="I24" s="196">
        <f t="shared" si="0"/>
        <v>1264.5688</v>
      </c>
      <c r="J24" s="200" t="s">
        <v>38</v>
      </c>
      <c r="K24" s="560">
        <v>1996498</v>
      </c>
      <c r="L24" s="604">
        <v>0.10496999999999999</v>
      </c>
      <c r="M24" s="196">
        <f t="shared" ref="M24:M27" si="1">K24*L24</f>
        <v>209572.39505999998</v>
      </c>
    </row>
    <row r="25" spans="1:13" ht="15.75">
      <c r="A25" s="208" t="s">
        <v>189</v>
      </c>
      <c r="C25" s="555">
        <v>0</v>
      </c>
      <c r="D25" s="36"/>
      <c r="F25" s="200" t="s">
        <v>38</v>
      </c>
      <c r="G25" s="560">
        <v>4266905</v>
      </c>
      <c r="H25" s="604">
        <v>9.8650000000000002E-2</v>
      </c>
      <c r="I25" s="196">
        <f t="shared" si="0"/>
        <v>420930.17825</v>
      </c>
      <c r="J25" s="200" t="s">
        <v>39</v>
      </c>
      <c r="K25" s="560">
        <v>34433</v>
      </c>
      <c r="L25" s="604">
        <v>0.10496999999999999</v>
      </c>
      <c r="M25" s="196">
        <f t="shared" si="1"/>
        <v>3614.43201</v>
      </c>
    </row>
    <row r="26" spans="1:13" ht="15.75">
      <c r="A26" s="209" t="s">
        <v>188</v>
      </c>
      <c r="C26" s="556">
        <v>0</v>
      </c>
      <c r="D26" s="36"/>
      <c r="F26" s="200" t="s">
        <v>39</v>
      </c>
      <c r="G26" s="560">
        <v>9867</v>
      </c>
      <c r="H26" s="604">
        <v>9.8650000000000002E-2</v>
      </c>
      <c r="I26" s="196">
        <f t="shared" si="0"/>
        <v>973.37954999999999</v>
      </c>
      <c r="J26" s="200" t="s">
        <v>40</v>
      </c>
      <c r="K26" s="560">
        <v>0</v>
      </c>
      <c r="L26" s="604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0">
        <v>305691</v>
      </c>
      <c r="H27" s="604">
        <v>0.10433000000000001</v>
      </c>
      <c r="I27" s="196">
        <f t="shared" si="0"/>
        <v>31892.742030000001</v>
      </c>
      <c r="J27" s="200" t="s">
        <v>41</v>
      </c>
      <c r="K27" s="560">
        <v>0</v>
      </c>
      <c r="L27" s="604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1">
        <v>0</v>
      </c>
      <c r="D28" s="37"/>
      <c r="F28" s="200" t="s">
        <v>41</v>
      </c>
      <c r="G28" s="560">
        <v>46438</v>
      </c>
      <c r="H28" s="604">
        <v>0.10433000000000001</v>
      </c>
      <c r="I28" s="196">
        <f t="shared" si="0"/>
        <v>4844.8765400000002</v>
      </c>
      <c r="J28" s="199" t="s">
        <v>127</v>
      </c>
      <c r="K28" s="181">
        <f>SUM(K23:K27)</f>
        <v>7056600</v>
      </c>
      <c r="L28" s="182"/>
      <c r="M28" s="197">
        <f>SUM(M23:M27)</f>
        <v>740731.30200000003</v>
      </c>
    </row>
    <row r="29" spans="1:13" ht="17.25" thickTop="1" thickBot="1">
      <c r="A29" s="210" t="s">
        <v>167</v>
      </c>
      <c r="B29" s="383"/>
      <c r="C29" s="311">
        <v>0</v>
      </c>
      <c r="D29" s="36"/>
      <c r="F29" s="200" t="s">
        <v>42</v>
      </c>
      <c r="G29" s="560">
        <v>0</v>
      </c>
      <c r="H29" s="604">
        <v>6.2480000000000001E-2</v>
      </c>
      <c r="I29" s="196">
        <f t="shared" si="0"/>
        <v>0</v>
      </c>
      <c r="J29" s="199"/>
      <c r="K29" s="231">
        <v>7056600</v>
      </c>
      <c r="L29" s="187" t="s">
        <v>102</v>
      </c>
      <c r="M29" s="463">
        <f>M28/K28</f>
        <v>0.10497000000000001</v>
      </c>
    </row>
    <row r="30" spans="1:13" ht="16.5" thickBot="1">
      <c r="A30" s="2" t="s">
        <v>111</v>
      </c>
      <c r="C30" s="125">
        <f>C7+C11+C14+C17+C20+C22+C27+C28+C29</f>
        <v>2159472.59</v>
      </c>
      <c r="D30" s="37"/>
      <c r="F30" s="200" t="s">
        <v>43</v>
      </c>
      <c r="G30" s="560">
        <v>93219</v>
      </c>
      <c r="H30" s="604">
        <v>6.2480000000000001E-2</v>
      </c>
      <c r="I30" s="196">
        <f t="shared" si="0"/>
        <v>5824.32312</v>
      </c>
      <c r="J30" s="200"/>
      <c r="K30" s="230">
        <f>K28-K29</f>
        <v>0</v>
      </c>
      <c r="L30" s="182"/>
      <c r="M30" s="198"/>
    </row>
    <row r="31" spans="1:13" ht="15.75">
      <c r="A31" s="382" t="s">
        <v>112</v>
      </c>
      <c r="C31" s="122">
        <v>0</v>
      </c>
      <c r="D31" s="39"/>
      <c r="F31" s="200" t="s">
        <v>74</v>
      </c>
      <c r="G31" s="560">
        <v>3031741</v>
      </c>
      <c r="H31" s="604">
        <v>5.4000000000000001E-4</v>
      </c>
      <c r="I31" s="196">
        <f t="shared" si="0"/>
        <v>1637.14014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3">
        <f>C30+C31</f>
        <v>2159472.59</v>
      </c>
      <c r="D32" s="40"/>
      <c r="F32" s="199" t="s">
        <v>127</v>
      </c>
      <c r="G32" s="181">
        <f>SUM(G23:G31)</f>
        <v>17525512</v>
      </c>
      <c r="H32" s="7"/>
      <c r="I32" s="197">
        <f>SUM(I23:I31)</f>
        <v>1515968.8230700004</v>
      </c>
      <c r="J32" s="192"/>
      <c r="K32" s="193"/>
      <c r="L32" s="7"/>
      <c r="M32" s="190"/>
    </row>
    <row r="33" spans="1:17" ht="17.25" thickTop="1" thickBot="1">
      <c r="A33" s="382" t="s">
        <v>113</v>
      </c>
      <c r="C33" s="310">
        <f>-C5-C9-C13-C16-C19</f>
        <v>-32127.66</v>
      </c>
      <c r="D33" s="36"/>
      <c r="F33" s="186"/>
      <c r="G33" s="231">
        <v>17525512</v>
      </c>
      <c r="H33" s="187" t="s">
        <v>102</v>
      </c>
      <c r="I33" s="216">
        <f>I32/G32</f>
        <v>8.6500686717169831E-2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2127344.9299999997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72"/>
      <c r="L35" s="672"/>
      <c r="M35" s="673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90">
        <f>K23</f>
        <v>5025669</v>
      </c>
      <c r="L36" s="604">
        <v>0.16236</v>
      </c>
      <c r="M36" s="196">
        <f t="shared" ref="M36:M42" si="2">K36*L36</f>
        <v>815967.61884000001</v>
      </c>
      <c r="P36" s="272"/>
      <c r="Q36" s="272"/>
    </row>
    <row r="37" spans="1:17" ht="15.75">
      <c r="A37" s="7" t="s">
        <v>129</v>
      </c>
      <c r="B37" s="530" t="s">
        <v>115</v>
      </c>
      <c r="C37" s="557">
        <v>4780218.71</v>
      </c>
      <c r="D37" s="36"/>
      <c r="F37" s="200" t="s">
        <v>37</v>
      </c>
      <c r="G37" s="590">
        <f>G23</f>
        <v>9759881</v>
      </c>
      <c r="H37" s="604">
        <v>0.16436000000000001</v>
      </c>
      <c r="I37" s="196">
        <f t="shared" ref="I37:I44" si="3">G37*H37</f>
        <v>1604134.04116</v>
      </c>
      <c r="J37" s="200" t="s">
        <v>38</v>
      </c>
      <c r="K37" s="590">
        <f>K24</f>
        <v>1996498</v>
      </c>
      <c r="L37" s="604">
        <v>0.16236</v>
      </c>
      <c r="M37" s="196">
        <f t="shared" si="2"/>
        <v>324151.41528000002</v>
      </c>
      <c r="P37" s="272"/>
      <c r="Q37" s="272"/>
    </row>
    <row r="38" spans="1:17" ht="15.75">
      <c r="A38" s="144" t="s">
        <v>14</v>
      </c>
      <c r="B38" s="530" t="s">
        <v>115</v>
      </c>
      <c r="C38" s="557"/>
      <c r="D38" s="36"/>
      <c r="F38" s="200" t="s">
        <v>305</v>
      </c>
      <c r="G38" s="590">
        <f>G24</f>
        <v>11770</v>
      </c>
      <c r="H38" s="604">
        <v>0.16436000000000001</v>
      </c>
      <c r="I38" s="196">
        <f t="shared" si="3"/>
        <v>1934.5172</v>
      </c>
      <c r="J38" s="200" t="s">
        <v>39</v>
      </c>
      <c r="K38" s="590">
        <f>K25</f>
        <v>34433</v>
      </c>
      <c r="L38" s="604">
        <v>0.16236</v>
      </c>
      <c r="M38" s="196">
        <f t="shared" si="2"/>
        <v>5590.5418799999998</v>
      </c>
      <c r="P38" s="272"/>
      <c r="Q38" s="272"/>
    </row>
    <row r="39" spans="1:17" ht="15.75">
      <c r="A39" s="7" t="s">
        <v>146</v>
      </c>
      <c r="B39" s="530" t="s">
        <v>147</v>
      </c>
      <c r="C39" s="557">
        <v>-72610.350000000006</v>
      </c>
      <c r="D39" s="36"/>
      <c r="F39" s="200" t="s">
        <v>38</v>
      </c>
      <c r="G39" s="590">
        <f t="shared" ref="G39:G44" si="4">G25</f>
        <v>4266905</v>
      </c>
      <c r="H39" s="604">
        <v>0.16436000000000001</v>
      </c>
      <c r="I39" s="196">
        <f t="shared" si="3"/>
        <v>701308.50580000004</v>
      </c>
      <c r="J39" s="200" t="s">
        <v>40</v>
      </c>
      <c r="K39" s="590">
        <f>K26</f>
        <v>0</v>
      </c>
      <c r="L39" s="604">
        <v>0.16236</v>
      </c>
      <c r="M39" s="196">
        <f t="shared" si="2"/>
        <v>0</v>
      </c>
      <c r="P39" s="272"/>
      <c r="Q39" s="272"/>
    </row>
    <row r="40" spans="1:17" ht="15.75">
      <c r="A40" s="7" t="s">
        <v>131</v>
      </c>
      <c r="B40" s="530" t="s">
        <v>132</v>
      </c>
      <c r="C40" s="557">
        <v>705923.29</v>
      </c>
      <c r="D40" s="36"/>
      <c r="F40" s="200" t="s">
        <v>39</v>
      </c>
      <c r="G40" s="590">
        <f t="shared" si="4"/>
        <v>9867</v>
      </c>
      <c r="H40" s="604">
        <v>0.16436000000000001</v>
      </c>
      <c r="I40" s="196">
        <f t="shared" si="3"/>
        <v>1621.7401200000002</v>
      </c>
      <c r="J40" s="200" t="s">
        <v>41</v>
      </c>
      <c r="K40" s="590">
        <f>K27</f>
        <v>0</v>
      </c>
      <c r="L40" s="604">
        <v>0.16236</v>
      </c>
      <c r="M40" s="196">
        <f t="shared" si="2"/>
        <v>0</v>
      </c>
      <c r="P40" s="272"/>
      <c r="Q40" s="272"/>
    </row>
    <row r="41" spans="1:17" ht="15.75">
      <c r="A41" s="7" t="s">
        <v>153</v>
      </c>
      <c r="B41" s="6" t="s">
        <v>155</v>
      </c>
      <c r="C41" s="557">
        <f>17615.42+9619.56</f>
        <v>27234.979999999996</v>
      </c>
      <c r="D41" s="36"/>
      <c r="F41" s="200" t="s">
        <v>40</v>
      </c>
      <c r="G41" s="590">
        <f t="shared" si="4"/>
        <v>305691</v>
      </c>
      <c r="H41" s="604">
        <v>0.16436000000000001</v>
      </c>
      <c r="I41" s="196">
        <f t="shared" si="3"/>
        <v>50243.372759999998</v>
      </c>
      <c r="J41" s="200" t="s">
        <v>42</v>
      </c>
      <c r="K41" s="560">
        <v>0</v>
      </c>
      <c r="L41" s="604">
        <v>0.16236</v>
      </c>
      <c r="M41" s="196">
        <f t="shared" si="2"/>
        <v>0</v>
      </c>
      <c r="P41" s="272"/>
      <c r="Q41" s="272"/>
    </row>
    <row r="42" spans="1:17" ht="16.5" thickBot="1">
      <c r="A42" s="7" t="s">
        <v>178</v>
      </c>
      <c r="B42" s="530" t="s">
        <v>179</v>
      </c>
      <c r="C42" s="557">
        <v>747786.54</v>
      </c>
      <c r="D42" s="37"/>
      <c r="F42" s="200" t="s">
        <v>41</v>
      </c>
      <c r="G42" s="590">
        <f t="shared" si="4"/>
        <v>46438</v>
      </c>
      <c r="H42" s="604">
        <v>0.16436000000000001</v>
      </c>
      <c r="I42" s="196">
        <f t="shared" si="3"/>
        <v>7632.5496800000001</v>
      </c>
      <c r="J42" s="200" t="s">
        <v>43</v>
      </c>
      <c r="K42" s="591">
        <v>0</v>
      </c>
      <c r="L42" s="604">
        <v>0.16236</v>
      </c>
      <c r="M42" s="196">
        <f t="shared" si="2"/>
        <v>0</v>
      </c>
      <c r="P42" s="272"/>
      <c r="Q42" s="272"/>
    </row>
    <row r="43" spans="1:17" ht="16.5" thickBot="1">
      <c r="A43" s="85" t="s">
        <v>123</v>
      </c>
      <c r="B43" s="12"/>
      <c r="C43" s="125">
        <f>SUM(C37:C42)</f>
        <v>6188553.1700000009</v>
      </c>
      <c r="D43" s="36"/>
      <c r="F43" s="200" t="s">
        <v>42</v>
      </c>
      <c r="G43" s="590">
        <f t="shared" si="4"/>
        <v>0</v>
      </c>
      <c r="H43" s="604">
        <v>0.16436000000000001</v>
      </c>
      <c r="I43" s="196">
        <f t="shared" si="3"/>
        <v>0</v>
      </c>
      <c r="J43" s="199" t="s">
        <v>133</v>
      </c>
      <c r="K43" s="181">
        <f>SUM(K36:K42)</f>
        <v>7056600</v>
      </c>
      <c r="L43" s="182"/>
      <c r="M43" s="197">
        <f>SUM(M36:M42)</f>
        <v>1145709.5759999999</v>
      </c>
    </row>
    <row r="44" spans="1:17" ht="16.5" thickBot="1">
      <c r="A44" s="83" t="s">
        <v>177</v>
      </c>
      <c r="B44" s="84" t="s">
        <v>120</v>
      </c>
      <c r="C44" s="557">
        <f>-879535.98+700112.94+0+766.2</f>
        <v>-178656.84000000003</v>
      </c>
      <c r="D44" s="37"/>
      <c r="F44" s="200" t="s">
        <v>43</v>
      </c>
      <c r="G44" s="590">
        <f t="shared" si="4"/>
        <v>93219</v>
      </c>
      <c r="H44" s="604">
        <v>0.16436000000000001</v>
      </c>
      <c r="I44" s="196">
        <f t="shared" si="3"/>
        <v>15321.474840000001</v>
      </c>
      <c r="J44" s="194"/>
      <c r="K44" s="232">
        <v>7056600</v>
      </c>
      <c r="L44" s="189" t="s">
        <v>102</v>
      </c>
      <c r="M44" s="217">
        <f>M43/K43</f>
        <v>0.16235999999999998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14493771</v>
      </c>
      <c r="H45" s="182"/>
      <c r="I45" s="197">
        <f>SUM(I37:I44)</f>
        <v>2382196.2015600004</v>
      </c>
      <c r="J45" s="85"/>
      <c r="K45" s="230">
        <f>K43-K44</f>
        <v>0</v>
      </c>
      <c r="L45" s="187"/>
      <c r="M45" s="55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14493771</v>
      </c>
      <c r="H46" s="189" t="s">
        <v>102</v>
      </c>
      <c r="I46" s="215">
        <f>I45/G45</f>
        <v>0.16436000000000003</v>
      </c>
      <c r="J46" s="85"/>
      <c r="K46" s="231"/>
      <c r="L46" s="187"/>
      <c r="M46" s="554"/>
    </row>
    <row r="47" spans="1:17" ht="19.5" customHeight="1">
      <c r="A47" s="382" t="s">
        <v>137</v>
      </c>
      <c r="B47" s="6" t="s">
        <v>115</v>
      </c>
      <c r="C47" s="557">
        <v>0</v>
      </c>
      <c r="D47" s="36"/>
      <c r="F47" s="383"/>
      <c r="G47" s="230">
        <f>G45-G46</f>
        <v>0</v>
      </c>
      <c r="H47" s="383"/>
      <c r="I47" s="383"/>
      <c r="J47" s="124"/>
      <c r="K47" s="230"/>
      <c r="L47" s="383"/>
      <c r="M47" s="124"/>
    </row>
    <row r="48" spans="1:17" ht="16.5" thickBot="1">
      <c r="A48" s="144" t="s">
        <v>304</v>
      </c>
      <c r="B48" s="6" t="s">
        <v>115</v>
      </c>
      <c r="C48" s="557">
        <v>7000</v>
      </c>
      <c r="D48" s="36"/>
      <c r="F48" s="383"/>
      <c r="G48" s="383"/>
      <c r="H48" s="383"/>
      <c r="I48" s="383"/>
      <c r="J48" s="124"/>
      <c r="K48" s="114"/>
      <c r="L48" s="383"/>
      <c r="M48" s="68"/>
    </row>
    <row r="49" spans="1:21" ht="15.75">
      <c r="A49" s="7" t="s">
        <v>130</v>
      </c>
      <c r="B49" s="530" t="s">
        <v>152</v>
      </c>
      <c r="C49" s="557">
        <v>20666.11</v>
      </c>
      <c r="D49" s="36"/>
      <c r="F49" s="383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3"/>
    </row>
    <row r="50" spans="1:21" ht="16.5" thickBot="1">
      <c r="A50" s="7" t="s">
        <v>222</v>
      </c>
      <c r="B50" s="530" t="s">
        <v>152</v>
      </c>
      <c r="C50" s="557">
        <v>2760.85</v>
      </c>
      <c r="D50" s="37"/>
      <c r="F50" s="50" t="s">
        <v>73</v>
      </c>
      <c r="G50" s="383"/>
      <c r="H50" s="130" t="s">
        <v>2</v>
      </c>
      <c r="I50" s="131" t="s">
        <v>3</v>
      </c>
      <c r="J50" s="131" t="s">
        <v>2</v>
      </c>
      <c r="K50" s="128" t="s">
        <v>3</v>
      </c>
      <c r="L50" s="383"/>
      <c r="M50" s="383"/>
    </row>
    <row r="51" spans="1:21" ht="15.75">
      <c r="A51" s="7" t="s">
        <v>308</v>
      </c>
      <c r="B51" s="530" t="s">
        <v>152</v>
      </c>
      <c r="C51" s="557">
        <v>1813.07</v>
      </c>
      <c r="D51" s="36"/>
      <c r="F51" s="383"/>
      <c r="G51" s="383"/>
      <c r="H51" s="151"/>
      <c r="I51" s="152"/>
      <c r="J51" s="152"/>
      <c r="K51" s="152"/>
      <c r="L51" s="126" t="s">
        <v>103</v>
      </c>
      <c r="M51" s="383"/>
    </row>
    <row r="52" spans="1:21" ht="15.75">
      <c r="A52" s="22" t="s">
        <v>118</v>
      </c>
      <c r="B52" s="6"/>
      <c r="C52" s="100">
        <f>-C33</f>
        <v>32127.66</v>
      </c>
      <c r="D52" s="33"/>
      <c r="F52" s="383" t="s">
        <v>136</v>
      </c>
      <c r="G52" s="383"/>
      <c r="H52" s="212">
        <f>K12</f>
        <v>1094744.7957200008</v>
      </c>
      <c r="I52" s="115">
        <f>I14</f>
        <v>1469144.4086579997</v>
      </c>
      <c r="J52" s="115">
        <f>L12</f>
        <v>531054.41428000038</v>
      </c>
      <c r="K52" s="115">
        <f>J14</f>
        <v>658200.52134199988</v>
      </c>
      <c r="L52" s="132">
        <f>SUM(H52:K52)</f>
        <v>3753144.1400000006</v>
      </c>
      <c r="M52" s="383"/>
    </row>
    <row r="53" spans="1:21" ht="16.5" thickBot="1">
      <c r="A53" s="383" t="s">
        <v>315</v>
      </c>
      <c r="B53" s="664" t="s">
        <v>316</v>
      </c>
      <c r="C53" s="557">
        <v>11016.01</v>
      </c>
      <c r="D53" s="36"/>
      <c r="F53" s="382" t="s">
        <v>109</v>
      </c>
      <c r="H53" s="212">
        <f>-I45</f>
        <v>-2382196.2015600004</v>
      </c>
      <c r="I53" s="115">
        <f>-I32</f>
        <v>-1515968.8230700004</v>
      </c>
      <c r="J53" s="115">
        <f>-M43</f>
        <v>-1145709.5759999999</v>
      </c>
      <c r="K53" s="115">
        <f>-M28</f>
        <v>-740731.30200000003</v>
      </c>
      <c r="L53" s="260">
        <f>SUM(H53:K53)</f>
        <v>-5784605.9026300004</v>
      </c>
    </row>
    <row r="54" spans="1:21" ht="16.5" thickBot="1">
      <c r="A54" s="380" t="s">
        <v>124</v>
      </c>
      <c r="B54" s="471" t="s">
        <v>296</v>
      </c>
      <c r="C54" s="557">
        <f>-1666226.86-524454.75-1961886.22</f>
        <v>-4152567.83</v>
      </c>
      <c r="D54" s="36"/>
      <c r="F54" s="382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-2031461.7626299998</v>
      </c>
    </row>
    <row r="55" spans="1:21" ht="16.5" thickBot="1">
      <c r="A55" s="382" t="s">
        <v>312</v>
      </c>
      <c r="B55" s="6" t="s">
        <v>190</v>
      </c>
      <c r="C55" s="557">
        <v>-375000</v>
      </c>
      <c r="D55" s="36"/>
      <c r="F55" s="382" t="s">
        <v>71</v>
      </c>
      <c r="H55" s="125">
        <f>IFERROR(H52+H53+H54,0)</f>
        <v>-1287451.4058399997</v>
      </c>
      <c r="I55" s="125">
        <f>I52+I53+I54</f>
        <v>-46824.414412000682</v>
      </c>
      <c r="J55" s="125">
        <f>IFERROR(J52+J53+J54,0)</f>
        <v>-614655.16171999951</v>
      </c>
      <c r="K55" s="125">
        <f>K52+K53+K54</f>
        <v>-82530.780658000149</v>
      </c>
      <c r="L55" s="47">
        <f>SUM(H55:K55)</f>
        <v>-2031461.76263</v>
      </c>
    </row>
    <row r="56" spans="1:21" ht="16.5" thickBot="1">
      <c r="A56" s="82" t="s">
        <v>119</v>
      </c>
      <c r="B56" s="84"/>
      <c r="C56" s="160">
        <f>SUM(C43:C55)</f>
        <v>1557712.2000000011</v>
      </c>
      <c r="D56" s="36"/>
      <c r="F56" s="239" t="s">
        <v>181</v>
      </c>
      <c r="H56" s="382" t="s">
        <v>173</v>
      </c>
      <c r="I56" s="5">
        <f>SUM(H55:I55)</f>
        <v>-1334275.8202520004</v>
      </c>
      <c r="J56" s="15" t="s">
        <v>174</v>
      </c>
      <c r="K56" s="382">
        <f>SUM(J55:K55)</f>
        <v>-697185.94237799966</v>
      </c>
      <c r="L56" s="213">
        <f>ROUND(L54-L55,3)</f>
        <v>0</v>
      </c>
      <c r="T56" s="42"/>
    </row>
    <row r="57" spans="1:21" ht="16.5" thickTop="1">
      <c r="A57" s="382" t="s">
        <v>121</v>
      </c>
      <c r="B57" s="6" t="s">
        <v>115</v>
      </c>
      <c r="C57" s="557">
        <v>47027.57</v>
      </c>
      <c r="D57" s="36"/>
      <c r="F57" s="395" t="s">
        <v>181</v>
      </c>
      <c r="H57" s="96"/>
    </row>
    <row r="58" spans="1:21" ht="16.5" thickBot="1">
      <c r="A58" s="382" t="s">
        <v>122</v>
      </c>
      <c r="B58" s="6" t="s">
        <v>115</v>
      </c>
      <c r="C58" s="557">
        <v>21059.439999999999</v>
      </c>
      <c r="D58" s="36"/>
      <c r="F58" s="395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1625799.2100000011</v>
      </c>
      <c r="D59" s="36"/>
      <c r="F59" s="541" t="s">
        <v>303</v>
      </c>
      <c r="G59" s="542" t="str">
        <f>IF(OR(AND(I56&gt;0,K56&gt;0),AND(I56&lt;0,K56&lt;0)),"OK","ERROR")</f>
        <v>OK</v>
      </c>
      <c r="H59" s="384" t="s">
        <v>294</v>
      </c>
      <c r="I59" s="385"/>
    </row>
    <row r="60" spans="1:21" ht="17.25" thickTop="1" thickBot="1">
      <c r="A60" s="2"/>
      <c r="C60" s="101"/>
      <c r="D60" s="36"/>
      <c r="H60" s="316" t="s">
        <v>175</v>
      </c>
      <c r="I60" s="317" t="s">
        <v>176</v>
      </c>
      <c r="J60" s="5"/>
    </row>
    <row r="61" spans="1:21" ht="16.5" thickBot="1">
      <c r="A61" s="9"/>
      <c r="B61" s="9" t="s">
        <v>95</v>
      </c>
      <c r="C61" s="125">
        <f>C59+C34</f>
        <v>3753144.1400000006</v>
      </c>
      <c r="D61" s="37"/>
      <c r="H61" s="347" t="e">
        <f>SUM('WA - Def-Amtz (current)'!AL5:AL40)+SUM(#REF!)+SUM(#REF!)-0.01</f>
        <v>#REF!</v>
      </c>
      <c r="I61" s="447" t="e">
        <f>SUM('WA - Def-Amtz (current)'!AM5:AM40)+SUM(#REF!)+SUM(#REF!)-0.01</f>
        <v>#REF!</v>
      </c>
      <c r="J61" s="382">
        <f>H53+I53+J53+K53</f>
        <v>-5784605.9026300004</v>
      </c>
    </row>
    <row r="62" spans="1:21" ht="15.75">
      <c r="A62" s="2"/>
      <c r="B62" s="9" t="s">
        <v>160</v>
      </c>
      <c r="C62" s="592">
        <v>3753144.14</v>
      </c>
      <c r="G62" s="5"/>
      <c r="I62" s="336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6">
        <f>ROUND(C61-C62,2)</f>
        <v>0</v>
      </c>
      <c r="D63" s="36"/>
      <c r="S63" s="6"/>
    </row>
    <row r="64" spans="1:21" ht="15.75">
      <c r="A64" s="44"/>
      <c r="C64" s="349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2">
        <v>-2130</v>
      </c>
    </row>
    <row r="1485" spans="3:3">
      <c r="C1485" s="382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05" priority="9" stopIfTrue="1" operator="equal">
      <formula>0</formula>
    </cfRule>
    <cfRule type="cellIs" dxfId="204" priority="10" stopIfTrue="1" operator="notEqual">
      <formula>0</formula>
    </cfRule>
  </conditionalFormatting>
  <conditionalFormatting sqref="G34 G47 K30 K47">
    <cfRule type="cellIs" dxfId="203" priority="8" operator="notEqual">
      <formula>0</formula>
    </cfRule>
  </conditionalFormatting>
  <conditionalFormatting sqref="C63">
    <cfRule type="cellIs" dxfId="202" priority="6" stopIfTrue="1" operator="equal">
      <formula>0</formula>
    </cfRule>
    <cfRule type="cellIs" dxfId="201" priority="7" stopIfTrue="1" operator="notEqual">
      <formula>0</formula>
    </cfRule>
  </conditionalFormatting>
  <conditionalFormatting sqref="K30">
    <cfRule type="cellIs" dxfId="200" priority="5" operator="notEqual">
      <formula>0</formula>
    </cfRule>
  </conditionalFormatting>
  <conditionalFormatting sqref="G59">
    <cfRule type="cellIs" dxfId="199" priority="4" operator="equal">
      <formula>"""ERROR"""</formula>
    </cfRule>
  </conditionalFormatting>
  <conditionalFormatting sqref="G59">
    <cfRule type="cellIs" dxfId="198" priority="3" operator="equal">
      <formula>"ERROR"</formula>
    </cfRule>
  </conditionalFormatting>
  <conditionalFormatting sqref="G59">
    <cfRule type="cellIs" dxfId="197" priority="2" operator="equal">
      <formula>"ERROR"</formula>
    </cfRule>
  </conditionalFormatting>
  <conditionalFormatting sqref="K45">
    <cfRule type="cellIs" dxfId="196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BA79"/>
  <sheetViews>
    <sheetView showGridLines="0" tabSelected="1" zoomScale="70" zoomScaleNormal="70" zoomScaleSheetLayoutView="85" workbookViewId="0">
      <pane xSplit="2" ySplit="3" topLeftCell="Y4" activePane="bottomRight" state="frozen"/>
      <selection activeCell="BD49" activeCellId="1" sqref="BD13 BD49"/>
      <selection pane="topRight" activeCell="BD49" activeCellId="1" sqref="BD13 BD49"/>
      <selection pane="bottomLeft" activeCell="BD49" activeCellId="1" sqref="BD13 BD49"/>
      <selection pane="bottomRight" activeCell="AF13" sqref="AF13"/>
    </sheetView>
  </sheetViews>
  <sheetFormatPr defaultColWidth="9.140625" defaultRowHeight="15.75" outlineLevelRow="1" outlineLevelCol="1"/>
  <cols>
    <col min="1" max="1" width="17.28515625" style="478" customWidth="1"/>
    <col min="2" max="2" width="18.7109375" style="477" customWidth="1"/>
    <col min="3" max="3" width="17.5703125" style="478" customWidth="1"/>
    <col min="4" max="4" width="16.28515625" style="478" customWidth="1"/>
    <col min="5" max="6" width="16.28515625" style="478" hidden="1" customWidth="1" outlineLevel="1"/>
    <col min="7" max="7" width="17.42578125" style="478" hidden="1" customWidth="1" outlineLevel="1"/>
    <col min="8" max="8" width="15.5703125" style="478" hidden="1" customWidth="1" outlineLevel="1"/>
    <col min="9" max="13" width="17.42578125" style="478" hidden="1" customWidth="1" outlineLevel="1"/>
    <col min="14" max="14" width="17.5703125" style="478" hidden="1" customWidth="1" outlineLevel="1"/>
    <col min="15" max="15" width="18.140625" style="478" hidden="1" customWidth="1" outlineLevel="1"/>
    <col min="16" max="16" width="17.7109375" style="478" hidden="1" customWidth="1" outlineLevel="1"/>
    <col min="17" max="17" width="18.7109375" style="478" hidden="1" customWidth="1" outlineLevel="1"/>
    <col min="18" max="18" width="19.140625" style="478" hidden="1" customWidth="1" outlineLevel="1"/>
    <col min="19" max="19" width="17.42578125" style="478" hidden="1" customWidth="1" outlineLevel="1"/>
    <col min="20" max="20" width="16.7109375" style="478" hidden="1" customWidth="1" outlineLevel="1"/>
    <col min="21" max="22" width="17.42578125" style="478" hidden="1" customWidth="1" outlineLevel="1"/>
    <col min="23" max="23" width="17.42578125" style="478" customWidth="1" collapsed="1"/>
    <col min="24" max="25" width="17.42578125" style="478" customWidth="1"/>
    <col min="26" max="26" width="16.28515625" style="478" customWidth="1"/>
    <col min="27" max="27" width="18.140625" style="478" customWidth="1"/>
    <col min="28" max="32" width="17.7109375" style="478" customWidth="1"/>
    <col min="33" max="33" width="3.42578125" style="547" customWidth="1"/>
    <col min="34" max="34" width="34.42578125" style="478" customWidth="1"/>
    <col min="35" max="35" width="14.42578125" style="518" bestFit="1" customWidth="1"/>
    <col min="36" max="36" width="4.7109375" style="478" bestFit="1" customWidth="1"/>
    <col min="37" max="37" width="5" style="478" bestFit="1" customWidth="1"/>
    <col min="38" max="38" width="18.28515625" style="478" customWidth="1"/>
    <col min="39" max="39" width="17.140625" style="478" bestFit="1" customWidth="1"/>
    <col min="40" max="40" width="0.42578125" style="478" customWidth="1"/>
    <col min="41" max="41" width="9.140625" style="478"/>
    <col min="42" max="42" width="10.5703125" style="478" bestFit="1" customWidth="1"/>
    <col min="43" max="43" width="11.28515625" style="478" bestFit="1" customWidth="1"/>
    <col min="44" max="46" width="9.140625" style="478"/>
    <col min="47" max="47" width="23.85546875" style="478" bestFit="1" customWidth="1"/>
    <col min="48" max="48" width="11.7109375" style="478" bestFit="1" customWidth="1"/>
    <col min="49" max="49" width="4.28515625" style="478" bestFit="1" customWidth="1"/>
    <col min="50" max="50" width="4.5703125" style="478" bestFit="1" customWidth="1"/>
    <col min="51" max="53" width="11.7109375" style="478" bestFit="1" customWidth="1"/>
    <col min="54" max="16384" width="9.140625" style="478"/>
  </cols>
  <sheetData>
    <row r="1" spans="1:43">
      <c r="A1" s="476" t="s">
        <v>261</v>
      </c>
      <c r="AH1" s="476" t="s">
        <v>295</v>
      </c>
      <c r="AK1" s="479" t="s">
        <v>314</v>
      </c>
      <c r="AL1" s="479"/>
    </row>
    <row r="2" spans="1:43">
      <c r="A2" s="479" t="s">
        <v>262</v>
      </c>
    </row>
    <row r="3" spans="1:43" s="479" customFormat="1" ht="32.25" thickBot="1">
      <c r="A3" s="480">
        <v>191010</v>
      </c>
      <c r="B3" s="481" t="s">
        <v>252</v>
      </c>
      <c r="C3" s="482" t="s">
        <v>248</v>
      </c>
      <c r="D3" s="483" t="s">
        <v>257</v>
      </c>
      <c r="E3" s="480">
        <v>201601</v>
      </c>
      <c r="F3" s="480">
        <f>E3+1</f>
        <v>201602</v>
      </c>
      <c r="G3" s="480">
        <f t="shared" ref="G3:O3" si="0">F3+1</f>
        <v>201603</v>
      </c>
      <c r="H3" s="480">
        <f t="shared" si="0"/>
        <v>201604</v>
      </c>
      <c r="I3" s="480">
        <f t="shared" si="0"/>
        <v>201605</v>
      </c>
      <c r="J3" s="480">
        <f t="shared" si="0"/>
        <v>201606</v>
      </c>
      <c r="K3" s="480">
        <f>J3+1</f>
        <v>201607</v>
      </c>
      <c r="L3" s="480">
        <f t="shared" si="0"/>
        <v>201608</v>
      </c>
      <c r="M3" s="480">
        <f t="shared" si="0"/>
        <v>201609</v>
      </c>
      <c r="N3" s="480">
        <f t="shared" si="0"/>
        <v>201610</v>
      </c>
      <c r="O3" s="480">
        <f t="shared" si="0"/>
        <v>201611</v>
      </c>
      <c r="P3" s="480">
        <f>O3+1</f>
        <v>201612</v>
      </c>
      <c r="Q3" s="480">
        <v>201701</v>
      </c>
      <c r="R3" s="480">
        <f>Q3+1</f>
        <v>201702</v>
      </c>
      <c r="S3" s="480">
        <f t="shared" ref="S3" si="1">R3+1</f>
        <v>201703</v>
      </c>
      <c r="T3" s="480">
        <f t="shared" ref="T3" si="2">S3+1</f>
        <v>201704</v>
      </c>
      <c r="U3" s="480">
        <f t="shared" ref="U3" si="3">T3+1</f>
        <v>201705</v>
      </c>
      <c r="V3" s="480">
        <f t="shared" ref="V3" si="4">U3+1</f>
        <v>201706</v>
      </c>
      <c r="W3" s="480">
        <f>V3+1</f>
        <v>201707</v>
      </c>
      <c r="X3" s="480">
        <f t="shared" ref="X3" si="5">W3+1</f>
        <v>201708</v>
      </c>
      <c r="Y3" s="480">
        <f t="shared" ref="Y3" si="6">X3+1</f>
        <v>201709</v>
      </c>
      <c r="Z3" s="480">
        <f t="shared" ref="Z3" si="7">Y3+1</f>
        <v>201710</v>
      </c>
      <c r="AA3" s="480">
        <f t="shared" ref="AA3" si="8">Z3+1</f>
        <v>201711</v>
      </c>
      <c r="AB3" s="480">
        <f>AA3+1</f>
        <v>201712</v>
      </c>
      <c r="AC3" s="480">
        <v>201801</v>
      </c>
      <c r="AD3" s="480">
        <v>201802</v>
      </c>
      <c r="AE3" s="480">
        <v>201803</v>
      </c>
      <c r="AF3" s="480">
        <v>201804</v>
      </c>
      <c r="AG3" s="561"/>
      <c r="AI3" s="480"/>
    </row>
    <row r="4" spans="1:43" s="479" customFormat="1" ht="16.5" thickBot="1">
      <c r="B4" s="481" t="s">
        <v>253</v>
      </c>
      <c r="C4" s="478"/>
      <c r="E4" s="484">
        <v>3.2500000000000001E-2</v>
      </c>
      <c r="F4" s="484">
        <v>3.2500000000000001E-2</v>
      </c>
      <c r="G4" s="484">
        <v>3.2500000000000001E-2</v>
      </c>
      <c r="H4" s="484">
        <v>3.4599999999999999E-2</v>
      </c>
      <c r="I4" s="484">
        <v>3.4599999999999999E-2</v>
      </c>
      <c r="J4" s="484">
        <v>3.4599999999999999E-2</v>
      </c>
      <c r="K4" s="484">
        <v>3.5000000000000003E-2</v>
      </c>
      <c r="L4" s="566">
        <v>3.5000000000000003E-2</v>
      </c>
      <c r="M4" s="484">
        <v>3.5000000000000003E-2</v>
      </c>
      <c r="N4" s="484">
        <v>3.5000000000000003E-2</v>
      </c>
      <c r="O4" s="484">
        <v>3.5000000000000003E-2</v>
      </c>
      <c r="P4" s="484">
        <v>3.5000000000000003E-2</v>
      </c>
      <c r="Q4" s="586">
        <v>3.5000000000000003E-2</v>
      </c>
      <c r="R4" s="586">
        <v>3.5000000000000003E-2</v>
      </c>
      <c r="S4" s="586">
        <v>3.5000000000000003E-2</v>
      </c>
      <c r="T4" s="586">
        <v>3.7100000000000001E-2</v>
      </c>
      <c r="U4" s="586">
        <v>3.7100000000000001E-2</v>
      </c>
      <c r="V4" s="586">
        <v>3.7100000000000001E-2</v>
      </c>
      <c r="W4" s="586">
        <v>3.9600000000000003E-2</v>
      </c>
      <c r="X4" s="586">
        <v>3.9600000000000003E-2</v>
      </c>
      <c r="Y4" s="586">
        <v>3.9600000000000003E-2</v>
      </c>
      <c r="Z4" s="586">
        <v>4.2099999999999999E-2</v>
      </c>
      <c r="AA4" s="586">
        <v>4.2099999999999999E-2</v>
      </c>
      <c r="AB4" s="586">
        <v>4.2099999999999999E-2</v>
      </c>
      <c r="AC4" s="586">
        <v>4.2500000000000003E-2</v>
      </c>
      <c r="AD4" s="586">
        <v>4.2500000000000003E-2</v>
      </c>
      <c r="AE4" s="586">
        <v>4.2500000000000003E-2</v>
      </c>
      <c r="AF4" s="586">
        <v>4.4699999999999997E-2</v>
      </c>
      <c r="AG4" s="561"/>
      <c r="AH4" s="534">
        <v>201804</v>
      </c>
      <c r="AI4" s="519"/>
      <c r="AJ4" s="507"/>
      <c r="AK4" s="507"/>
      <c r="AL4" s="507"/>
      <c r="AM4" s="508"/>
    </row>
    <row r="5" spans="1:43">
      <c r="B5" s="477" t="s">
        <v>250</v>
      </c>
      <c r="D5" s="478">
        <f>E5</f>
        <v>-6508323.8685397729</v>
      </c>
      <c r="E5" s="478">
        <v>-6508323.8685397729</v>
      </c>
      <c r="F5" s="478">
        <f t="shared" ref="F5:P5" si="9">E13</f>
        <v>-8439847.1132167727</v>
      </c>
      <c r="G5" s="478">
        <f t="shared" si="9"/>
        <v>-9264796.9494047705</v>
      </c>
      <c r="H5" s="478">
        <f t="shared" si="9"/>
        <v>-10398819.535470769</v>
      </c>
      <c r="I5" s="478">
        <f t="shared" si="9"/>
        <v>-12153304.785960769</v>
      </c>
      <c r="J5" s="478">
        <f t="shared" si="9"/>
        <v>-12778894.072104771</v>
      </c>
      <c r="K5" s="478">
        <f>J13</f>
        <v>-14182183.944992768</v>
      </c>
      <c r="L5" s="478">
        <f t="shared" si="9"/>
        <v>-15130761.40771677</v>
      </c>
      <c r="M5" s="478">
        <f>L13</f>
        <v>-15660034.00335677</v>
      </c>
      <c r="N5" s="478">
        <f t="shared" si="9"/>
        <v>-16306032.832939774</v>
      </c>
      <c r="O5" s="478">
        <f>N13</f>
        <v>-16534597.329101773</v>
      </c>
      <c r="P5" s="478">
        <f t="shared" si="9"/>
        <v>-3075004.5709557864</v>
      </c>
      <c r="Q5" s="478">
        <f>P13</f>
        <v>-6818269.0378097855</v>
      </c>
      <c r="R5" s="478">
        <f>Q13</f>
        <v>-10248016.525328787</v>
      </c>
      <c r="S5" s="478">
        <f>R13</f>
        <v>-12338677.191237787</v>
      </c>
      <c r="T5" s="478">
        <f t="shared" ref="T5" si="10">S13</f>
        <v>-13990367.081666788</v>
      </c>
      <c r="U5" s="546">
        <f t="shared" ref="U5" si="11">T13</f>
        <v>-15173451.409781789</v>
      </c>
      <c r="V5" s="478">
        <f t="shared" ref="V5" si="12">U13</f>
        <v>-15098116.96234579</v>
      </c>
      <c r="W5" s="478">
        <f>V13</f>
        <v>-14771177.38731979</v>
      </c>
      <c r="X5" s="546">
        <f t="shared" ref="X5" si="13">W13</f>
        <v>-15909772.702550791</v>
      </c>
      <c r="Y5" s="478">
        <f>X13</f>
        <v>-16977268.897435792</v>
      </c>
      <c r="Z5" s="478">
        <f t="shared" ref="Z5" si="14">Y13</f>
        <v>-18962414.798894793</v>
      </c>
      <c r="AA5" s="478">
        <f>Z13</f>
        <v>-21954910.563472789</v>
      </c>
      <c r="AB5" s="478">
        <f t="shared" ref="AB5" si="15">AA13</f>
        <v>-8189815.5396147836</v>
      </c>
      <c r="AC5" s="478">
        <f>AB13</f>
        <v>-11107523.78934879</v>
      </c>
      <c r="AD5" s="546">
        <f>AC13</f>
        <v>-13225129.045603791</v>
      </c>
      <c r="AE5" s="546">
        <f>AD13</f>
        <v>-13264083.729049791</v>
      </c>
      <c r="AF5" s="546">
        <f>AE13</f>
        <v>-13822513.408797791</v>
      </c>
      <c r="AH5" s="491" t="s">
        <v>284</v>
      </c>
      <c r="AI5" s="520">
        <v>419600</v>
      </c>
      <c r="AJ5" s="492" t="s">
        <v>280</v>
      </c>
      <c r="AK5" s="492" t="s">
        <v>281</v>
      </c>
      <c r="AL5" s="512">
        <v>0</v>
      </c>
      <c r="AM5" s="513">
        <f>IF(SUMIF(E3:AF3,AH4,E8:AF8)&gt;0,SUMIF(E3:AF3,AH4,E8:AF8),0)</f>
        <v>0</v>
      </c>
      <c r="AO5" s="478" t="str">
        <f>_xll.GLW_Segment_Description(AI5,2,2)</f>
        <v>INTEREST ON ENERGY DEFERRALS</v>
      </c>
    </row>
    <row r="6" spans="1:43">
      <c r="B6" s="477" t="s">
        <v>309</v>
      </c>
      <c r="C6" s="478">
        <f>SUM(Q6:AB6)</f>
        <v>-14998507.255011011</v>
      </c>
      <c r="D6" s="478">
        <f t="shared" ref="D6:D12" si="16">SUM(E6:AB6)</f>
        <v>-28170584.433512013</v>
      </c>
      <c r="E6" s="568">
        <v>-173856.58066100068</v>
      </c>
      <c r="F6" s="568">
        <v>105835.91384800058</v>
      </c>
      <c r="G6" s="568">
        <v>-604740.2805199977</v>
      </c>
      <c r="H6" s="568">
        <v>-2253526.4287800011</v>
      </c>
      <c r="I6" s="568">
        <v>-1368171.1781060011</v>
      </c>
      <c r="J6" s="568">
        <v>-2304890.4720699973</v>
      </c>
      <c r="K6" s="593">
        <v>-1924994.8295020012</v>
      </c>
      <c r="L6" s="593">
        <v>-1510253.5672820001</v>
      </c>
      <c r="M6" s="593">
        <v>-1421303.766953001</v>
      </c>
      <c r="N6" s="593">
        <v>-389419.70859999908</v>
      </c>
      <c r="O6" s="593">
        <v>-192874.3790970007</v>
      </c>
      <c r="P6" s="593">
        <v>-1133881.9007779993</v>
      </c>
      <c r="Q6" s="593">
        <v>-491376.17008000147</v>
      </c>
      <c r="R6" s="593">
        <v>-201411.09328799881</v>
      </c>
      <c r="S6" s="593">
        <v>-696753.01067200163</v>
      </c>
      <c r="T6" s="593">
        <v>-912928.80422000168</v>
      </c>
      <c r="U6" s="593">
        <v>-482101.19766700035</v>
      </c>
      <c r="V6" s="593">
        <v>-580245.48787200102</v>
      </c>
      <c r="W6" s="546">
        <v>-2217856.2503400007</v>
      </c>
      <c r="X6" s="546">
        <v>-2108794.2989039999</v>
      </c>
      <c r="Y6" s="546">
        <v>-2779163.5886399997</v>
      </c>
      <c r="Z6" s="546">
        <v>-2935887.7038159985</v>
      </c>
      <c r="AA6" s="546">
        <v>-386463.99829400051</v>
      </c>
      <c r="AB6" s="478">
        <v>-1205525.6512180055</v>
      </c>
      <c r="AC6" s="478">
        <v>-743591.89883300196</v>
      </c>
      <c r="AD6" s="546">
        <f>Feb!$H$55</f>
        <v>1500599.2415440008</v>
      </c>
      <c r="AE6" s="546">
        <f>Mar!H55</f>
        <v>262271.11627200013</v>
      </c>
      <c r="AF6" s="546">
        <f>Apr!H55</f>
        <v>-1287451.4058399997</v>
      </c>
      <c r="AH6" s="493" t="s">
        <v>285</v>
      </c>
      <c r="AI6" s="521">
        <v>431600</v>
      </c>
      <c r="AJ6" s="354" t="s">
        <v>280</v>
      </c>
      <c r="AK6" s="354" t="s">
        <v>281</v>
      </c>
      <c r="AL6" s="377">
        <f>IF(SUMIF(E3:AF3,AH4,E8:AF8)&lt;0,-SUMIF(E3:AF3,AH4,E8:AF8),0)</f>
        <v>53973.95</v>
      </c>
      <c r="AM6" s="494">
        <v>0</v>
      </c>
      <c r="AO6" s="478" t="str">
        <f>_xll.GLW_Segment_Description(AI6,2,2)</f>
        <v>INTEREST EXPENSE ENERGY DEFERRALS</v>
      </c>
    </row>
    <row r="7" spans="1:43">
      <c r="B7" s="477" t="s">
        <v>251</v>
      </c>
      <c r="C7" s="478">
        <f t="shared" ref="C7:C11" si="17">SUM(Q7:AB7)</f>
        <v>-3531759.9092339999</v>
      </c>
      <c r="D7" s="478">
        <f t="shared" si="16"/>
        <v>-4469685.620381997</v>
      </c>
      <c r="E7" s="569">
        <v>-1737451.7240159996</v>
      </c>
      <c r="F7" s="569">
        <v>-906843.13003599993</v>
      </c>
      <c r="G7" s="569">
        <v>-502690.50554600032</v>
      </c>
      <c r="H7" s="569">
        <v>531507.01829000015</v>
      </c>
      <c r="I7" s="569">
        <v>778474.07196199952</v>
      </c>
      <c r="J7" s="569">
        <v>940413.5291820009</v>
      </c>
      <c r="K7" s="568">
        <v>1019103.1667780007</v>
      </c>
      <c r="L7" s="568">
        <v>1025818.8216420002</v>
      </c>
      <c r="M7" s="568">
        <v>821854.23736999987</v>
      </c>
      <c r="N7" s="568">
        <v>208678.05243800068</v>
      </c>
      <c r="O7" s="568">
        <v>-521813.363136</v>
      </c>
      <c r="P7" s="568">
        <v>-2594975.8860759991</v>
      </c>
      <c r="Q7" s="568">
        <v>-2913519.2274390003</v>
      </c>
      <c r="R7" s="568">
        <v>-1856358.6126210007</v>
      </c>
      <c r="S7" s="568">
        <v>-916596.2697570005</v>
      </c>
      <c r="T7" s="568">
        <v>-225142.70389499958</v>
      </c>
      <c r="U7" s="568">
        <v>604158.21510300005</v>
      </c>
      <c r="V7" s="568">
        <v>953286.75289800053</v>
      </c>
      <c r="W7" s="546">
        <v>1129801.1151090004</v>
      </c>
      <c r="X7" s="546">
        <v>1095472.3340190002</v>
      </c>
      <c r="Y7" s="546">
        <v>853220.47718099994</v>
      </c>
      <c r="Z7" s="546">
        <v>15042.059238000307</v>
      </c>
      <c r="AA7" s="546">
        <v>-592732.92055399995</v>
      </c>
      <c r="AB7" s="478">
        <v>-1678391.1285159995</v>
      </c>
      <c r="AC7" s="602">
        <f>Jan!I55</f>
        <v>-1331000.4574219999</v>
      </c>
      <c r="AD7" s="546">
        <f>Feb!$I$55</f>
        <v>-1492728.8649899999</v>
      </c>
      <c r="AE7" s="546">
        <f>Mar!I55</f>
        <v>-772819.73601999972</v>
      </c>
      <c r="AF7" s="546">
        <f>Apr!I55</f>
        <v>-46824.414412000682</v>
      </c>
      <c r="AH7" s="493" t="s">
        <v>286</v>
      </c>
      <c r="AI7" s="521">
        <v>191010</v>
      </c>
      <c r="AJ7" s="354" t="s">
        <v>280</v>
      </c>
      <c r="AK7" s="354" t="s">
        <v>281</v>
      </c>
      <c r="AL7" s="377">
        <f>IF((SUMIF(E3:AF3,AH4,E6:AF6)+SUMIF(E3:AF3,AH4,E7:AF7)+SUMIF(E3:AF3,AH4,E8:AF8))&gt;0,(SUMIF(E3:AF3,AH4,E6:AF6)+SUMIF(E3:AF3,AH4,E7:AF7)+SUMIF(E3:AF3,AH4,E8:AF8)),0)</f>
        <v>0</v>
      </c>
      <c r="AM7" s="494">
        <f>IF((SUMIF(E3:AF3,AH4,E6:AF6)+SUMIF(E3:AF3,AH4,E7:AF7)+SUMIF(E3:AF3,AH4,E8:AF8))&lt;0,-(SUMIF(E3:AF3,AH4,E6:AF6)+SUMIF(E3:AF3,AH4,E7:AF7)++SUMIF(E3:AF3,AH4,E8:AF8)),0)</f>
        <v>1388249.7702520003</v>
      </c>
      <c r="AO7" s="478" t="str">
        <f>_xll.GLW_Segment_Description(AI7,2,2)</f>
        <v>CURR UNRECOV PGA DEFERRED</v>
      </c>
    </row>
    <row r="8" spans="1:43">
      <c r="B8" s="477" t="s">
        <v>254</v>
      </c>
      <c r="C8" s="478">
        <f t="shared" si="17"/>
        <v>-530200.14</v>
      </c>
      <c r="D8" s="478">
        <f t="shared" si="16"/>
        <v>-912326.38</v>
      </c>
      <c r="E8" s="570">
        <v>-20214.939999999999</v>
      </c>
      <c r="F8" s="570">
        <v>-23942.62</v>
      </c>
      <c r="G8" s="570">
        <v>-26591.8</v>
      </c>
      <c r="H8" s="570">
        <v>-32465.84</v>
      </c>
      <c r="I8" s="570">
        <v>-35892.18</v>
      </c>
      <c r="J8" s="570">
        <v>-38812.93</v>
      </c>
      <c r="K8" s="597">
        <v>-42685.8</v>
      </c>
      <c r="L8" s="597">
        <v>-44837.85</v>
      </c>
      <c r="M8" s="597">
        <v>-46549.3</v>
      </c>
      <c r="N8" s="597">
        <v>-47822.84</v>
      </c>
      <c r="O8" s="597">
        <f>ROUND(((O5+O9+O10+O11)*(O4/12))+((SUM(O6:O7)/2)*(O4/12)),2)</f>
        <v>-7903.46</v>
      </c>
      <c r="P8" s="597">
        <v>-14406.68</v>
      </c>
      <c r="Q8" s="597">
        <f t="shared" ref="Q8:U8" si="18">ROUND(((Q5)*(Q4/12))+((SUM(Q6:Q7)/2)*(Q4/12)),2)</f>
        <v>-24852.09</v>
      </c>
      <c r="R8" s="597">
        <f t="shared" si="18"/>
        <v>-32890.959999999999</v>
      </c>
      <c r="S8" s="597">
        <f t="shared" si="18"/>
        <v>-38340.61</v>
      </c>
      <c r="T8" s="597">
        <f t="shared" si="18"/>
        <v>-45012.82</v>
      </c>
      <c r="U8" s="597">
        <f t="shared" si="18"/>
        <v>-46722.57</v>
      </c>
      <c r="V8" s="597">
        <f>ROUND(((V5)*(V4/12))+((SUM(V6:V7)/2)*(V4/12)),2)</f>
        <v>-46101.69</v>
      </c>
      <c r="W8" s="543">
        <f t="shared" ref="W8:Y8" si="19">ROUND(((W5)*(W4/12))+((SUM(W6:W7)/2)*(W4/12)),2)</f>
        <v>-50540.18</v>
      </c>
      <c r="X8" s="543">
        <f>ROUND(((X5)*(X4/12))+((SUM(X6:X7)/2)*(X4/12)),2)</f>
        <v>-54174.23</v>
      </c>
      <c r="Y8" s="543">
        <f t="shared" si="19"/>
        <v>-59202.79</v>
      </c>
      <c r="Z8" s="543">
        <f>ROUND(((Z5)*(Z4/12))+((SUM(Z6:Z7)/2)*(Z4/12)),2)</f>
        <v>-71650.12</v>
      </c>
      <c r="AA8" s="543">
        <f>ROUND(((AA5+AA9+AA10+AA11)*(AA4/12))+((SUM(AA6:AA7)/2)*(AA4/12)),2)</f>
        <v>-26920.61</v>
      </c>
      <c r="AB8" s="485">
        <f>ROUND(((AB5)*(AB4/12))+((SUM(AB6:AB7)/2)*(AB4/12)),2)</f>
        <v>-33791.47</v>
      </c>
      <c r="AC8" s="485">
        <f>ROUND(((AC5)*(AC4/12))+((SUM(AC6:AC7)/2)*(AC4/12)),2)</f>
        <v>-43012.9</v>
      </c>
      <c r="AD8" s="543">
        <f>ROUND(((AD5)*(AD4/12))+((SUM(AD6:AD7)/2)*(AD4/12)),2)</f>
        <v>-46825.06</v>
      </c>
      <c r="AE8" s="543">
        <f>ROUND(((AE5)*(AE4/12))+((SUM(AE6:AE7)/2)*(AE4/12)),2)</f>
        <v>-47881.06</v>
      </c>
      <c r="AF8" s="543">
        <f>ROUND(((AF5)*(AF4/12))+((SUM(AF6:AF7)/2)*(AF4/12)),2)</f>
        <v>-53973.95</v>
      </c>
      <c r="AH8" s="493" t="s">
        <v>287</v>
      </c>
      <c r="AI8" s="521">
        <v>805120</v>
      </c>
      <c r="AJ8" s="354" t="s">
        <v>280</v>
      </c>
      <c r="AK8" s="354" t="s">
        <v>281</v>
      </c>
      <c r="AL8" s="377">
        <f>IF((SUMIF(E3:AF3,AH4,E6:AF6)+SUMIF(E3:AF3,AH4,E7:AF7))&lt;0,-(SUMIF(E3:AF3,AH4,E6:AF6)+SUMIF(E3:AF3,AH4,E7:AF7)),0)</f>
        <v>1334275.8202520004</v>
      </c>
      <c r="AM8" s="494">
        <f>IF((SUMIF(E3:AF3,AH4,E6:AF6)+SUMIF(E3:AF3,AH4,E7:AF7))&gt;0,(SUMIF(E3:AF3,AH4,E6:AF6)+SUMIF(E3:AF3,AH4,E7:AF7)),0)</f>
        <v>0</v>
      </c>
      <c r="AO8" s="478" t="str">
        <f>_xll.GLW_Segment_Description(AI8,2,2)</f>
        <v>DEFER CURRENT UNRECOVERED GAS COSTS</v>
      </c>
    </row>
    <row r="9" spans="1:43">
      <c r="B9" s="477" t="s">
        <v>258</v>
      </c>
      <c r="C9" s="478">
        <f t="shared" si="17"/>
        <v>9937543.9160110056</v>
      </c>
      <c r="D9" s="478">
        <f t="shared" si="16"/>
        <v>24087163.011451997</v>
      </c>
      <c r="E9" s="478">
        <v>0</v>
      </c>
      <c r="F9" s="478">
        <v>0</v>
      </c>
      <c r="G9" s="478">
        <v>0</v>
      </c>
      <c r="H9" s="478">
        <v>0</v>
      </c>
      <c r="I9" s="478">
        <v>0</v>
      </c>
      <c r="J9" s="478">
        <v>0</v>
      </c>
      <c r="K9" s="478">
        <v>0</v>
      </c>
      <c r="L9" s="478">
        <v>0</v>
      </c>
      <c r="M9" s="478">
        <v>0</v>
      </c>
      <c r="N9" s="478">
        <v>0</v>
      </c>
      <c r="O9" s="578">
        <v>14149619.095440991</v>
      </c>
      <c r="P9" s="478">
        <v>0</v>
      </c>
      <c r="Q9" s="546">
        <v>0</v>
      </c>
      <c r="R9" s="546">
        <v>0</v>
      </c>
      <c r="S9" s="546">
        <v>0</v>
      </c>
      <c r="T9" s="546">
        <v>0</v>
      </c>
      <c r="U9" s="546">
        <v>0</v>
      </c>
      <c r="V9" s="546">
        <v>0</v>
      </c>
      <c r="W9" s="546">
        <v>0</v>
      </c>
      <c r="X9" s="546">
        <v>0</v>
      </c>
      <c r="Y9" s="546">
        <v>0</v>
      </c>
      <c r="Z9" s="546">
        <v>0</v>
      </c>
      <c r="AA9" s="594">
        <f>-SUM(K6:V6)</f>
        <v>9937543.9160110056</v>
      </c>
      <c r="AB9" s="478">
        <v>0</v>
      </c>
      <c r="AC9" s="478">
        <v>0</v>
      </c>
      <c r="AD9" s="546">
        <v>0</v>
      </c>
      <c r="AE9" s="546">
        <v>0</v>
      </c>
      <c r="AF9" s="546">
        <v>0</v>
      </c>
      <c r="AH9" s="493" t="s">
        <v>11</v>
      </c>
      <c r="AI9" s="521">
        <v>191010</v>
      </c>
      <c r="AJ9" s="354" t="s">
        <v>280</v>
      </c>
      <c r="AK9" s="354" t="s">
        <v>281</v>
      </c>
      <c r="AL9" s="377">
        <f>IF((SUMIF(E3:AF3,AH4,E9:AF9)+SUMIF(E3:AF3,AH4,E10:AF10)+SUMIF(E3:AF3,AH4,E11:AF11)+SUMIF(E3:AF3,AH4,E12:AF12))&gt;0,(SUMIF(E3:AF3,AH4,E9:AF9)+SUMIF(E3:AF3,AH4,E10:AF10)+SUMIF(E3:AF3,AH4,E11:AF11)+SUMIF(E3:AF3,AH4,E12:AF12)),0)</f>
        <v>0</v>
      </c>
      <c r="AM9" s="494">
        <v>0</v>
      </c>
      <c r="AO9" s="478" t="str">
        <f>_xll.GLW_Segment_Description(AI9,2,2)</f>
        <v>CURR UNRECOV PGA DEFERRED</v>
      </c>
    </row>
    <row r="10" spans="1:43" ht="16.5" thickBot="1">
      <c r="B10" s="477" t="s">
        <v>259</v>
      </c>
      <c r="C10" s="478">
        <f t="shared" si="17"/>
        <v>4395506.8166949991</v>
      </c>
      <c r="D10" s="478">
        <f t="shared" si="16"/>
        <v>4181620.6216329979</v>
      </c>
      <c r="E10" s="478">
        <v>0</v>
      </c>
      <c r="F10" s="478">
        <v>0</v>
      </c>
      <c r="G10" s="478">
        <v>0</v>
      </c>
      <c r="H10" s="478">
        <v>0</v>
      </c>
      <c r="I10" s="478">
        <v>0</v>
      </c>
      <c r="J10" s="478">
        <v>0</v>
      </c>
      <c r="K10" s="478">
        <v>0</v>
      </c>
      <c r="L10" s="478">
        <v>0</v>
      </c>
      <c r="M10" s="478">
        <v>0</v>
      </c>
      <c r="N10" s="478">
        <v>0</v>
      </c>
      <c r="O10" s="579">
        <v>-213886.19506200103</v>
      </c>
      <c r="P10" s="478">
        <v>0</v>
      </c>
      <c r="Q10" s="546">
        <v>0</v>
      </c>
      <c r="R10" s="546">
        <v>0</v>
      </c>
      <c r="S10" s="546">
        <v>0</v>
      </c>
      <c r="T10" s="546">
        <v>0</v>
      </c>
      <c r="U10" s="546">
        <v>0</v>
      </c>
      <c r="V10" s="546">
        <v>0</v>
      </c>
      <c r="W10" s="546">
        <v>0</v>
      </c>
      <c r="X10" s="546">
        <v>0</v>
      </c>
      <c r="Y10" s="546">
        <v>0</v>
      </c>
      <c r="Z10" s="546">
        <v>0</v>
      </c>
      <c r="AA10" s="596">
        <f>-SUM(K7:V7)</f>
        <v>4395506.8166949991</v>
      </c>
      <c r="AB10" s="478">
        <v>0</v>
      </c>
      <c r="AC10" s="478">
        <v>0</v>
      </c>
      <c r="AD10" s="546">
        <v>0</v>
      </c>
      <c r="AE10" s="546">
        <v>0</v>
      </c>
      <c r="AF10" s="546">
        <v>0</v>
      </c>
      <c r="AH10" s="495" t="str">
        <f>AH9</f>
        <v>Tracker Transfer</v>
      </c>
      <c r="AI10" s="522">
        <f>AI37</f>
        <v>191000</v>
      </c>
      <c r="AJ10" s="522" t="str">
        <f>AJ37</f>
        <v>GD</v>
      </c>
      <c r="AK10" s="522" t="str">
        <f>AK37</f>
        <v>WA</v>
      </c>
      <c r="AL10" s="496">
        <v>0</v>
      </c>
      <c r="AM10" s="514">
        <f>AL9</f>
        <v>0</v>
      </c>
      <c r="AO10" s="478" t="str">
        <f>_xll.GLW_Segment_Description(AI10,2,2)</f>
        <v>RECOVERABLE GAS COSTS AMORTIZED</v>
      </c>
    </row>
    <row r="11" spans="1:43" ht="16.5" thickBot="1">
      <c r="B11" s="477" t="s">
        <v>260</v>
      </c>
      <c r="C11" s="478">
        <f t="shared" si="17"/>
        <v>438126.67</v>
      </c>
      <c r="D11" s="478">
        <f t="shared" si="16"/>
        <v>684577.32</v>
      </c>
      <c r="E11" s="478">
        <v>0</v>
      </c>
      <c r="F11" s="478">
        <v>0</v>
      </c>
      <c r="G11" s="478">
        <v>0</v>
      </c>
      <c r="H11" s="478">
        <v>0</v>
      </c>
      <c r="I11" s="478">
        <v>0</v>
      </c>
      <c r="J11" s="478">
        <v>0</v>
      </c>
      <c r="K11" s="478">
        <v>0</v>
      </c>
      <c r="L11" s="478">
        <v>0</v>
      </c>
      <c r="M11" s="478">
        <v>0</v>
      </c>
      <c r="N11" s="478">
        <v>0</v>
      </c>
      <c r="O11" s="580">
        <v>246450.64999999997</v>
      </c>
      <c r="P11" s="478">
        <v>0</v>
      </c>
      <c r="Q11" s="546">
        <v>0</v>
      </c>
      <c r="R11" s="546">
        <v>0</v>
      </c>
      <c r="S11" s="546">
        <v>0</v>
      </c>
      <c r="T11" s="546">
        <v>0</v>
      </c>
      <c r="U11" s="546">
        <v>0</v>
      </c>
      <c r="V11" s="546">
        <v>0</v>
      </c>
      <c r="W11" s="546">
        <v>0</v>
      </c>
      <c r="X11" s="546">
        <v>0</v>
      </c>
      <c r="Y11" s="546">
        <v>0</v>
      </c>
      <c r="Z11" s="546">
        <v>0</v>
      </c>
      <c r="AA11" s="598">
        <f>-SUM(K8:V8)</f>
        <v>438126.67</v>
      </c>
      <c r="AB11" s="478">
        <v>0</v>
      </c>
      <c r="AC11" s="478">
        <v>0</v>
      </c>
      <c r="AD11" s="546">
        <v>0</v>
      </c>
      <c r="AE11" s="546">
        <v>0</v>
      </c>
      <c r="AF11" s="546">
        <v>0</v>
      </c>
      <c r="AH11" s="509"/>
      <c r="AI11" s="523"/>
      <c r="AJ11" s="510"/>
      <c r="AK11" s="510"/>
      <c r="AL11" s="510" t="s">
        <v>159</v>
      </c>
      <c r="AM11" s="511">
        <f>SUM(AL5:AL10)-SUM(AM5:AM10)</f>
        <v>0</v>
      </c>
    </row>
    <row r="12" spans="1:43">
      <c r="B12" s="477" t="s">
        <v>148</v>
      </c>
      <c r="C12" s="478">
        <f>SUM(Q12:AB12)</f>
        <v>35.15</v>
      </c>
      <c r="D12" s="478">
        <f t="shared" si="16"/>
        <v>35.559999999999995</v>
      </c>
      <c r="E12" s="478">
        <v>0</v>
      </c>
      <c r="F12" s="478">
        <v>0</v>
      </c>
      <c r="G12" s="478">
        <v>0</v>
      </c>
      <c r="H12" s="478">
        <v>0</v>
      </c>
      <c r="I12" s="478">
        <v>0</v>
      </c>
      <c r="J12" s="478">
        <v>0</v>
      </c>
      <c r="K12" s="478">
        <v>0</v>
      </c>
      <c r="L12" s="478">
        <v>0</v>
      </c>
      <c r="M12" s="478">
        <v>0</v>
      </c>
      <c r="N12" s="478">
        <v>0</v>
      </c>
      <c r="O12" s="581">
        <v>0.41</v>
      </c>
      <c r="P12" s="478">
        <v>0</v>
      </c>
      <c r="Q12" s="546">
        <v>0</v>
      </c>
      <c r="R12" s="546">
        <v>0</v>
      </c>
      <c r="S12" s="546">
        <v>0</v>
      </c>
      <c r="T12" s="546">
        <v>0</v>
      </c>
      <c r="U12" s="546">
        <v>0</v>
      </c>
      <c r="V12" s="546">
        <v>0</v>
      </c>
      <c r="W12" s="546">
        <v>0</v>
      </c>
      <c r="X12" s="546">
        <v>0</v>
      </c>
      <c r="Y12" s="546">
        <v>0</v>
      </c>
      <c r="Z12" s="546">
        <v>0</v>
      </c>
      <c r="AA12" s="581">
        <v>35.15</v>
      </c>
      <c r="AB12" s="478">
        <v>0</v>
      </c>
      <c r="AC12" s="478">
        <v>0</v>
      </c>
      <c r="AD12" s="546">
        <v>0</v>
      </c>
      <c r="AE12" s="546">
        <v>0</v>
      </c>
      <c r="AF12" s="546">
        <v>0</v>
      </c>
    </row>
    <row r="13" spans="1:43" ht="16.5" thickBot="1">
      <c r="B13" s="477" t="s">
        <v>56</v>
      </c>
      <c r="C13" s="531">
        <f>SUM(C5:C12)</f>
        <v>-4289254.751539005</v>
      </c>
      <c r="D13" s="531">
        <f>SUM(D5:D12)</f>
        <v>-11107523.789348787</v>
      </c>
      <c r="E13" s="531">
        <v>-8439847.1132167727</v>
      </c>
      <c r="F13" s="531">
        <f>SUM(F5:F12)</f>
        <v>-9264796.9494047705</v>
      </c>
      <c r="G13" s="531">
        <f t="shared" ref="G13:N13" si="20">SUM(G5:G12)</f>
        <v>-10398819.535470769</v>
      </c>
      <c r="H13" s="531">
        <f t="shared" si="20"/>
        <v>-12153304.785960769</v>
      </c>
      <c r="I13" s="531">
        <f t="shared" si="20"/>
        <v>-12778894.072104771</v>
      </c>
      <c r="J13" s="531">
        <f>SUM(J5:J12)</f>
        <v>-14182183.944992768</v>
      </c>
      <c r="K13" s="531">
        <f>SUM(K5:K12)</f>
        <v>-15130761.40771677</v>
      </c>
      <c r="L13" s="531">
        <f t="shared" si="20"/>
        <v>-15660034.00335677</v>
      </c>
      <c r="M13" s="531">
        <f>SUM(M5:M12)</f>
        <v>-16306032.832939774</v>
      </c>
      <c r="N13" s="531">
        <f t="shared" si="20"/>
        <v>-16534597.329101773</v>
      </c>
      <c r="O13" s="577">
        <f>SUM(O5:O12)</f>
        <v>-3075004.5709557864</v>
      </c>
      <c r="P13" s="531">
        <f>SUM(P5:P12)</f>
        <v>-6818269.0378097855</v>
      </c>
      <c r="Q13" s="531">
        <f>SUM(Q5:Q12)</f>
        <v>-10248016.525328787</v>
      </c>
      <c r="R13" s="531">
        <f>SUM(R5:R12)</f>
        <v>-12338677.191237787</v>
      </c>
      <c r="S13" s="531">
        <f>SUM(S5:S12)</f>
        <v>-13990367.081666788</v>
      </c>
      <c r="T13" s="531">
        <f t="shared" ref="T13:U13" si="21">SUM(T5:T12)</f>
        <v>-15173451.409781789</v>
      </c>
      <c r="U13" s="531">
        <f t="shared" si="21"/>
        <v>-15098116.96234579</v>
      </c>
      <c r="V13" s="531">
        <f>SUM(V5:V12)</f>
        <v>-14771177.38731979</v>
      </c>
      <c r="W13" s="531">
        <f t="shared" ref="W13:X13" si="22">SUM(W5:W12)</f>
        <v>-15909772.702550791</v>
      </c>
      <c r="X13" s="531">
        <f t="shared" si="22"/>
        <v>-16977268.897435792</v>
      </c>
      <c r="Y13" s="531">
        <f>SUM(Y5:Y12)</f>
        <v>-18962414.798894793</v>
      </c>
      <c r="Z13" s="531">
        <f t="shared" ref="Z13" si="23">SUM(Z5:Z12)</f>
        <v>-21954910.563472789</v>
      </c>
      <c r="AA13" s="577">
        <f t="shared" ref="AA13:AF13" si="24">SUM(AA5:AA12)</f>
        <v>-8189815.5396147836</v>
      </c>
      <c r="AB13" s="531">
        <f t="shared" si="24"/>
        <v>-11107523.78934879</v>
      </c>
      <c r="AC13" s="531">
        <f t="shared" si="24"/>
        <v>-13225129.045603791</v>
      </c>
      <c r="AD13" s="583">
        <f t="shared" si="24"/>
        <v>-13264083.729049791</v>
      </c>
      <c r="AE13" s="583">
        <f t="shared" si="24"/>
        <v>-13822513.408797791</v>
      </c>
      <c r="AF13" s="583">
        <f t="shared" si="24"/>
        <v>-15210763.179049792</v>
      </c>
    </row>
    <row r="14" spans="1:43" ht="17.25" thickTop="1" thickBot="1">
      <c r="B14" s="477" t="s">
        <v>256</v>
      </c>
      <c r="D14" s="478">
        <f>_xll.Get_Balance(AB3,"YTD","USD","Total","A","","001",$A$3,"GD","WA","DL")</f>
        <v>-11107523.800000001</v>
      </c>
      <c r="E14" s="478">
        <v>-8432290.1199999992</v>
      </c>
      <c r="F14" s="478">
        <f>_xll.Get_Balance(F3,"YTD","USD","Total","A","","001",$A$3,"GD","WA","DL")</f>
        <v>-9264796.9499999993</v>
      </c>
      <c r="G14" s="478">
        <f>_xll.Get_Balance(G3,"YTD","USD","Total","A","","001",$A$3,"GD","WA","DL")</f>
        <v>-10398819.539999999</v>
      </c>
      <c r="H14" s="478">
        <f>_xll.Get_Balance(H3,"YTD","USD","Total","A","","001",$A$3,"GD","WA","DL")</f>
        <v>-12153304.789999999</v>
      </c>
      <c r="I14" s="478">
        <f>_xll.Get_Balance(I3,"YTD","USD","Total","A","","001",$A$3,"GD","WA","DL")</f>
        <v>-12778894.08</v>
      </c>
      <c r="J14" s="576">
        <f>_xll.Get_Balance(J3,"YTD","USD","Total","A","","001",$A$3,"GD","WA","DL")</f>
        <v>-14182183.949999999</v>
      </c>
      <c r="K14" s="478">
        <f>_xll.Get_Balance(K3,"YTD","USD","Total","A","","001",$A$3,"GD","WA","DL")</f>
        <v>-15130761.41</v>
      </c>
      <c r="L14" s="478">
        <f>_xll.Get_Balance(L3,"YTD","USD","Total","A","","001",$A$3,"GD","WA","DL")</f>
        <v>-15660034.01</v>
      </c>
      <c r="M14" s="478">
        <f>_xll.Get_Balance(M3,"YTD","USD","Total","A","","001",$A$3,"GD","WA","DL")</f>
        <v>-16306032.84</v>
      </c>
      <c r="N14" s="478">
        <f>_xll.Get_Balance(N3,"YTD","USD","Total","A","","001",$A$3,"GD","WA","DL")</f>
        <v>-16534597.34</v>
      </c>
      <c r="O14" s="478">
        <f>_xll.Get_Balance(O3,"YTD","USD","Total","A","","001",$A$3,"GD","WA","DL")</f>
        <v>-3075004.58</v>
      </c>
      <c r="P14" s="478">
        <f>_xll.Get_Balance(P3,"YTD","USD","Total","A","","001",$A$3,"GD","WA","DL")</f>
        <v>-6818269.0499999998</v>
      </c>
      <c r="Q14" s="478">
        <f>_xll.Get_Balance(Q3,"YTD","USD","Total","A","","001",$A$3,"GD","WA","DL")</f>
        <v>-10248016.539999999</v>
      </c>
      <c r="R14" s="478">
        <f>_xll.Get_Balance(R3,"YTD","USD","Total","A","","001",$A$3,"GD","WA","DL")</f>
        <v>-12338677.210000001</v>
      </c>
      <c r="S14" s="478">
        <f>_xll.Get_Balance(S3,"YTD","USD","Total","A","","001",$A$3,"GD","WA","DL")</f>
        <v>-13990367.1</v>
      </c>
      <c r="T14" s="478">
        <f>_xll.Get_Balance(T3,"YTD","USD","Total","A","","001",$A$3,"GD","WA","DL")</f>
        <v>-15173451.43</v>
      </c>
      <c r="U14" s="478">
        <f>_xll.Get_Balance(U3,"YTD","USD","Total","A","","001",$A$3,"GD","WA","DL")</f>
        <v>-15098116.98</v>
      </c>
      <c r="V14" s="595">
        <f>_xll.Get_Balance(V3,"YTD","USD","Total","A","","001",$A$3,"GD","WA","DL")</f>
        <v>-14771177.4</v>
      </c>
      <c r="W14" s="478">
        <f>_xll.Get_Balance(W3,"YTD","USD","Total","A","","001",$A$3,"GD","WA","DL")</f>
        <v>-15909772.720000001</v>
      </c>
      <c r="X14" s="478">
        <f>_xll.Get_Balance(X3,"YTD","USD","Total","A","","001",$A$3,"GD","WA","DL")</f>
        <v>-16977268.91</v>
      </c>
      <c r="Y14" s="478">
        <f>_xll.Get_Balance(Y3,"YTD","USD","Total","A","","001",$A$3,"GD","WA","DL")</f>
        <v>-18962414.809999999</v>
      </c>
      <c r="Z14" s="478">
        <f>_xll.Get_Balance(Z3,"YTD","USD","Total","A","","001",$A$3,"GD","WA","DL")</f>
        <v>-21954910.57</v>
      </c>
      <c r="AA14" s="478">
        <f>_xll.Get_Balance(AA3,"YTD","USD","Total","A","","001",$A$3,"GD","WA","DL")</f>
        <v>-8189815.5499999998</v>
      </c>
      <c r="AB14" s="478">
        <f>_xll.Get_Balance(AB3,"YTD","USD","Total","A","","001",$A$3,"GD","WA","DL")</f>
        <v>-11107523.800000001</v>
      </c>
      <c r="AC14" s="478">
        <f>_xll.Get_Balance(AC3,"YTD","USD","Total","A","","001",$A$3,"GD","WA","DL")</f>
        <v>-13242800.26</v>
      </c>
      <c r="AD14" s="546">
        <f>_xll.Get_Balance(AD3,"YTD","USD","Total","A","","001",$A$3,"GD","WA","DL")</f>
        <v>-13281817.529999999</v>
      </c>
      <c r="AE14" s="546">
        <f>_xll.Get_Balance(AE3,"YTD","USD","Total","A","","001",$A$3,"GD","WA","DL")</f>
        <v>-13840310.02</v>
      </c>
      <c r="AF14" s="546">
        <f>_xll.Get_Balance(AF3,"YTD","USD","Total","A","","001",$A$3,"GD","WA","DL")</f>
        <v>-15210763.189999999</v>
      </c>
      <c r="AH14" s="534" t="s">
        <v>347</v>
      </c>
      <c r="AI14" s="519"/>
      <c r="AJ14" s="507"/>
      <c r="AK14" s="507"/>
      <c r="AL14" s="507"/>
      <c r="AM14" s="508"/>
    </row>
    <row r="15" spans="1:43">
      <c r="B15" s="477" t="s">
        <v>243</v>
      </c>
      <c r="E15" s="478">
        <v>-7556.9932167734951</v>
      </c>
      <c r="F15" s="478">
        <f t="shared" ref="F15:I15" si="25">F13-F14</f>
        <v>5.9522874653339386E-4</v>
      </c>
      <c r="G15" s="478">
        <f t="shared" si="25"/>
        <v>4.5292302966117859E-3</v>
      </c>
      <c r="H15" s="478">
        <f t="shared" si="25"/>
        <v>4.0392298251390457E-3</v>
      </c>
      <c r="I15" s="478">
        <f t="shared" si="25"/>
        <v>7.895229384303093E-3</v>
      </c>
      <c r="J15" s="478">
        <f t="shared" ref="J15:N15" si="26">J13-J14</f>
        <v>5.0072316080331802E-3</v>
      </c>
      <c r="K15" s="478">
        <f>K13-K14</f>
        <v>2.2832304239273071E-3</v>
      </c>
      <c r="L15" s="478">
        <f t="shared" si="26"/>
        <v>6.6432300955057144E-3</v>
      </c>
      <c r="M15" s="478">
        <f t="shared" si="26"/>
        <v>7.0602260529994965E-3</v>
      </c>
      <c r="N15" s="478">
        <f t="shared" si="26"/>
        <v>1.0898226872086525E-2</v>
      </c>
      <c r="O15" s="478">
        <f>O13-O14</f>
        <v>9.0442136861383915E-3</v>
      </c>
      <c r="P15" s="478">
        <f>P13-P14</f>
        <v>1.2190214358270168E-2</v>
      </c>
      <c r="Q15" s="478">
        <f>Q13-Q14</f>
        <v>1.4671212062239647E-2</v>
      </c>
      <c r="R15" s="478">
        <f t="shared" ref="R15:Z15" si="27">R13-R14</f>
        <v>1.8762214109301567E-2</v>
      </c>
      <c r="S15" s="478">
        <f t="shared" si="27"/>
        <v>1.8333211541175842E-2</v>
      </c>
      <c r="T15" s="478">
        <f t="shared" si="27"/>
        <v>2.021821029484272E-2</v>
      </c>
      <c r="U15" s="478">
        <f t="shared" si="27"/>
        <v>1.7654210329055786E-2</v>
      </c>
      <c r="V15" s="478">
        <f t="shared" si="27"/>
        <v>1.2680210173130035E-2</v>
      </c>
      <c r="W15" s="478">
        <f t="shared" si="27"/>
        <v>1.7449209466576576E-2</v>
      </c>
      <c r="X15" s="478">
        <f t="shared" si="27"/>
        <v>1.256420835852623E-2</v>
      </c>
      <c r="Y15" s="478">
        <f t="shared" si="27"/>
        <v>1.1105205863714218E-2</v>
      </c>
      <c r="Z15" s="478">
        <f t="shared" si="27"/>
        <v>6.5272115170955658E-3</v>
      </c>
      <c r="AA15" s="478">
        <f t="shared" ref="AA15:AF15" si="28">AA13-AA14</f>
        <v>1.038521621376276E-2</v>
      </c>
      <c r="AB15" s="478">
        <f t="shared" si="28"/>
        <v>1.0651210322976112E-2</v>
      </c>
      <c r="AC15" s="478">
        <f t="shared" si="28"/>
        <v>17671.214396208525</v>
      </c>
      <c r="AD15" s="546">
        <f t="shared" si="28"/>
        <v>17733.800950208679</v>
      </c>
      <c r="AE15" s="546">
        <f t="shared" si="28"/>
        <v>17796.611202208325</v>
      </c>
      <c r="AF15" s="546">
        <f t="shared" si="28"/>
        <v>1.0950207710266113E-2</v>
      </c>
      <c r="AH15" s="491" t="s">
        <v>284</v>
      </c>
      <c r="AI15" s="520">
        <v>419600</v>
      </c>
      <c r="AJ15" s="492" t="s">
        <v>280</v>
      </c>
      <c r="AK15" s="492" t="s">
        <v>281</v>
      </c>
      <c r="AL15" s="512">
        <v>0</v>
      </c>
      <c r="AM15" s="513">
        <f>IF(SUMIF(E13:AE13,AH14,E18:AE18)&gt;0,SUMIF(E13:AE13,AH14,E18:AE18),0)</f>
        <v>0</v>
      </c>
      <c r="AP15" s="478">
        <f>AL17+AL24</f>
        <v>17796.600000000188</v>
      </c>
      <c r="AQ15" s="478">
        <f>AP15-AE15</f>
        <v>-1.1202208137547132E-2</v>
      </c>
    </row>
    <row r="16" spans="1:43">
      <c r="A16" s="479" t="s">
        <v>263</v>
      </c>
      <c r="AD16" s="546"/>
      <c r="AE16" s="546"/>
      <c r="AF16" s="546"/>
      <c r="AH16" s="493" t="s">
        <v>285</v>
      </c>
      <c r="AI16" s="521">
        <v>431600</v>
      </c>
      <c r="AJ16" s="354" t="s">
        <v>280</v>
      </c>
      <c r="AK16" s="354" t="s">
        <v>281</v>
      </c>
      <c r="AL16" s="377">
        <f>IF(SUMIF(E13:AE13,AH14,E18:AE18)&lt;0,-SUMIF(E13:AE13,AH14,E18:AE18),0)</f>
        <v>0</v>
      </c>
      <c r="AM16" s="494">
        <f>43044.14-43012.9</f>
        <v>31.239999999997963</v>
      </c>
    </row>
    <row r="17" spans="1:41">
      <c r="A17" s="479" t="s">
        <v>310</v>
      </c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528"/>
      <c r="Y17" s="528"/>
      <c r="Z17" s="528"/>
      <c r="AA17" s="528"/>
      <c r="AB17" s="528"/>
      <c r="AC17" s="528"/>
      <c r="AD17" s="601"/>
      <c r="AE17" s="601"/>
      <c r="AF17" s="601"/>
      <c r="AH17" s="493" t="s">
        <v>286</v>
      </c>
      <c r="AI17" s="521">
        <v>191010</v>
      </c>
      <c r="AJ17" s="354" t="s">
        <v>280</v>
      </c>
      <c r="AK17" s="354" t="s">
        <v>281</v>
      </c>
      <c r="AL17" s="377">
        <f>2135276.46-2117605.26</f>
        <v>17671.200000000186</v>
      </c>
      <c r="AM17" s="494">
        <f>IF((SUMIF(E13:AE13,AH14,E16:AE16)+SUMIF(E13:AE13,AH14,E17:AE17)+SUMIF(E13:AE13,AH14,E18:AE18))&lt;0,-(SUMIF(E13:AE13,AH14,E16:AE16)+SUMIF(E13:AE13,AH14,E17:AE17)++SUMIF(E13:AE13,AH14,E18:AE18)),0)</f>
        <v>0</v>
      </c>
    </row>
    <row r="18" spans="1:41">
      <c r="A18" s="480">
        <v>191000</v>
      </c>
      <c r="B18" s="481" t="s">
        <v>252</v>
      </c>
      <c r="C18" s="482" t="s">
        <v>248</v>
      </c>
      <c r="D18" s="482" t="s">
        <v>249</v>
      </c>
      <c r="E18" s="480">
        <v>201601</v>
      </c>
      <c r="F18" s="480">
        <f>E18+1</f>
        <v>201602</v>
      </c>
      <c r="G18" s="480">
        <f t="shared" ref="G18:P18" si="29">F18+1</f>
        <v>201603</v>
      </c>
      <c r="H18" s="480">
        <f t="shared" si="29"/>
        <v>201604</v>
      </c>
      <c r="I18" s="480">
        <f t="shared" si="29"/>
        <v>201605</v>
      </c>
      <c r="J18" s="480">
        <f t="shared" si="29"/>
        <v>201606</v>
      </c>
      <c r="K18" s="480">
        <f t="shared" si="29"/>
        <v>201607</v>
      </c>
      <c r="L18" s="480">
        <f t="shared" si="29"/>
        <v>201608</v>
      </c>
      <c r="M18" s="480">
        <f t="shared" si="29"/>
        <v>201609</v>
      </c>
      <c r="N18" s="480">
        <f t="shared" si="29"/>
        <v>201610</v>
      </c>
      <c r="O18" s="480">
        <f t="shared" si="29"/>
        <v>201611</v>
      </c>
      <c r="P18" s="480">
        <f t="shared" si="29"/>
        <v>201612</v>
      </c>
      <c r="Q18" s="480">
        <f>Q3</f>
        <v>201701</v>
      </c>
      <c r="R18" s="480">
        <f>Q18+1</f>
        <v>201702</v>
      </c>
      <c r="S18" s="480">
        <f t="shared" ref="S18" si="30">R18+1</f>
        <v>201703</v>
      </c>
      <c r="T18" s="480">
        <f t="shared" ref="T18" si="31">S18+1</f>
        <v>201704</v>
      </c>
      <c r="U18" s="480">
        <f t="shared" ref="U18" si="32">T18+1</f>
        <v>201705</v>
      </c>
      <c r="V18" s="480">
        <f t="shared" ref="V18" si="33">U18+1</f>
        <v>201706</v>
      </c>
      <c r="W18" s="480">
        <f t="shared" ref="W18" si="34">V18+1</f>
        <v>201707</v>
      </c>
      <c r="X18" s="480">
        <f t="shared" ref="X18" si="35">W18+1</f>
        <v>201708</v>
      </c>
      <c r="Y18" s="480">
        <f t="shared" ref="Y18" si="36">X18+1</f>
        <v>201709</v>
      </c>
      <c r="Z18" s="480">
        <f t="shared" ref="Z18" si="37">Y18+1</f>
        <v>201710</v>
      </c>
      <c r="AA18" s="480">
        <f t="shared" ref="AA18" si="38">Z18+1</f>
        <v>201711</v>
      </c>
      <c r="AB18" s="480">
        <f t="shared" ref="AB18" si="39">AA18+1</f>
        <v>201712</v>
      </c>
      <c r="AC18" s="480">
        <f>AC3</f>
        <v>201801</v>
      </c>
      <c r="AD18" s="567">
        <f>AD3</f>
        <v>201802</v>
      </c>
      <c r="AE18" s="567">
        <f>AE3</f>
        <v>201803</v>
      </c>
      <c r="AF18" s="567">
        <f>AF3</f>
        <v>201804</v>
      </c>
      <c r="AH18" s="493" t="s">
        <v>287</v>
      </c>
      <c r="AI18" s="521">
        <v>805120</v>
      </c>
      <c r="AJ18" s="354" t="s">
        <v>280</v>
      </c>
      <c r="AK18" s="354" t="s">
        <v>281</v>
      </c>
      <c r="AL18" s="377">
        <f>IF((SUMIF(E13:AE13,AH14,E16:AE16)+SUMIF(E13:AE13,AH14,E17:AE17))&lt;0,-(SUMIF(E13:AE13,AH14,E16:AE16)+SUMIF(E13:AE13,AH14,E17:AE17)),0)</f>
        <v>0</v>
      </c>
      <c r="AM18" s="494">
        <f>2092232.32-2074592.36</f>
        <v>17639.959999999963</v>
      </c>
    </row>
    <row r="19" spans="1:41">
      <c r="A19" s="479"/>
      <c r="B19" s="477" t="s">
        <v>37</v>
      </c>
      <c r="C19" s="478">
        <f>SUM(Q19:AB19)</f>
        <v>131594728</v>
      </c>
      <c r="D19" s="486">
        <f t="shared" ref="D19:D24" si="40">SUM(E19:AB19)</f>
        <v>240238598</v>
      </c>
      <c r="E19" s="533">
        <v>20140968</v>
      </c>
      <c r="F19" s="533">
        <v>14297044</v>
      </c>
      <c r="G19" s="533">
        <v>12238194</v>
      </c>
      <c r="H19" s="533">
        <v>5348802</v>
      </c>
      <c r="I19" s="533">
        <v>3384728</v>
      </c>
      <c r="J19" s="533">
        <v>2765049</v>
      </c>
      <c r="K19" s="533">
        <v>2292583</v>
      </c>
      <c r="L19" s="533">
        <v>2354714</v>
      </c>
      <c r="M19" s="533">
        <v>3123052</v>
      </c>
      <c r="N19" s="533">
        <v>7137333</v>
      </c>
      <c r="O19" s="533">
        <v>11352396</v>
      </c>
      <c r="P19" s="533">
        <v>24209007</v>
      </c>
      <c r="Q19" s="587">
        <v>27259641</v>
      </c>
      <c r="R19" s="587">
        <v>19157522</v>
      </c>
      <c r="S19" s="587">
        <v>14316138</v>
      </c>
      <c r="T19" s="587">
        <v>9641125</v>
      </c>
      <c r="U19" s="587">
        <v>4941679</v>
      </c>
      <c r="V19" s="587">
        <v>2542069</v>
      </c>
      <c r="W19" s="587">
        <v>2070483</v>
      </c>
      <c r="X19" s="587">
        <v>2080707</v>
      </c>
      <c r="Y19" s="587">
        <v>3147236</v>
      </c>
      <c r="Z19" s="587">
        <v>8835836</v>
      </c>
      <c r="AA19" s="587">
        <v>14838696</v>
      </c>
      <c r="AB19" s="587">
        <v>22763596</v>
      </c>
      <c r="AC19" s="587">
        <f>Jan!G23</f>
        <v>20257484</v>
      </c>
      <c r="AD19" s="587">
        <f>Feb!G23</f>
        <v>18179866</v>
      </c>
      <c r="AE19" s="587">
        <f>Mar!G23</f>
        <v>15771469</v>
      </c>
      <c r="AF19" s="587">
        <f>Apr!G23</f>
        <v>9759881</v>
      </c>
      <c r="AH19" s="493" t="s">
        <v>11</v>
      </c>
      <c r="AI19" s="521">
        <v>191010</v>
      </c>
      <c r="AJ19" s="354" t="s">
        <v>280</v>
      </c>
      <c r="AK19" s="354" t="s">
        <v>281</v>
      </c>
      <c r="AL19" s="377">
        <v>0</v>
      </c>
      <c r="AM19" s="494">
        <v>0</v>
      </c>
    </row>
    <row r="20" spans="1:41" ht="16.5" thickBot="1">
      <c r="A20" s="479"/>
      <c r="B20" s="552" t="s">
        <v>305</v>
      </c>
      <c r="C20" s="478">
        <f t="shared" ref="C20:C24" si="41">SUM(Q20:AB20)</f>
        <v>188194</v>
      </c>
      <c r="D20" s="486">
        <f t="shared" si="40"/>
        <v>340511</v>
      </c>
      <c r="E20" s="533">
        <v>17893</v>
      </c>
      <c r="F20" s="533">
        <v>14593</v>
      </c>
      <c r="G20" s="533">
        <v>18603</v>
      </c>
      <c r="H20" s="533">
        <v>12171</v>
      </c>
      <c r="I20" s="533">
        <v>5734</v>
      </c>
      <c r="J20" s="533">
        <v>4482</v>
      </c>
      <c r="K20" s="533">
        <v>3610</v>
      </c>
      <c r="L20" s="533">
        <v>2820</v>
      </c>
      <c r="M20" s="533">
        <v>4729</v>
      </c>
      <c r="N20" s="533">
        <v>12809</v>
      </c>
      <c r="O20" s="533">
        <v>19581</v>
      </c>
      <c r="P20" s="533">
        <v>35292</v>
      </c>
      <c r="Q20" s="587">
        <v>40615</v>
      </c>
      <c r="R20" s="587">
        <v>29103</v>
      </c>
      <c r="S20" s="587">
        <v>22738</v>
      </c>
      <c r="T20" s="587">
        <v>15697</v>
      </c>
      <c r="U20" s="587">
        <v>8078</v>
      </c>
      <c r="V20" s="587">
        <v>3619</v>
      </c>
      <c r="W20" s="587">
        <v>2296</v>
      </c>
      <c r="X20" s="587">
        <v>2393</v>
      </c>
      <c r="Y20" s="587">
        <v>3920</v>
      </c>
      <c r="Z20" s="587">
        <v>13952</v>
      </c>
      <c r="AA20" s="587">
        <v>20740</v>
      </c>
      <c r="AB20" s="587">
        <v>25043</v>
      </c>
      <c r="AC20" s="587">
        <f>Jan!G24</f>
        <v>22671</v>
      </c>
      <c r="AD20" s="587">
        <f>Feb!G24</f>
        <v>21014</v>
      </c>
      <c r="AE20" s="587">
        <f>Mar!G24</f>
        <v>19043</v>
      </c>
      <c r="AF20" s="587">
        <f>Apr!G24</f>
        <v>11770</v>
      </c>
      <c r="AH20" s="495" t="s">
        <v>11</v>
      </c>
      <c r="AI20" s="522">
        <v>191000</v>
      </c>
      <c r="AJ20" s="522" t="s">
        <v>280</v>
      </c>
      <c r="AK20" s="522" t="s">
        <v>281</v>
      </c>
      <c r="AL20" s="496">
        <v>0</v>
      </c>
      <c r="AM20" s="514">
        <v>0</v>
      </c>
    </row>
    <row r="21" spans="1:41" ht="16.5" thickBot="1">
      <c r="A21" s="479"/>
      <c r="B21" s="477" t="s">
        <v>38</v>
      </c>
      <c r="C21" s="478">
        <f t="shared" si="41"/>
        <v>51787474</v>
      </c>
      <c r="D21" s="486">
        <f t="shared" si="40"/>
        <v>96346775</v>
      </c>
      <c r="E21" s="533">
        <v>6568112</v>
      </c>
      <c r="F21" s="533">
        <v>5200734</v>
      </c>
      <c r="G21" s="533">
        <v>4795258</v>
      </c>
      <c r="H21" s="533">
        <v>2668983</v>
      </c>
      <c r="I21" s="533">
        <v>2221542</v>
      </c>
      <c r="J21" s="533">
        <v>1675034</v>
      </c>
      <c r="K21" s="533">
        <v>1510014</v>
      </c>
      <c r="L21" s="533">
        <v>1583471</v>
      </c>
      <c r="M21" s="533">
        <v>2056535</v>
      </c>
      <c r="N21" s="533">
        <v>3586972</v>
      </c>
      <c r="O21" s="533">
        <v>4116109</v>
      </c>
      <c r="P21" s="533">
        <v>8576537</v>
      </c>
      <c r="Q21" s="587">
        <v>8738107</v>
      </c>
      <c r="R21" s="587">
        <v>7258148</v>
      </c>
      <c r="S21" s="587">
        <v>5603968</v>
      </c>
      <c r="T21" s="587">
        <v>4021494</v>
      </c>
      <c r="U21" s="587">
        <v>2425238</v>
      </c>
      <c r="V21" s="587">
        <v>1878375</v>
      </c>
      <c r="W21" s="587">
        <v>1446879</v>
      </c>
      <c r="X21" s="587">
        <v>1463939</v>
      </c>
      <c r="Y21" s="587">
        <v>2165313</v>
      </c>
      <c r="Z21" s="587">
        <v>3629858</v>
      </c>
      <c r="AA21" s="587">
        <v>5325716</v>
      </c>
      <c r="AB21" s="587">
        <v>7830439</v>
      </c>
      <c r="AC21" s="587">
        <f>Jan!G25</f>
        <v>6608892</v>
      </c>
      <c r="AD21" s="587">
        <f>Feb!G25</f>
        <v>7202971</v>
      </c>
      <c r="AE21" s="587">
        <f>Mar!G25</f>
        <v>5606266</v>
      </c>
      <c r="AF21" s="587">
        <f>Apr!G25</f>
        <v>4266905</v>
      </c>
      <c r="AH21" s="509"/>
      <c r="AI21" s="523"/>
      <c r="AJ21" s="510"/>
      <c r="AK21" s="510"/>
      <c r="AL21" s="510" t="s">
        <v>159</v>
      </c>
      <c r="AM21" s="511">
        <f>ROUND(SUM(AL15:AL20)-SUM(AM15:AM20),2)</f>
        <v>0</v>
      </c>
    </row>
    <row r="22" spans="1:41" ht="16.5" thickBot="1">
      <c r="A22" s="479"/>
      <c r="B22" s="477" t="s">
        <v>40</v>
      </c>
      <c r="C22" s="478">
        <f t="shared" si="41"/>
        <v>3896834</v>
      </c>
      <c r="D22" s="486">
        <f t="shared" si="40"/>
        <v>7546429</v>
      </c>
      <c r="E22" s="533">
        <v>345863</v>
      </c>
      <c r="F22" s="533">
        <v>408568</v>
      </c>
      <c r="G22" s="533">
        <v>361566</v>
      </c>
      <c r="H22" s="533">
        <v>227877</v>
      </c>
      <c r="I22" s="533">
        <v>311290</v>
      </c>
      <c r="J22" s="533">
        <v>225272</v>
      </c>
      <c r="K22" s="533">
        <v>266816</v>
      </c>
      <c r="L22" s="533">
        <v>259403</v>
      </c>
      <c r="M22" s="533">
        <v>291879</v>
      </c>
      <c r="N22" s="533">
        <v>401880</v>
      </c>
      <c r="O22" s="533">
        <v>314956</v>
      </c>
      <c r="P22" s="533">
        <v>234225</v>
      </c>
      <c r="Q22" s="587">
        <v>284721</v>
      </c>
      <c r="R22" s="587">
        <v>399264</v>
      </c>
      <c r="S22" s="587">
        <v>334116</v>
      </c>
      <c r="T22" s="587">
        <v>288026</v>
      </c>
      <c r="U22" s="587">
        <v>302382</v>
      </c>
      <c r="V22" s="587">
        <v>289055</v>
      </c>
      <c r="W22" s="587">
        <v>274504</v>
      </c>
      <c r="X22" s="587">
        <v>291721</v>
      </c>
      <c r="Y22" s="587">
        <v>348558</v>
      </c>
      <c r="Z22" s="587">
        <v>248414</v>
      </c>
      <c r="AA22" s="587">
        <v>458380</v>
      </c>
      <c r="AB22" s="587">
        <v>377693</v>
      </c>
      <c r="AC22" s="587">
        <f>Jan!G27</f>
        <v>362835</v>
      </c>
      <c r="AD22" s="587">
        <f>Feb!G27</f>
        <v>448875</v>
      </c>
      <c r="AE22" s="587">
        <f>Mar!G27</f>
        <v>345298</v>
      </c>
      <c r="AF22" s="587">
        <f>Apr!G27</f>
        <v>305691</v>
      </c>
      <c r="AH22" s="261"/>
    </row>
    <row r="23" spans="1:41" ht="16.5" thickBot="1">
      <c r="A23" s="479"/>
      <c r="B23" s="552" t="s">
        <v>42</v>
      </c>
      <c r="C23" s="478">
        <f t="shared" si="41"/>
        <v>0</v>
      </c>
      <c r="D23" s="486">
        <f t="shared" si="40"/>
        <v>0</v>
      </c>
      <c r="E23" s="533">
        <v>0</v>
      </c>
      <c r="F23" s="533">
        <v>0</v>
      </c>
      <c r="G23" s="533">
        <v>0</v>
      </c>
      <c r="H23" s="533">
        <v>0</v>
      </c>
      <c r="I23" s="533">
        <v>0</v>
      </c>
      <c r="J23" s="533">
        <v>0</v>
      </c>
      <c r="K23" s="533">
        <v>0</v>
      </c>
      <c r="L23" s="533">
        <v>0</v>
      </c>
      <c r="M23" s="533">
        <v>0</v>
      </c>
      <c r="N23" s="533">
        <v>0</v>
      </c>
      <c r="O23" s="533">
        <v>0</v>
      </c>
      <c r="P23" s="533">
        <v>0</v>
      </c>
      <c r="Q23" s="587">
        <v>0</v>
      </c>
      <c r="R23" s="587">
        <v>0</v>
      </c>
      <c r="S23" s="587">
        <v>0</v>
      </c>
      <c r="T23" s="587">
        <v>0</v>
      </c>
      <c r="U23" s="587">
        <v>0</v>
      </c>
      <c r="V23" s="587">
        <v>0</v>
      </c>
      <c r="W23" s="587">
        <v>0</v>
      </c>
      <c r="X23" s="587">
        <v>0</v>
      </c>
      <c r="Y23" s="587">
        <v>0</v>
      </c>
      <c r="Z23" s="587">
        <v>0</v>
      </c>
      <c r="AA23" s="587">
        <v>0</v>
      </c>
      <c r="AB23" s="587">
        <v>0</v>
      </c>
      <c r="AC23" s="587">
        <f>Jan!G29</f>
        <v>0</v>
      </c>
      <c r="AD23" s="587">
        <f>Feb!G29</f>
        <v>0</v>
      </c>
      <c r="AE23" s="587">
        <f>Mar!G29</f>
        <v>0</v>
      </c>
      <c r="AF23" s="587">
        <f>Apr!G29</f>
        <v>0</v>
      </c>
      <c r="AH23" s="663" t="s">
        <v>346</v>
      </c>
      <c r="AI23" s="524"/>
      <c r="AJ23" s="516"/>
      <c r="AK23" s="516"/>
      <c r="AL23" s="516"/>
      <c r="AM23" s="517"/>
    </row>
    <row r="24" spans="1:41">
      <c r="A24" s="479"/>
      <c r="B24" s="477" t="s">
        <v>74</v>
      </c>
      <c r="C24" s="478">
        <f t="shared" si="41"/>
        <v>36224919</v>
      </c>
      <c r="D24" s="486">
        <f t="shared" si="40"/>
        <v>67139519</v>
      </c>
      <c r="E24" s="533">
        <v>3346687</v>
      </c>
      <c r="F24" s="533">
        <v>2956295</v>
      </c>
      <c r="G24" s="533">
        <v>2822744</v>
      </c>
      <c r="H24" s="533">
        <v>2379815</v>
      </c>
      <c r="I24" s="533">
        <v>2359261</v>
      </c>
      <c r="J24" s="533">
        <v>2149880</v>
      </c>
      <c r="K24" s="533">
        <v>1956378</v>
      </c>
      <c r="L24" s="533">
        <v>1966117</v>
      </c>
      <c r="M24" s="533">
        <v>1915306</v>
      </c>
      <c r="N24" s="533">
        <v>2505633</v>
      </c>
      <c r="O24" s="533">
        <v>2750386</v>
      </c>
      <c r="P24" s="533">
        <v>3806098</v>
      </c>
      <c r="Q24" s="587">
        <v>4261630</v>
      </c>
      <c r="R24" s="587">
        <v>3513623</v>
      </c>
      <c r="S24" s="587">
        <v>3381923</v>
      </c>
      <c r="T24" s="587">
        <v>2868630</v>
      </c>
      <c r="U24" s="587">
        <v>2501903</v>
      </c>
      <c r="V24" s="587">
        <v>2531843</v>
      </c>
      <c r="W24" s="587">
        <v>2144434</v>
      </c>
      <c r="X24" s="587">
        <v>2338940</v>
      </c>
      <c r="Y24" s="587">
        <v>2209861</v>
      </c>
      <c r="Z24" s="587">
        <v>3085921</v>
      </c>
      <c r="AA24" s="587">
        <v>3418526</v>
      </c>
      <c r="AB24" s="587">
        <v>3967685</v>
      </c>
      <c r="AC24" s="587">
        <f>Jan!G31</f>
        <v>3629622</v>
      </c>
      <c r="AD24" s="587">
        <f>Feb!G31</f>
        <v>3567188</v>
      </c>
      <c r="AE24" s="587">
        <f>Mar!G31</f>
        <v>3349134</v>
      </c>
      <c r="AF24" s="587">
        <f>Apr!G31</f>
        <v>3031741</v>
      </c>
      <c r="AH24" s="493" t="s">
        <v>286</v>
      </c>
      <c r="AI24" s="521">
        <v>191010</v>
      </c>
      <c r="AJ24" s="354" t="s">
        <v>280</v>
      </c>
      <c r="AK24" s="354" t="s">
        <v>281</v>
      </c>
      <c r="AL24" s="377">
        <f>62.81+62.59</f>
        <v>125.4</v>
      </c>
      <c r="AM24" s="494">
        <v>0</v>
      </c>
    </row>
    <row r="25" spans="1:41" ht="16.5" thickBot="1">
      <c r="A25" s="479"/>
      <c r="B25" s="477" t="s">
        <v>21</v>
      </c>
      <c r="C25" s="532">
        <f>SUM(C19:C24)</f>
        <v>223692149</v>
      </c>
      <c r="D25" s="532">
        <f>SUM(D19:D24)</f>
        <v>411611832</v>
      </c>
      <c r="E25" s="532">
        <v>30419523</v>
      </c>
      <c r="F25" s="532">
        <f t="shared" ref="F25:AD25" si="42">SUM(F19:F24)</f>
        <v>22877234</v>
      </c>
      <c r="G25" s="532">
        <f t="shared" si="42"/>
        <v>20236365</v>
      </c>
      <c r="H25" s="532">
        <f t="shared" si="42"/>
        <v>10637648</v>
      </c>
      <c r="I25" s="532">
        <f t="shared" si="42"/>
        <v>8282555</v>
      </c>
      <c r="J25" s="532">
        <f t="shared" si="42"/>
        <v>6819717</v>
      </c>
      <c r="K25" s="532">
        <f t="shared" si="42"/>
        <v>6029401</v>
      </c>
      <c r="L25" s="532">
        <f t="shared" si="42"/>
        <v>6166525</v>
      </c>
      <c r="M25" s="532">
        <f t="shared" si="42"/>
        <v>7391501</v>
      </c>
      <c r="N25" s="532">
        <f t="shared" si="42"/>
        <v>13644627</v>
      </c>
      <c r="O25" s="532">
        <f t="shared" si="42"/>
        <v>18553428</v>
      </c>
      <c r="P25" s="532">
        <f t="shared" si="42"/>
        <v>36861159</v>
      </c>
      <c r="Q25" s="532">
        <f t="shared" si="42"/>
        <v>40584714</v>
      </c>
      <c r="R25" s="532">
        <f t="shared" si="42"/>
        <v>30357660</v>
      </c>
      <c r="S25" s="532">
        <f t="shared" si="42"/>
        <v>23658883</v>
      </c>
      <c r="T25" s="532">
        <f t="shared" si="42"/>
        <v>16834972</v>
      </c>
      <c r="U25" s="532">
        <f t="shared" si="42"/>
        <v>10179280</v>
      </c>
      <c r="V25" s="532">
        <f t="shared" si="42"/>
        <v>7244961</v>
      </c>
      <c r="W25" s="532">
        <f t="shared" si="42"/>
        <v>5938596</v>
      </c>
      <c r="X25" s="532">
        <f t="shared" si="42"/>
        <v>6177700</v>
      </c>
      <c r="Y25" s="532">
        <f t="shared" si="42"/>
        <v>7874888</v>
      </c>
      <c r="Z25" s="532">
        <f t="shared" si="42"/>
        <v>15813981</v>
      </c>
      <c r="AA25" s="532">
        <f t="shared" si="42"/>
        <v>24062058</v>
      </c>
      <c r="AB25" s="532">
        <f t="shared" si="42"/>
        <v>34964456</v>
      </c>
      <c r="AC25" s="600">
        <f t="shared" si="42"/>
        <v>30881504</v>
      </c>
      <c r="AD25" s="600">
        <f t="shared" si="42"/>
        <v>29419914</v>
      </c>
      <c r="AE25" s="600">
        <f t="shared" ref="AE25" si="43">SUM(AE19:AE24)</f>
        <v>25091210</v>
      </c>
      <c r="AF25" s="600">
        <f>SUM(AF19:AF24)</f>
        <v>17375988</v>
      </c>
      <c r="AH25" s="495" t="s">
        <v>285</v>
      </c>
      <c r="AI25" s="522">
        <v>431600</v>
      </c>
      <c r="AJ25" s="522" t="s">
        <v>280</v>
      </c>
      <c r="AK25" s="522" t="s">
        <v>281</v>
      </c>
      <c r="AL25" s="496">
        <v>0</v>
      </c>
      <c r="AM25" s="514">
        <f>AL24</f>
        <v>125.4</v>
      </c>
    </row>
    <row r="26" spans="1:41" ht="17.25" thickTop="1" thickBot="1">
      <c r="A26" s="479"/>
      <c r="B26" s="477" t="s">
        <v>264</v>
      </c>
      <c r="C26" s="486">
        <f>SUM(Q26:AB26)</f>
        <v>223692149</v>
      </c>
      <c r="D26" s="486">
        <f>SUM(E26:AB26)</f>
        <v>411611832</v>
      </c>
      <c r="E26" s="486">
        <v>30419523</v>
      </c>
      <c r="F26" s="486">
        <v>22877234</v>
      </c>
      <c r="G26" s="486">
        <v>20236365</v>
      </c>
      <c r="H26" s="486">
        <v>10637648</v>
      </c>
      <c r="I26" s="486">
        <v>8282555</v>
      </c>
      <c r="J26" s="486">
        <v>6819717</v>
      </c>
      <c r="K26" s="486">
        <v>6029401</v>
      </c>
      <c r="L26" s="550">
        <v>6166525</v>
      </c>
      <c r="M26" s="486">
        <v>7391501</v>
      </c>
      <c r="N26" s="486">
        <v>13644627</v>
      </c>
      <c r="O26" s="486">
        <v>18553428</v>
      </c>
      <c r="P26" s="486">
        <v>36861159</v>
      </c>
      <c r="Q26" s="486">
        <v>40584714</v>
      </c>
      <c r="R26" s="486">
        <v>30357660</v>
      </c>
      <c r="S26" s="486">
        <v>23658883</v>
      </c>
      <c r="T26" s="486">
        <v>16834972</v>
      </c>
      <c r="U26" s="486">
        <v>10179280</v>
      </c>
      <c r="V26" s="486">
        <v>7244961</v>
      </c>
      <c r="W26" s="486">
        <v>5938596</v>
      </c>
      <c r="X26" s="550">
        <v>6177700</v>
      </c>
      <c r="Y26" s="550">
        <v>7874888</v>
      </c>
      <c r="Z26" s="550">
        <v>15813981</v>
      </c>
      <c r="AA26" s="550">
        <v>24062058</v>
      </c>
      <c r="AB26" s="486">
        <v>34964456</v>
      </c>
      <c r="AC26" s="550">
        <v>30881504</v>
      </c>
      <c r="AD26" s="550">
        <v>29419914</v>
      </c>
      <c r="AE26" s="550">
        <v>25091210</v>
      </c>
      <c r="AF26" s="550">
        <v>17375988</v>
      </c>
      <c r="AG26" s="562"/>
      <c r="AH26" s="509"/>
      <c r="AI26" s="523"/>
      <c r="AJ26" s="510"/>
      <c r="AK26" s="510"/>
      <c r="AL26" s="510" t="s">
        <v>159</v>
      </c>
      <c r="AM26" s="511">
        <f>SUM(AL24:AL25)-SUM(AM24:AM25)</f>
        <v>0</v>
      </c>
    </row>
    <row r="27" spans="1:41">
      <c r="A27" s="479" t="s">
        <v>22</v>
      </c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R27" s="528"/>
      <c r="S27" s="528"/>
      <c r="T27" s="528"/>
      <c r="U27" s="528"/>
      <c r="V27" s="528"/>
      <c r="W27" s="528"/>
      <c r="X27" s="528"/>
      <c r="Y27" s="528"/>
      <c r="Z27" s="528"/>
      <c r="AA27" s="528"/>
      <c r="AB27" s="528"/>
      <c r="AC27" s="601"/>
      <c r="AD27" s="601"/>
      <c r="AE27" s="601"/>
      <c r="AF27" s="601"/>
      <c r="AH27" s="354"/>
      <c r="AI27" s="521"/>
      <c r="AJ27" s="354"/>
      <c r="AK27" s="354"/>
      <c r="AL27" s="377"/>
      <c r="AM27" s="377"/>
      <c r="AN27" s="547"/>
      <c r="AO27" s="547"/>
    </row>
    <row r="28" spans="1:41">
      <c r="A28" s="480">
        <v>191000</v>
      </c>
      <c r="B28" s="481" t="s">
        <v>252</v>
      </c>
      <c r="E28" s="480">
        <v>201601</v>
      </c>
      <c r="F28" s="480">
        <f>E28+1</f>
        <v>201602</v>
      </c>
      <c r="G28" s="480">
        <f t="shared" ref="G28:P28" si="44">F28+1</f>
        <v>201603</v>
      </c>
      <c r="H28" s="480">
        <f t="shared" si="44"/>
        <v>201604</v>
      </c>
      <c r="I28" s="480">
        <f t="shared" si="44"/>
        <v>201605</v>
      </c>
      <c r="J28" s="480">
        <f t="shared" si="44"/>
        <v>201606</v>
      </c>
      <c r="K28" s="480">
        <f t="shared" si="44"/>
        <v>201607</v>
      </c>
      <c r="L28" s="480">
        <f t="shared" si="44"/>
        <v>201608</v>
      </c>
      <c r="M28" s="480">
        <f t="shared" si="44"/>
        <v>201609</v>
      </c>
      <c r="N28" s="480">
        <f t="shared" si="44"/>
        <v>201610</v>
      </c>
      <c r="O28" s="480">
        <f t="shared" si="44"/>
        <v>201611</v>
      </c>
      <c r="P28" s="480">
        <f t="shared" si="44"/>
        <v>201612</v>
      </c>
      <c r="Q28" s="480">
        <f>Q3</f>
        <v>201701</v>
      </c>
      <c r="R28" s="480">
        <f>Q28+1</f>
        <v>201702</v>
      </c>
      <c r="S28" s="480">
        <f t="shared" ref="S28" si="45">R28+1</f>
        <v>201703</v>
      </c>
      <c r="T28" s="480">
        <f t="shared" ref="T28" si="46">S28+1</f>
        <v>201704</v>
      </c>
      <c r="U28" s="480">
        <f t="shared" ref="U28" si="47">T28+1</f>
        <v>201705</v>
      </c>
      <c r="V28" s="480">
        <f t="shared" ref="V28" si="48">U28+1</f>
        <v>201706</v>
      </c>
      <c r="W28" s="480">
        <f t="shared" ref="W28" si="49">V28+1</f>
        <v>201707</v>
      </c>
      <c r="X28" s="480">
        <f t="shared" ref="X28" si="50">W28+1</f>
        <v>201708</v>
      </c>
      <c r="Y28" s="480">
        <f t="shared" ref="Y28" si="51">X28+1</f>
        <v>201709</v>
      </c>
      <c r="Z28" s="480">
        <f t="shared" ref="Z28" si="52">Y28+1</f>
        <v>201710</v>
      </c>
      <c r="AA28" s="480">
        <f t="shared" ref="AA28" si="53">Z28+1</f>
        <v>201711</v>
      </c>
      <c r="AB28" s="480">
        <f t="shared" ref="AB28" si="54">AA28+1</f>
        <v>201712</v>
      </c>
      <c r="AC28" s="567">
        <f>AC3</f>
        <v>201801</v>
      </c>
      <c r="AD28" s="567">
        <f>AD3</f>
        <v>201802</v>
      </c>
      <c r="AE28" s="567">
        <f>AE3</f>
        <v>201803</v>
      </c>
      <c r="AF28" s="567">
        <f>AF3</f>
        <v>201804</v>
      </c>
      <c r="AH28" s="354"/>
      <c r="AI28" s="521"/>
      <c r="AJ28" s="354"/>
      <c r="AK28" s="354"/>
      <c r="AL28" s="377"/>
      <c r="AM28" s="377"/>
      <c r="AN28" s="547"/>
      <c r="AO28" s="547"/>
    </row>
    <row r="29" spans="1:41">
      <c r="A29" s="479"/>
      <c r="B29" s="477" t="s">
        <v>37</v>
      </c>
      <c r="E29" s="490">
        <v>2.571E-2</v>
      </c>
      <c r="F29" s="490">
        <v>2.571E-2</v>
      </c>
      <c r="G29" s="490">
        <v>2.571E-2</v>
      </c>
      <c r="H29" s="490">
        <v>2.571E-2</v>
      </c>
      <c r="I29" s="490">
        <v>2.571E-2</v>
      </c>
      <c r="J29" s="490">
        <v>2.571E-2</v>
      </c>
      <c r="K29" s="490">
        <v>2.571E-2</v>
      </c>
      <c r="L29" s="490">
        <v>2.571E-2</v>
      </c>
      <c r="M29" s="490">
        <v>2.571E-2</v>
      </c>
      <c r="N29" s="490">
        <v>2.571E-2</v>
      </c>
      <c r="O29" s="490" t="s">
        <v>307</v>
      </c>
      <c r="P29" s="490" t="s">
        <v>307</v>
      </c>
      <c r="Q29" s="585">
        <v>9.1740000000000002E-2</v>
      </c>
      <c r="R29" s="585">
        <v>9.1740000000000002E-2</v>
      </c>
      <c r="S29" s="585">
        <v>9.1740000000000002E-2</v>
      </c>
      <c r="T29" s="585">
        <v>9.1740000000000002E-2</v>
      </c>
      <c r="U29" s="585">
        <v>9.1740000000000002E-2</v>
      </c>
      <c r="V29" s="585">
        <v>9.1740000000000002E-2</v>
      </c>
      <c r="W29" s="585">
        <v>9.1740000000000002E-2</v>
      </c>
      <c r="X29" s="585">
        <v>9.1740000000000002E-2</v>
      </c>
      <c r="Y29" s="585">
        <v>9.1740000000000002E-2</v>
      </c>
      <c r="Z29" s="585">
        <v>9.1740000000000002E-2</v>
      </c>
      <c r="AA29" s="605" t="s">
        <v>307</v>
      </c>
      <c r="AB29" s="605" t="s">
        <v>307</v>
      </c>
      <c r="AC29" s="605">
        <v>9.0670000000000001E-2</v>
      </c>
      <c r="AD29" s="605">
        <v>9.0670000000000001E-2</v>
      </c>
      <c r="AE29" s="605">
        <v>9.0670000000000001E-2</v>
      </c>
      <c r="AF29" s="605">
        <v>9.0670000000000001E-2</v>
      </c>
      <c r="AH29" s="354"/>
      <c r="AI29" s="521"/>
      <c r="AJ29" s="521"/>
      <c r="AK29" s="521"/>
      <c r="AL29" s="377"/>
      <c r="AM29" s="377"/>
    </row>
    <row r="30" spans="1:41">
      <c r="A30" s="479"/>
      <c r="B30" s="477" t="s">
        <v>305</v>
      </c>
      <c r="E30" s="490">
        <v>2.571E-2</v>
      </c>
      <c r="F30" s="490">
        <v>2.571E-2</v>
      </c>
      <c r="G30" s="490">
        <v>2.571E-2</v>
      </c>
      <c r="H30" s="490">
        <v>2.571E-2</v>
      </c>
      <c r="I30" s="490">
        <v>2.571E-2</v>
      </c>
      <c r="J30" s="490">
        <v>2.571E-2</v>
      </c>
      <c r="K30" s="490">
        <v>2.571E-2</v>
      </c>
      <c r="L30" s="490">
        <v>2.571E-2</v>
      </c>
      <c r="M30" s="490">
        <v>2.571E-2</v>
      </c>
      <c r="N30" s="490">
        <v>2.571E-2</v>
      </c>
      <c r="O30" s="490" t="s">
        <v>307</v>
      </c>
      <c r="P30" s="490" t="s">
        <v>307</v>
      </c>
      <c r="Q30" s="585">
        <v>9.1740000000000002E-2</v>
      </c>
      <c r="R30" s="585">
        <v>9.1740000000000002E-2</v>
      </c>
      <c r="S30" s="585">
        <v>9.1740000000000002E-2</v>
      </c>
      <c r="T30" s="585">
        <v>9.1740000000000002E-2</v>
      </c>
      <c r="U30" s="585">
        <v>9.1740000000000002E-2</v>
      </c>
      <c r="V30" s="585">
        <v>9.1740000000000002E-2</v>
      </c>
      <c r="W30" s="585">
        <v>9.1740000000000002E-2</v>
      </c>
      <c r="X30" s="585">
        <v>9.1740000000000002E-2</v>
      </c>
      <c r="Y30" s="585">
        <v>9.1740000000000002E-2</v>
      </c>
      <c r="Z30" s="585">
        <v>9.1740000000000002E-2</v>
      </c>
      <c r="AA30" s="605" t="s">
        <v>307</v>
      </c>
      <c r="AB30" s="605" t="s">
        <v>307</v>
      </c>
      <c r="AC30" s="605">
        <v>9.0670000000000001E-2</v>
      </c>
      <c r="AD30" s="605">
        <v>9.0670000000000001E-2</v>
      </c>
      <c r="AE30" s="605">
        <v>9.0670000000000001E-2</v>
      </c>
      <c r="AF30" s="605">
        <v>9.0670000000000001E-2</v>
      </c>
      <c r="AH30" s="547"/>
      <c r="AI30" s="548"/>
      <c r="AJ30" s="547"/>
      <c r="AK30" s="547"/>
      <c r="AL30" s="547"/>
      <c r="AM30" s="547"/>
    </row>
    <row r="31" spans="1:41">
      <c r="A31" s="479"/>
      <c r="B31" s="477" t="s">
        <v>38</v>
      </c>
      <c r="E31" s="490">
        <v>1.372E-2</v>
      </c>
      <c r="F31" s="490">
        <v>1.372E-2</v>
      </c>
      <c r="G31" s="490">
        <v>1.372E-2</v>
      </c>
      <c r="H31" s="490">
        <v>1.372E-2</v>
      </c>
      <c r="I31" s="490">
        <v>1.372E-2</v>
      </c>
      <c r="J31" s="490">
        <v>1.372E-2</v>
      </c>
      <c r="K31" s="490">
        <v>1.372E-2</v>
      </c>
      <c r="L31" s="490">
        <v>1.372E-2</v>
      </c>
      <c r="M31" s="490">
        <v>1.372E-2</v>
      </c>
      <c r="N31" s="490">
        <v>1.372E-2</v>
      </c>
      <c r="O31" s="490" t="s">
        <v>307</v>
      </c>
      <c r="P31" s="490" t="s">
        <v>307</v>
      </c>
      <c r="Q31" s="585">
        <v>7.2489999999999999E-2</v>
      </c>
      <c r="R31" s="585">
        <v>7.2489999999999999E-2</v>
      </c>
      <c r="S31" s="585">
        <v>7.2489999999999999E-2</v>
      </c>
      <c r="T31" s="585">
        <v>7.2489999999999999E-2</v>
      </c>
      <c r="U31" s="585">
        <v>7.2489999999999999E-2</v>
      </c>
      <c r="V31" s="585">
        <v>7.2489999999999999E-2</v>
      </c>
      <c r="W31" s="585">
        <v>7.2489999999999999E-2</v>
      </c>
      <c r="X31" s="585">
        <v>7.2489999999999999E-2</v>
      </c>
      <c r="Y31" s="585">
        <v>7.2489999999999999E-2</v>
      </c>
      <c r="Z31" s="585">
        <v>7.2489999999999999E-2</v>
      </c>
      <c r="AA31" s="605" t="s">
        <v>307</v>
      </c>
      <c r="AB31" s="605" t="s">
        <v>307</v>
      </c>
      <c r="AC31" s="605">
        <v>7.4749999999999997E-2</v>
      </c>
      <c r="AD31" s="605">
        <v>7.4749999999999997E-2</v>
      </c>
      <c r="AE31" s="605">
        <v>7.4749999999999997E-2</v>
      </c>
      <c r="AF31" s="605">
        <v>7.4749999999999997E-2</v>
      </c>
    </row>
    <row r="32" spans="1:41">
      <c r="A32" s="479"/>
      <c r="B32" s="477" t="s">
        <v>40</v>
      </c>
      <c r="E32" s="490">
        <v>-5.2900000000000004E-3</v>
      </c>
      <c r="F32" s="490">
        <v>-5.2900000000000004E-3</v>
      </c>
      <c r="G32" s="490">
        <v>-5.2900000000000004E-3</v>
      </c>
      <c r="H32" s="490">
        <v>-5.2900000000000004E-3</v>
      </c>
      <c r="I32" s="490">
        <v>-5.2900000000000004E-3</v>
      </c>
      <c r="J32" s="490">
        <v>-5.2900000000000004E-3</v>
      </c>
      <c r="K32" s="490">
        <v>-5.2900000000000004E-3</v>
      </c>
      <c r="L32" s="490">
        <v>-5.2900000000000004E-3</v>
      </c>
      <c r="M32" s="490">
        <v>-5.2900000000000004E-3</v>
      </c>
      <c r="N32" s="490">
        <v>-5.2900000000000004E-3</v>
      </c>
      <c r="O32" s="490" t="s">
        <v>307</v>
      </c>
      <c r="P32" s="490" t="s">
        <v>307</v>
      </c>
      <c r="Q32" s="585">
        <v>4.4479999999999999E-2</v>
      </c>
      <c r="R32" s="585">
        <v>4.4479999999999999E-2</v>
      </c>
      <c r="S32" s="585">
        <v>4.4479999999999999E-2</v>
      </c>
      <c r="T32" s="585">
        <v>4.4479999999999999E-2</v>
      </c>
      <c r="U32" s="585">
        <v>4.4479999999999999E-2</v>
      </c>
      <c r="V32" s="585">
        <v>4.4479999999999999E-2</v>
      </c>
      <c r="W32" s="585">
        <v>4.4479999999999999E-2</v>
      </c>
      <c r="X32" s="585">
        <v>4.4479999999999999E-2</v>
      </c>
      <c r="Y32" s="585">
        <v>4.4479999999999999E-2</v>
      </c>
      <c r="Z32" s="585">
        <v>4.4479999999999999E-2</v>
      </c>
      <c r="AA32" s="605" t="s">
        <v>307</v>
      </c>
      <c r="AB32" s="605" t="s">
        <v>307</v>
      </c>
      <c r="AC32" s="605">
        <v>4.7449999999999999E-2</v>
      </c>
      <c r="AD32" s="605">
        <v>4.7449999999999999E-2</v>
      </c>
      <c r="AE32" s="605">
        <v>4.7449999999999999E-2</v>
      </c>
      <c r="AF32" s="605">
        <v>4.7449999999999999E-2</v>
      </c>
    </row>
    <row r="33" spans="1:53" ht="16.5" thickBot="1">
      <c r="A33" s="479"/>
      <c r="B33" s="477" t="s">
        <v>42</v>
      </c>
      <c r="E33" s="490">
        <v>1.635E-2</v>
      </c>
      <c r="F33" s="490">
        <v>1.635E-2</v>
      </c>
      <c r="G33" s="490">
        <v>1.635E-2</v>
      </c>
      <c r="H33" s="490">
        <v>1.635E-2</v>
      </c>
      <c r="I33" s="490">
        <v>1.635E-2</v>
      </c>
      <c r="J33" s="490">
        <v>1.635E-2</v>
      </c>
      <c r="K33" s="490">
        <v>1.635E-2</v>
      </c>
      <c r="L33" s="490">
        <v>1.635E-2</v>
      </c>
      <c r="M33" s="490">
        <v>1.635E-2</v>
      </c>
      <c r="N33" s="490">
        <v>1.635E-2</v>
      </c>
      <c r="O33" s="490" t="s">
        <v>307</v>
      </c>
      <c r="P33" s="490" t="s">
        <v>307</v>
      </c>
      <c r="Q33" s="585">
        <v>8.8340000000000002E-2</v>
      </c>
      <c r="R33" s="585">
        <v>8.8340000000000002E-2</v>
      </c>
      <c r="S33" s="585">
        <v>8.8340000000000002E-2</v>
      </c>
      <c r="T33" s="585">
        <v>8.8340000000000002E-2</v>
      </c>
      <c r="U33" s="585">
        <v>8.8340000000000002E-2</v>
      </c>
      <c r="V33" s="585">
        <v>8.8340000000000002E-2</v>
      </c>
      <c r="W33" s="585">
        <v>8.8340000000000002E-2</v>
      </c>
      <c r="X33" s="585">
        <v>8.8340000000000002E-2</v>
      </c>
      <c r="Y33" s="585">
        <v>8.8340000000000002E-2</v>
      </c>
      <c r="Z33" s="585">
        <v>8.8340000000000002E-2</v>
      </c>
      <c r="AA33" s="605" t="s">
        <v>307</v>
      </c>
      <c r="AB33" s="605" t="s">
        <v>307</v>
      </c>
      <c r="AC33" s="605" t="s">
        <v>319</v>
      </c>
      <c r="AD33" s="605" t="s">
        <v>319</v>
      </c>
      <c r="AE33" s="605" t="s">
        <v>319</v>
      </c>
      <c r="AF33" s="605" t="s">
        <v>319</v>
      </c>
    </row>
    <row r="34" spans="1:53" ht="16.5" thickBot="1">
      <c r="A34" s="479"/>
      <c r="B34" s="477" t="s">
        <v>74</v>
      </c>
      <c r="E34" s="490">
        <v>0</v>
      </c>
      <c r="F34" s="490">
        <v>0</v>
      </c>
      <c r="G34" s="490">
        <v>0</v>
      </c>
      <c r="H34" s="490">
        <v>0</v>
      </c>
      <c r="I34" s="490">
        <v>0</v>
      </c>
      <c r="J34" s="490">
        <v>0</v>
      </c>
      <c r="K34" s="490">
        <v>0</v>
      </c>
      <c r="L34" s="490">
        <v>0</v>
      </c>
      <c r="M34" s="490">
        <v>0</v>
      </c>
      <c r="N34" s="490">
        <v>0</v>
      </c>
      <c r="O34" s="490" t="s">
        <v>307</v>
      </c>
      <c r="P34" s="490" t="s">
        <v>307</v>
      </c>
      <c r="Q34" s="585">
        <v>0</v>
      </c>
      <c r="R34" s="585">
        <v>0</v>
      </c>
      <c r="S34" s="585">
        <v>0</v>
      </c>
      <c r="T34" s="585">
        <v>0</v>
      </c>
      <c r="U34" s="585">
        <v>0</v>
      </c>
      <c r="V34" s="585">
        <v>0</v>
      </c>
      <c r="W34" s="585">
        <v>0</v>
      </c>
      <c r="X34" s="585">
        <v>0</v>
      </c>
      <c r="Y34" s="585">
        <v>0</v>
      </c>
      <c r="Z34" s="585">
        <v>0</v>
      </c>
      <c r="AA34" s="605" t="s">
        <v>307</v>
      </c>
      <c r="AB34" s="605" t="s">
        <v>307</v>
      </c>
      <c r="AC34" s="605" t="s">
        <v>319</v>
      </c>
      <c r="AD34" s="605" t="s">
        <v>319</v>
      </c>
      <c r="AE34" s="605" t="s">
        <v>319</v>
      </c>
      <c r="AF34" s="605" t="s">
        <v>319</v>
      </c>
      <c r="AH34" s="506">
        <f>AH4</f>
        <v>201804</v>
      </c>
      <c r="AI34" s="519"/>
      <c r="AJ34" s="507"/>
      <c r="AK34" s="507"/>
      <c r="AL34" s="507"/>
      <c r="AM34" s="508"/>
    </row>
    <row r="35" spans="1:53">
      <c r="A35" s="479" t="s">
        <v>283</v>
      </c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551"/>
      <c r="AD35" s="551"/>
      <c r="AE35" s="551"/>
      <c r="AF35" s="551"/>
      <c r="AH35" s="491" t="s">
        <v>288</v>
      </c>
      <c r="AI35" s="520">
        <v>419600</v>
      </c>
      <c r="AJ35" s="492" t="s">
        <v>280</v>
      </c>
      <c r="AK35" s="492" t="s">
        <v>281</v>
      </c>
      <c r="AL35" s="512">
        <v>0</v>
      </c>
      <c r="AM35" s="513">
        <f>IF(SUMIF(E3:AE3,AH4,E40:AE40)&gt;0,SUMIF(E3:AE3,AH4,E40:AE40),0)</f>
        <v>0</v>
      </c>
      <c r="AO35" s="478" t="str">
        <f>_xll.GLW_Segment_Description(AI35,2,2)</f>
        <v>INTEREST ON ENERGY DEFERRALS</v>
      </c>
    </row>
    <row r="36" spans="1:53" s="479" customFormat="1">
      <c r="A36" s="480">
        <v>191000</v>
      </c>
      <c r="B36" s="481" t="s">
        <v>252</v>
      </c>
      <c r="C36" s="482" t="s">
        <v>248</v>
      </c>
      <c r="D36" s="483" t="s">
        <v>249</v>
      </c>
      <c r="E36" s="480">
        <v>201601</v>
      </c>
      <c r="F36" s="480">
        <f>E36+1</f>
        <v>201602</v>
      </c>
      <c r="G36" s="480">
        <f t="shared" ref="G36:P36" si="55">F36+1</f>
        <v>201603</v>
      </c>
      <c r="H36" s="480">
        <f t="shared" si="55"/>
        <v>201604</v>
      </c>
      <c r="I36" s="480">
        <f t="shared" si="55"/>
        <v>201605</v>
      </c>
      <c r="J36" s="480">
        <f t="shared" si="55"/>
        <v>201606</v>
      </c>
      <c r="K36" s="480">
        <f t="shared" si="55"/>
        <v>201607</v>
      </c>
      <c r="L36" s="480">
        <f t="shared" si="55"/>
        <v>201608</v>
      </c>
      <c r="M36" s="480">
        <f t="shared" si="55"/>
        <v>201609</v>
      </c>
      <c r="N36" s="480">
        <f t="shared" si="55"/>
        <v>201610</v>
      </c>
      <c r="O36" s="480">
        <f t="shared" si="55"/>
        <v>201611</v>
      </c>
      <c r="P36" s="480">
        <f t="shared" si="55"/>
        <v>201612</v>
      </c>
      <c r="Q36" s="480">
        <f>Q3</f>
        <v>201701</v>
      </c>
      <c r="R36" s="480">
        <f>Q36+1</f>
        <v>201702</v>
      </c>
      <c r="S36" s="480">
        <f t="shared" ref="S36" si="56">R36+1</f>
        <v>201703</v>
      </c>
      <c r="T36" s="480">
        <f t="shared" ref="T36" si="57">S36+1</f>
        <v>201704</v>
      </c>
      <c r="U36" s="480">
        <f t="shared" ref="U36" si="58">T36+1</f>
        <v>201705</v>
      </c>
      <c r="V36" s="480">
        <f t="shared" ref="V36" si="59">U36+1</f>
        <v>201706</v>
      </c>
      <c r="W36" s="480">
        <f t="shared" ref="W36" si="60">V36+1</f>
        <v>201707</v>
      </c>
      <c r="X36" s="480">
        <f t="shared" ref="X36" si="61">W36+1</f>
        <v>201708</v>
      </c>
      <c r="Y36" s="480">
        <f t="shared" ref="Y36" si="62">X36+1</f>
        <v>201709</v>
      </c>
      <c r="Z36" s="480">
        <f t="shared" ref="Z36" si="63">Y36+1</f>
        <v>201710</v>
      </c>
      <c r="AA36" s="480">
        <f t="shared" ref="AA36" si="64">Z36+1</f>
        <v>201711</v>
      </c>
      <c r="AB36" s="480">
        <f t="shared" ref="AB36" si="65">AA36+1</f>
        <v>201712</v>
      </c>
      <c r="AC36" s="567">
        <f t="shared" ref="AC36:AE37" si="66">AC3</f>
        <v>201801</v>
      </c>
      <c r="AD36" s="567">
        <f t="shared" si="66"/>
        <v>201802</v>
      </c>
      <c r="AE36" s="567">
        <f t="shared" si="66"/>
        <v>201803</v>
      </c>
      <c r="AF36" s="567">
        <f t="shared" ref="AF36" si="67">AF3</f>
        <v>201804</v>
      </c>
      <c r="AG36" s="561"/>
      <c r="AH36" s="493" t="s">
        <v>289</v>
      </c>
      <c r="AI36" s="521">
        <v>431600</v>
      </c>
      <c r="AJ36" s="354" t="s">
        <v>280</v>
      </c>
      <c r="AK36" s="354" t="s">
        <v>281</v>
      </c>
      <c r="AL36" s="377">
        <f>IF(SUMIF(E36:AF36,AH34,E40:AF40)&lt;0,-SUMIF(E36:AF36,AH34,E40:AF40),0)</f>
        <v>6682.6320707092254</v>
      </c>
      <c r="AM36" s="494">
        <v>0</v>
      </c>
      <c r="AO36" s="478" t="str">
        <f>_xll.GLW_Segment_Description(AI36,2,2)</f>
        <v>INTEREST EXPENSE ENERGY DEFERRALS</v>
      </c>
    </row>
    <row r="37" spans="1:53" s="479" customFormat="1">
      <c r="B37" s="481" t="s">
        <v>253</v>
      </c>
      <c r="C37" s="478"/>
      <c r="E37" s="484">
        <v>3.2500000000000001E-2</v>
      </c>
      <c r="F37" s="484">
        <v>3.2500000000000001E-2</v>
      </c>
      <c r="G37" s="484">
        <v>3.2500000000000001E-2</v>
      </c>
      <c r="H37" s="484">
        <v>3.4599999999999999E-2</v>
      </c>
      <c r="I37" s="484">
        <v>3.4599999999999999E-2</v>
      </c>
      <c r="J37" s="484">
        <v>3.4599999999999999E-2</v>
      </c>
      <c r="K37" s="484">
        <v>3.5000000000000003E-2</v>
      </c>
      <c r="L37" s="566">
        <v>3.5000000000000003E-2</v>
      </c>
      <c r="M37" s="566">
        <v>3.5000000000000003E-2</v>
      </c>
      <c r="N37" s="566">
        <v>3.5000000000000003E-2</v>
      </c>
      <c r="O37" s="566">
        <v>3.5000000000000003E-2</v>
      </c>
      <c r="P37" s="566">
        <v>3.5000000000000003E-2</v>
      </c>
      <c r="Q37" s="586">
        <v>3.5000000000000003E-2</v>
      </c>
      <c r="R37" s="586">
        <v>3.5000000000000003E-2</v>
      </c>
      <c r="S37" s="586">
        <v>3.5000000000000003E-2</v>
      </c>
      <c r="T37" s="586">
        <v>3.7100000000000001E-2</v>
      </c>
      <c r="U37" s="586">
        <v>3.7100000000000001E-2</v>
      </c>
      <c r="V37" s="586">
        <v>3.7100000000000001E-2</v>
      </c>
      <c r="W37" s="586">
        <v>3.9600000000000003E-2</v>
      </c>
      <c r="X37" s="586">
        <v>3.9600000000000003E-2</v>
      </c>
      <c r="Y37" s="586">
        <v>3.9600000000000003E-2</v>
      </c>
      <c r="Z37" s="586">
        <v>4.2099999999999999E-2</v>
      </c>
      <c r="AA37" s="586">
        <v>4.2099999999999999E-2</v>
      </c>
      <c r="AB37" s="586">
        <v>4.2099999999999999E-2</v>
      </c>
      <c r="AC37" s="586">
        <f t="shared" si="66"/>
        <v>4.2500000000000003E-2</v>
      </c>
      <c r="AD37" s="586">
        <f t="shared" si="66"/>
        <v>4.2500000000000003E-2</v>
      </c>
      <c r="AE37" s="586">
        <f t="shared" si="66"/>
        <v>4.2500000000000003E-2</v>
      </c>
      <c r="AF37" s="586">
        <f t="shared" ref="AF37" si="68">AF4</f>
        <v>4.4699999999999997E-2</v>
      </c>
      <c r="AG37" s="561"/>
      <c r="AH37" s="493" t="s">
        <v>290</v>
      </c>
      <c r="AI37" s="521">
        <v>191000</v>
      </c>
      <c r="AJ37" s="354" t="s">
        <v>280</v>
      </c>
      <c r="AK37" s="354" t="s">
        <v>281</v>
      </c>
      <c r="AL37" s="377">
        <f>IF((SUMIF(E36:AF36,AH34,E39:AF39)+SUMIF(E36:AF36,AH34,E40:AF40))&gt;0,(SUMIF(E36:AF36,AH34,E39:AF39)+SUMIF(E36:AF36,AH34,E40:AF40)),0)</f>
        <v>1212769.1507992907</v>
      </c>
      <c r="AM37" s="494">
        <f>IF((SUMIF(E36:AF36,AH34,E39:AF39)+SUMIF(E36:AF36,AH34,E40:AF40))&lt;0,-(SUMIF(E36:AF36,AH34,E39:AF39)+SUMIF(E36:AF36,AH34,E40:AF40)),0)</f>
        <v>0</v>
      </c>
      <c r="AO37" s="478" t="str">
        <f>_xll.GLW_Segment_Description(AI37,2,2)</f>
        <v>RECOVERABLE GAS COSTS AMORTIZED</v>
      </c>
    </row>
    <row r="38" spans="1:53">
      <c r="A38" s="488"/>
      <c r="B38" s="477" t="s">
        <v>250</v>
      </c>
      <c r="D38" s="478">
        <f>E38</f>
        <v>-2400830.7877258095</v>
      </c>
      <c r="E38" s="478">
        <v>-2400830.7877258095</v>
      </c>
      <c r="F38" s="478">
        <f t="shared" ref="F38" si="69">E43</f>
        <v>-1799942.4443073752</v>
      </c>
      <c r="G38" s="478">
        <f t="shared" ref="G38" si="70">F43</f>
        <v>-1367080.388300563</v>
      </c>
      <c r="H38" s="478">
        <f t="shared" ref="H38" si="71">G43</f>
        <v>-991269.16134300514</v>
      </c>
      <c r="I38" s="478">
        <f t="shared" ref="I38" si="72">H43</f>
        <v>-820633.96798459429</v>
      </c>
      <c r="J38" s="478">
        <f>I43</f>
        <v>-706831.28344430251</v>
      </c>
      <c r="K38" s="478">
        <f t="shared" ref="K38" si="73">J43</f>
        <v>-615740.82707996247</v>
      </c>
      <c r="L38" s="478">
        <f t="shared" ref="L38" si="74">K43</f>
        <v>-539081.43298013532</v>
      </c>
      <c r="M38" s="478">
        <f t="shared" ref="M38:R38" si="75">L43</f>
        <v>-459570.5002163836</v>
      </c>
      <c r="N38" s="478">
        <f t="shared" si="75"/>
        <v>-353667.8760235564</v>
      </c>
      <c r="O38" s="546">
        <f t="shared" si="75"/>
        <v>-123445.19123732927</v>
      </c>
      <c r="P38" s="478">
        <f t="shared" si="75"/>
        <v>-12794629.54065969</v>
      </c>
      <c r="Q38" s="478">
        <f>P43</f>
        <v>-9990002.7430699486</v>
      </c>
      <c r="R38" s="478">
        <f t="shared" si="75"/>
        <v>-6863930.3518781429</v>
      </c>
      <c r="S38" s="478">
        <f>R43</f>
        <v>-4576506.6383892084</v>
      </c>
      <c r="T38" s="478">
        <f t="shared" ref="T38" si="76">S43</f>
        <v>-2850780.7220049934</v>
      </c>
      <c r="U38" s="546">
        <f t="shared" ref="U38" si="77">T43</f>
        <v>-1667508.1164393995</v>
      </c>
      <c r="V38" s="478">
        <f>U43</f>
        <v>-1028322.8285985981</v>
      </c>
      <c r="W38" s="478">
        <f t="shared" ref="W38" si="78">V43</f>
        <v>-648348.69566836057</v>
      </c>
      <c r="X38" s="546">
        <f t="shared" ref="X38:AB38" si="79">W43</f>
        <v>-342730.3402196177</v>
      </c>
      <c r="Y38" s="478">
        <f t="shared" si="79"/>
        <v>-33149.237686728884</v>
      </c>
      <c r="Z38" s="478">
        <f t="shared" si="79"/>
        <v>429057.38532247738</v>
      </c>
      <c r="AA38" s="546">
        <f t="shared" si="79"/>
        <v>1518525.1996199901</v>
      </c>
      <c r="AB38" s="478">
        <f t="shared" si="79"/>
        <v>-11530857.691050928</v>
      </c>
      <c r="AC38" s="478">
        <f>AB43</f>
        <v>-8772939.4477731995</v>
      </c>
      <c r="AD38" s="546">
        <f>AC43</f>
        <v>-6449815.9068760211</v>
      </c>
      <c r="AE38" s="546">
        <f>AD43</f>
        <v>-4259121.6475951439</v>
      </c>
      <c r="AF38" s="546">
        <f>AE43</f>
        <v>-2403721.0782025773</v>
      </c>
      <c r="AH38" s="493" t="s">
        <v>291</v>
      </c>
      <c r="AI38" s="521">
        <v>805110</v>
      </c>
      <c r="AJ38" s="354" t="s">
        <v>280</v>
      </c>
      <c r="AK38" s="354" t="s">
        <v>281</v>
      </c>
      <c r="AL38" s="377">
        <f>IF((SUMIF(E36:AF36,AH34,E39:AF39))&lt;0,-(SUMIF(E36:AF36,AH34,E39:AF39)),0)</f>
        <v>0</v>
      </c>
      <c r="AM38" s="494">
        <f>IF((SUMIF(E36:AF36,AH34,E39:AF39))&gt;0,(SUMIF(E36:AF36,AH34,E39:AF39)),0)</f>
        <v>1219451.78287</v>
      </c>
      <c r="AO38" s="478" t="str">
        <f>_xll.GLW_Segment_Description(AI38,2,2)</f>
        <v>AMORTIZE RECOVERABLE GAS COSTS</v>
      </c>
      <c r="AU38" s="607" t="s">
        <v>320</v>
      </c>
      <c r="AV38" s="608"/>
      <c r="AW38" s="608"/>
      <c r="AX38" s="608"/>
      <c r="AY38" s="608"/>
      <c r="AZ38" s="609"/>
    </row>
    <row r="39" spans="1:53">
      <c r="B39" s="477" t="s">
        <v>23</v>
      </c>
      <c r="C39" s="478">
        <f>SUM(Q39:AB39)</f>
        <v>16000586.827369999</v>
      </c>
      <c r="D39" s="489">
        <f>SUM(E39:AB39)</f>
        <v>22501687.655719999</v>
      </c>
      <c r="E39" s="478">
        <v>606569.19767999998</v>
      </c>
      <c r="F39" s="478">
        <v>437144.93303000001</v>
      </c>
      <c r="G39" s="478">
        <v>379000.50648999994</v>
      </c>
      <c r="H39" s="478">
        <v>173243.59325999999</v>
      </c>
      <c r="I39" s="478">
        <v>116001.61016</v>
      </c>
      <c r="J39" s="478">
        <v>92994.419610000012</v>
      </c>
      <c r="K39" s="478">
        <v>78341.057469999985</v>
      </c>
      <c r="L39" s="478">
        <v>80965.179390000005</v>
      </c>
      <c r="M39" s="478">
        <v>107086.8698</v>
      </c>
      <c r="N39" s="478">
        <v>230917.46145999999</v>
      </c>
      <c r="O39" s="546">
        <v>1361030</v>
      </c>
      <c r="P39" s="478">
        <f>2837806</f>
        <v>2837806</v>
      </c>
      <c r="Q39" s="478">
        <f t="shared" ref="Q39:Z39" si="80">SUMPRODUCT(Q19:Q24,Q29:Q34)</f>
        <v>3150615.2519499999</v>
      </c>
      <c r="R39" s="478">
        <f>SUMPRODUCT(R19:R24,R29:R34)</f>
        <v>2304083.3887400003</v>
      </c>
      <c r="S39" s="478">
        <f t="shared" si="80"/>
        <v>1736541.60424</v>
      </c>
      <c r="T39" s="478">
        <f t="shared" si="80"/>
        <v>1190246.3468200001</v>
      </c>
      <c r="U39" s="478">
        <f t="shared" si="80"/>
        <v>643346.16116000002</v>
      </c>
      <c r="V39" s="478">
        <f t="shared" si="80"/>
        <v>382561.98726999998</v>
      </c>
      <c r="W39" s="478">
        <f t="shared" si="80"/>
        <v>307250.94208999997</v>
      </c>
      <c r="X39" s="478">
        <f t="shared" si="80"/>
        <v>310200.28219000006</v>
      </c>
      <c r="Y39" s="478">
        <f t="shared" si="80"/>
        <v>461554.45064999996</v>
      </c>
      <c r="Z39" s="478">
        <f t="shared" si="80"/>
        <v>1086057.4122600001</v>
      </c>
      <c r="AA39" s="546">
        <v>1765228</v>
      </c>
      <c r="AB39" s="546">
        <v>2662901</v>
      </c>
      <c r="AC39" s="546">
        <f>SUMPRODUCT(AC19:AC24,AC29:AC34)</f>
        <v>2350032.8516000002</v>
      </c>
      <c r="AD39" s="546">
        <f>SUMPRODUCT(AD19:AD24,AD29:AD34)</f>
        <v>2209994.9905999997</v>
      </c>
      <c r="AE39" s="546">
        <f>SUMPRODUCT(AE19:AE24,AE29:AE34)</f>
        <v>1867178.4966399998</v>
      </c>
      <c r="AF39" s="546">
        <f>SUMPRODUCT(AF19:AF24,AF29:AF34)</f>
        <v>1219451.78287</v>
      </c>
      <c r="AH39" s="153" t="s">
        <v>156</v>
      </c>
      <c r="AI39" s="208">
        <f>AI37</f>
        <v>191000</v>
      </c>
      <c r="AJ39" s="208" t="str">
        <f t="shared" ref="AJ39:AK39" si="81">AJ37</f>
        <v>GD</v>
      </c>
      <c r="AK39" s="208" t="str">
        <f t="shared" si="81"/>
        <v>WA</v>
      </c>
      <c r="AL39" s="468">
        <v>0</v>
      </c>
      <c r="AM39" s="458">
        <f>-IF(SUMIF(E36:AE36,AH34,E42:AE42)&lt;0,SUMIF(E36:AE36,AH34,E42:AE42),0)</f>
        <v>0</v>
      </c>
      <c r="AO39" s="478" t="str">
        <f>_xll.GLW_Segment_Description(AI39,2,2)</f>
        <v>RECOVERABLE GAS COSTS AMORTIZED</v>
      </c>
      <c r="AU39" s="610" t="s">
        <v>156</v>
      </c>
      <c r="AV39" s="208">
        <v>191000</v>
      </c>
      <c r="AW39" s="547" t="s">
        <v>280</v>
      </c>
      <c r="AX39" s="547" t="s">
        <v>281</v>
      </c>
      <c r="AY39" s="547">
        <v>130571.12</v>
      </c>
      <c r="AZ39" s="611">
        <v>0</v>
      </c>
      <c r="BA39" s="478">
        <f>AY39-AM39</f>
        <v>130571.12</v>
      </c>
    </row>
    <row r="40" spans="1:53" ht="16.5" thickBot="1">
      <c r="B40" s="477" t="s">
        <v>4</v>
      </c>
      <c r="C40" s="478">
        <f>SUM(Q40:AB40)</f>
        <v>-142882.10207324801</v>
      </c>
      <c r="D40" s="478">
        <f>SUM(E40:AB40)</f>
        <v>-240404.19576738396</v>
      </c>
      <c r="E40" s="485">
        <v>-5680.8542615657343</v>
      </c>
      <c r="F40" s="485">
        <v>-4282.8770231876824</v>
      </c>
      <c r="G40" s="485">
        <v>-3189.27953244215</v>
      </c>
      <c r="H40" s="485">
        <v>-2608.3999015891645</v>
      </c>
      <c r="I40" s="485">
        <v>-2198.9256197082468</v>
      </c>
      <c r="J40" s="485">
        <v>-1903.9632456599886</v>
      </c>
      <c r="K40" s="485">
        <v>-1681.6633701728074</v>
      </c>
      <c r="L40" s="485">
        <v>-1454.2466262483115</v>
      </c>
      <c r="M40" s="485">
        <v>-1184.2456071727854</v>
      </c>
      <c r="N40" s="485">
        <v>-694.77667377287275</v>
      </c>
      <c r="O40" s="543">
        <f>((O38+O41)*(O37/12))+(((O39+O42)/2)*(O37/12))</f>
        <v>-39463.659422358884</v>
      </c>
      <c r="P40" s="485">
        <f t="shared" ref="P40:T40" si="82">((P38+P41)*(P37/12))+(((P39+P42)/2)*(P37/12))</f>
        <v>-33179.202410257429</v>
      </c>
      <c r="Q40" s="485">
        <f>((Q38+Q41)*(Q37/12))+(((Q39+Q42)/2)*(Q37/12))</f>
        <v>-24542.860758193601</v>
      </c>
      <c r="R40" s="485">
        <f t="shared" si="82"/>
        <v>-16659.675251065419</v>
      </c>
      <c r="S40" s="485">
        <f t="shared" si="82"/>
        <v>-10815.687855785192</v>
      </c>
      <c r="T40" s="485">
        <f t="shared" si="82"/>
        <v>-6973.7412544061872</v>
      </c>
      <c r="U40" s="485">
        <f>((U38+U41)*(U37/12))+(((U39+U42)/2)*(U37/12))</f>
        <v>-4160.873319198643</v>
      </c>
      <c r="V40" s="485">
        <f>((V38+V41)*(V37/12))+(((V39+V42)/2)*(V37/12))</f>
        <v>-2587.8543397624576</v>
      </c>
      <c r="W40" s="485">
        <f t="shared" ref="W40" si="83">((W38+W41)*(W37/12))+(((W39+W42)/2)*(W37/12))</f>
        <v>-1632.5866412570899</v>
      </c>
      <c r="X40" s="485">
        <f t="shared" ref="X40:Z40" si="84">((X38+X41)*(X37/12))+(((X39+X42)/2)*(X37/12))</f>
        <v>-619.17965711123838</v>
      </c>
      <c r="Y40" s="485">
        <f t="shared" si="84"/>
        <v>652.17235920629469</v>
      </c>
      <c r="Z40" s="485">
        <f t="shared" si="84"/>
        <v>3410.4020375124419</v>
      </c>
      <c r="AA40" s="543">
        <f t="shared" ref="AA40:AE40" si="85">((AA38+AA41)*(AA37/12))+(((AA39+AA42)/2)*(AA37/12))</f>
        <v>-43398.340670916543</v>
      </c>
      <c r="AB40" s="485">
        <f t="shared" si="85"/>
        <v>-35553.876722270346</v>
      </c>
      <c r="AC40" s="543">
        <f t="shared" si="85"/>
        <v>-26909.310702821749</v>
      </c>
      <c r="AD40" s="543">
        <f t="shared" si="85"/>
        <v>-18930.221319123411</v>
      </c>
      <c r="AE40" s="543">
        <f t="shared" si="85"/>
        <v>-11777.927247432803</v>
      </c>
      <c r="AF40" s="543">
        <f>((AF38+AF41)*(AF37/12))+(((AF39+AF42)/2)*(AF37/12))</f>
        <v>-6682.6320707092254</v>
      </c>
      <c r="AH40" s="154" t="str">
        <f>AH39</f>
        <v>Large Customer Refund</v>
      </c>
      <c r="AI40" s="544">
        <f>AI38</f>
        <v>805110</v>
      </c>
      <c r="AJ40" s="544" t="str">
        <f t="shared" ref="AJ40:AK40" si="86">AJ38</f>
        <v>GD</v>
      </c>
      <c r="AK40" s="544" t="str">
        <f t="shared" si="86"/>
        <v>WA</v>
      </c>
      <c r="AL40" s="460">
        <f>AM39</f>
        <v>0</v>
      </c>
      <c r="AM40" s="469">
        <v>0</v>
      </c>
      <c r="AO40" s="478" t="str">
        <f>_xll.GLW_Segment_Description(AI40,2,2)</f>
        <v>AMORTIZE RECOVERABLE GAS COSTS</v>
      </c>
      <c r="AU40" s="612" t="s">
        <v>156</v>
      </c>
      <c r="AV40" s="209">
        <v>805110</v>
      </c>
      <c r="AW40" s="613" t="s">
        <v>280</v>
      </c>
      <c r="AX40" s="613" t="s">
        <v>281</v>
      </c>
      <c r="AY40" s="613">
        <v>0</v>
      </c>
      <c r="AZ40" s="614">
        <v>130571.12</v>
      </c>
      <c r="BA40" s="478">
        <f>AZ40-AL40</f>
        <v>130571.12</v>
      </c>
    </row>
    <row r="41" spans="1:53" ht="16.5" thickBot="1">
      <c r="B41" s="477" t="s">
        <v>255</v>
      </c>
      <c r="C41" s="478">
        <f t="shared" ref="C41:C42" si="87">SUM(Q41:AB41)</f>
        <v>-14771212.550000001</v>
      </c>
      <c r="D41" s="478">
        <f>SUM(E41:AB41)</f>
        <v>-28953396.510000002</v>
      </c>
      <c r="E41" s="478">
        <v>0</v>
      </c>
      <c r="F41" s="478">
        <v>0</v>
      </c>
      <c r="G41" s="478">
        <v>0</v>
      </c>
      <c r="H41" s="478">
        <v>0</v>
      </c>
      <c r="I41" s="478">
        <v>0</v>
      </c>
      <c r="J41" s="478">
        <v>0</v>
      </c>
      <c r="K41" s="478">
        <v>0</v>
      </c>
      <c r="L41" s="478">
        <v>0</v>
      </c>
      <c r="M41" s="478">
        <v>0</v>
      </c>
      <c r="N41" s="478">
        <v>0</v>
      </c>
      <c r="O41" s="582">
        <v>-14182183.960000001</v>
      </c>
      <c r="P41" s="478">
        <v>0</v>
      </c>
      <c r="Q41" s="478">
        <v>0</v>
      </c>
      <c r="R41" s="478">
        <v>0</v>
      </c>
      <c r="S41" s="478">
        <v>0</v>
      </c>
      <c r="T41" s="478">
        <v>0</v>
      </c>
      <c r="U41" s="478">
        <v>0</v>
      </c>
      <c r="V41" s="478">
        <v>0</v>
      </c>
      <c r="W41" s="478">
        <v>0</v>
      </c>
      <c r="X41" s="478">
        <v>0</v>
      </c>
      <c r="Y41" s="478">
        <v>0</v>
      </c>
      <c r="Z41" s="478">
        <v>0</v>
      </c>
      <c r="AA41" s="582">
        <v>-14771212.550000001</v>
      </c>
      <c r="AB41" s="478">
        <v>0</v>
      </c>
      <c r="AC41" s="546">
        <v>0</v>
      </c>
      <c r="AD41" s="546">
        <v>0</v>
      </c>
      <c r="AE41" s="546">
        <v>0</v>
      </c>
      <c r="AF41" s="546">
        <v>0</v>
      </c>
      <c r="AH41" s="509"/>
      <c r="AI41" s="523"/>
      <c r="AJ41" s="510"/>
      <c r="AK41" s="510"/>
      <c r="AL41" s="510" t="s">
        <v>159</v>
      </c>
      <c r="AM41" s="511">
        <f>SUM(AL35:AL40)-SUM(AM35:AM40)</f>
        <v>0</v>
      </c>
    </row>
    <row r="42" spans="1:53">
      <c r="B42" s="477" t="s">
        <v>148</v>
      </c>
      <c r="C42" s="478">
        <f t="shared" si="87"/>
        <v>130571.12</v>
      </c>
      <c r="D42" s="489">
        <f>SUM(E42:AB42)</f>
        <v>320004.39</v>
      </c>
      <c r="E42" s="478">
        <v>0</v>
      </c>
      <c r="F42" s="478">
        <v>0</v>
      </c>
      <c r="G42" s="478">
        <v>0</v>
      </c>
      <c r="H42" s="478">
        <v>0</v>
      </c>
      <c r="I42" s="478">
        <v>0</v>
      </c>
      <c r="J42" s="478">
        <v>0</v>
      </c>
      <c r="K42" s="478">
        <v>0</v>
      </c>
      <c r="L42" s="478">
        <v>0</v>
      </c>
      <c r="M42" s="478">
        <v>0</v>
      </c>
      <c r="N42" s="478">
        <v>0</v>
      </c>
      <c r="O42" s="546">
        <v>189433.27</v>
      </c>
      <c r="P42" s="478">
        <v>0</v>
      </c>
      <c r="Q42" s="478">
        <v>0</v>
      </c>
      <c r="R42" s="478">
        <v>0</v>
      </c>
      <c r="S42" s="478">
        <v>0</v>
      </c>
      <c r="T42" s="478">
        <v>0</v>
      </c>
      <c r="U42" s="478">
        <v>0</v>
      </c>
      <c r="V42" s="478">
        <v>0</v>
      </c>
      <c r="W42" s="478">
        <v>0</v>
      </c>
      <c r="X42" s="478">
        <v>0</v>
      </c>
      <c r="Y42" s="478">
        <v>0</v>
      </c>
      <c r="Z42" s="478">
        <v>0</v>
      </c>
      <c r="AA42" s="602">
        <v>0</v>
      </c>
      <c r="AB42" s="602">
        <v>130571.12</v>
      </c>
      <c r="AC42" s="546">
        <v>0</v>
      </c>
      <c r="AD42" s="602">
        <f>-158.62-25.94-185.95</f>
        <v>-370.51</v>
      </c>
      <c r="AE42" s="546">
        <v>0</v>
      </c>
      <c r="AF42" s="546">
        <v>0</v>
      </c>
    </row>
    <row r="43" spans="1:53" ht="16.5" thickBot="1">
      <c r="B43" s="477" t="s">
        <v>56</v>
      </c>
      <c r="C43" s="531">
        <f>SUM(C39:C42)</f>
        <v>1217063.29529675</v>
      </c>
      <c r="D43" s="531">
        <f>SUM(D38:D42)</f>
        <v>-8772939.4477731958</v>
      </c>
      <c r="E43" s="531">
        <v>-1799942.4443073752</v>
      </c>
      <c r="F43" s="531">
        <f t="shared" ref="F43:P43" si="88">SUM(F38:F42)</f>
        <v>-1367080.388300563</v>
      </c>
      <c r="G43" s="531">
        <f t="shared" si="88"/>
        <v>-991269.16134300514</v>
      </c>
      <c r="H43" s="531">
        <f t="shared" si="88"/>
        <v>-820633.96798459429</v>
      </c>
      <c r="I43" s="531">
        <f t="shared" si="88"/>
        <v>-706831.28344430251</v>
      </c>
      <c r="J43" s="531">
        <f t="shared" si="88"/>
        <v>-615740.82707996247</v>
      </c>
      <c r="K43" s="531">
        <f>SUM(K38:K42)</f>
        <v>-539081.43298013532</v>
      </c>
      <c r="L43" s="531">
        <f t="shared" si="88"/>
        <v>-459570.5002163836</v>
      </c>
      <c r="M43" s="531">
        <f t="shared" si="88"/>
        <v>-353667.8760235564</v>
      </c>
      <c r="N43" s="531">
        <f t="shared" si="88"/>
        <v>-123445.19123732927</v>
      </c>
      <c r="O43" s="531">
        <f>SUM(O38:O42)</f>
        <v>-12794629.54065969</v>
      </c>
      <c r="P43" s="531">
        <f t="shared" si="88"/>
        <v>-9990002.7430699486</v>
      </c>
      <c r="Q43" s="531">
        <f>SUM(Q38:Q42)</f>
        <v>-6863930.3518781429</v>
      </c>
      <c r="R43" s="531">
        <f t="shared" ref="R43:V43" si="89">SUM(R38:R42)</f>
        <v>-4576506.6383892084</v>
      </c>
      <c r="S43" s="531">
        <f>SUM(S38:S42)</f>
        <v>-2850780.7220049934</v>
      </c>
      <c r="T43" s="531">
        <f t="shared" si="89"/>
        <v>-1667508.1164393995</v>
      </c>
      <c r="U43" s="531">
        <f t="shared" si="89"/>
        <v>-1028322.8285985981</v>
      </c>
      <c r="V43" s="531">
        <f t="shared" si="89"/>
        <v>-648348.69566836057</v>
      </c>
      <c r="W43" s="531">
        <f>SUM(W38:W42)</f>
        <v>-342730.3402196177</v>
      </c>
      <c r="X43" s="531">
        <f t="shared" ref="X43:Z43" si="90">SUM(X38:X42)</f>
        <v>-33149.237686728884</v>
      </c>
      <c r="Y43" s="531">
        <f t="shared" si="90"/>
        <v>429057.38532247738</v>
      </c>
      <c r="Z43" s="531">
        <f t="shared" si="90"/>
        <v>1518525.1996199901</v>
      </c>
      <c r="AA43" s="531">
        <f t="shared" ref="AA43:AF43" si="91">SUM(AA38:AA42)</f>
        <v>-11530857.691050928</v>
      </c>
      <c r="AB43" s="531">
        <f t="shared" si="91"/>
        <v>-8772939.4477731995</v>
      </c>
      <c r="AC43" s="583">
        <f t="shared" si="91"/>
        <v>-6449815.9068760211</v>
      </c>
      <c r="AD43" s="583">
        <f t="shared" si="91"/>
        <v>-4259121.6475951439</v>
      </c>
      <c r="AE43" s="583">
        <f t="shared" si="91"/>
        <v>-2403721.0782025773</v>
      </c>
      <c r="AF43" s="583">
        <f t="shared" si="91"/>
        <v>-1190951.9274032866</v>
      </c>
      <c r="AH43" s="354"/>
      <c r="AI43" s="521"/>
      <c r="AJ43" s="354"/>
      <c r="AK43" s="354"/>
      <c r="AL43" s="377"/>
      <c r="AM43" s="377"/>
      <c r="AN43" s="547"/>
      <c r="AO43" s="547"/>
      <c r="AP43" s="547"/>
      <c r="AQ43" s="547"/>
    </row>
    <row r="44" spans="1:53" ht="16.5" thickTop="1">
      <c r="B44" s="477" t="s">
        <v>256</v>
      </c>
      <c r="D44" s="478">
        <f>_xll.Get_Balance(AB36,"YTD","USD","Total","A","","001",$A$36,"GD","WA","DL")</f>
        <v>-8772480.3499999996</v>
      </c>
      <c r="E44" s="478">
        <v>-1799942.22</v>
      </c>
      <c r="F44" s="478">
        <f>_xll.Get_Balance(F36,"YTD","USD","Total","A","","001",$A$36,"GD","WA","DL")</f>
        <v>-1367080.17</v>
      </c>
      <c r="G44" s="478">
        <f>_xll.Get_Balance(G36,"YTD","USD","Total","A","","001",$A$36,"GD","WA","DL")</f>
        <v>-991268.94</v>
      </c>
      <c r="H44" s="478">
        <f>_xll.Get_Balance(H36,"YTD","USD","Total","A","","001",$A$36,"GD","WA","DL")</f>
        <v>-820633.75</v>
      </c>
      <c r="I44" s="478">
        <f>_xll.Get_Balance(I36,"YTD","USD","Total","A","","001",$A$36,"GD","WA","DL")</f>
        <v>-706831.07</v>
      </c>
      <c r="J44" s="478">
        <f>_xll.Get_Balance(J36,"YTD","USD","Total","A","","001",$A$36,"GD","WA","DL")</f>
        <v>-615740.61</v>
      </c>
      <c r="K44" s="478">
        <f>_xll.Get_Balance(K36,"YTD","USD","Total","A","","001",$A$36,"GD","WA","DL")</f>
        <v>-539081.21</v>
      </c>
      <c r="L44" s="478">
        <f>_xll.Get_Balance(L36,"YTD","USD","Total","A","","001",$A$36,"GD","WA","DL")</f>
        <v>-459570.28</v>
      </c>
      <c r="M44" s="478">
        <f>_xll.Get_Balance(M36,"YTD","USD","Total","A","","001",$A$36,"GD","WA","DL")</f>
        <v>-353667.66</v>
      </c>
      <c r="N44" s="478">
        <f>_xll.Get_Balance(N36,"YTD","USD","Total","A","","001",$A$36,"GD","WA","DL")</f>
        <v>-123444.98</v>
      </c>
      <c r="O44" s="478">
        <f>_xll.Get_Balance(O36,"YTD","USD","Total","A","","001",$A$36,"GD","WA","DL")</f>
        <v>-12794629.33</v>
      </c>
      <c r="P44" s="478">
        <f>_xll.Get_Balance(P36,"YTD","USD","Total","A","","001",$A$36,"GD","WA","DL")</f>
        <v>-9990002.5299999993</v>
      </c>
      <c r="Q44" s="478">
        <f>_xll.Get_Balance(Q36,"YTD","USD","Total","A","","001",$A$36,"GD","WA","DL")</f>
        <v>-6863930.1399999997</v>
      </c>
      <c r="R44" s="478">
        <f>_xll.Get_Balance(R36,"YTD","USD","Total","A","","001",$A$36,"GD","WA","DL")</f>
        <v>-4576506.43</v>
      </c>
      <c r="S44" s="478">
        <f>_xll.Get_Balance(S36,"YTD","USD","Total","A","","001",$A$36,"GD","WA","DL")</f>
        <v>-2850780.51</v>
      </c>
      <c r="T44" s="478">
        <f>_xll.Get_Balance(T36,"YTD","USD","Total","A","","001",$A$36,"GD","WA","DL")</f>
        <v>-1667507.9</v>
      </c>
      <c r="U44" s="478">
        <f>_xll.Get_Balance(U36,"YTD","USD","Total","A","","001",$A$36,"GD","WA","DL")</f>
        <v>-1028322.61</v>
      </c>
      <c r="V44" s="478">
        <f>_xll.Get_Balance(V36,"YTD","USD","Total","A","","001",$A$36,"GD","WA","DL")</f>
        <v>-648348.48</v>
      </c>
      <c r="W44" s="478">
        <f>_xll.Get_Balance(W36,"YTD","USD","Total","A","","001",$A$36,"GD","WA","DL")</f>
        <v>-342730.12</v>
      </c>
      <c r="X44" s="478">
        <f>_xll.Get_Balance(X36,"YTD","USD","Total","A","","001",$A$36,"GD","WA","DL")</f>
        <v>-33149.019999999997</v>
      </c>
      <c r="Y44" s="478">
        <f>_xll.Get_Balance(Y36,"YTD","USD","Total","A","","001",$A$36,"GD","WA","DL")</f>
        <v>429057.6</v>
      </c>
      <c r="Z44" s="478">
        <f>_xll.Get_Balance(Z36,"YTD","USD","Total","A","","001",$A$36,"GD","WA","DL")</f>
        <v>1518525.41</v>
      </c>
      <c r="AA44" s="478">
        <f>_xll.Get_Balance(AA36,"YTD","USD","Total","A","","001",$A$36,"GD","WA","DL")</f>
        <v>-11530628.439999999</v>
      </c>
      <c r="AB44" s="478">
        <f>_xll.Get_Balance(AB36,"YTD","USD","Total","A","","001",$A$36,"GD","WA","DL")</f>
        <v>-8772480.3499999996</v>
      </c>
      <c r="AC44" s="546">
        <f>_xll.Get_Balance(AC36,"YTD","USD","Total","A","","001",$A$36,"GD","WA","DL")</f>
        <v>-6449815.9100000001</v>
      </c>
      <c r="AD44" s="546">
        <f>_xll.Get_Balance(AD36,"YTD","USD","Total","A","","001",$A$36,"GD","WA","DL")</f>
        <v>-4259121.6500000004</v>
      </c>
      <c r="AE44" s="546">
        <f>_xll.Get_Balance(AE36,"YTD","USD","Total","A","","001",$A$36,"GD","WA","DL")</f>
        <v>-2403721.08</v>
      </c>
      <c r="AF44" s="546">
        <f>_xll.Get_Balance(AF36,"YTD","USD","Total","A","","001",$A$36,"GD","WA","DL")</f>
        <v>-1190951.93</v>
      </c>
      <c r="AH44" s="354"/>
      <c r="AI44" s="521"/>
      <c r="AJ44" s="354"/>
      <c r="AK44" s="354"/>
      <c r="AL44" s="377"/>
      <c r="AM44" s="377"/>
      <c r="AN44" s="547"/>
      <c r="AO44" s="547"/>
      <c r="AP44" s="547"/>
      <c r="AQ44" s="547"/>
    </row>
    <row r="45" spans="1:53">
      <c r="B45" s="477" t="s">
        <v>243</v>
      </c>
      <c r="E45" s="478">
        <v>-0.22430737526156008</v>
      </c>
      <c r="F45" s="478">
        <f t="shared" ref="F45:M45" si="92">F43-F44</f>
        <v>-0.21830056305043399</v>
      </c>
      <c r="G45" s="478">
        <f t="shared" si="92"/>
        <v>-0.22134300519246608</v>
      </c>
      <c r="H45" s="478">
        <f t="shared" si="92"/>
        <v>-0.2179845942882821</v>
      </c>
      <c r="I45" s="478">
        <f>I43-I44</f>
        <v>-0.21344430255703628</v>
      </c>
      <c r="J45" s="478">
        <f t="shared" si="92"/>
        <v>-0.21707996248733252</v>
      </c>
      <c r="K45" s="478">
        <f>K43-K44</f>
        <v>-0.22298013535328209</v>
      </c>
      <c r="L45" s="478">
        <f>L43-L44</f>
        <v>-0.2202163835754618</v>
      </c>
      <c r="M45" s="478">
        <f t="shared" si="92"/>
        <v>-0.2160235564224422</v>
      </c>
      <c r="N45" s="478">
        <f>N43-N44</f>
        <v>-0.21123732927662786</v>
      </c>
      <c r="O45" s="478">
        <f>O43-O44</f>
        <v>-0.2106596902012825</v>
      </c>
      <c r="P45" s="478">
        <f>P43-P44</f>
        <v>-0.21306994929909706</v>
      </c>
      <c r="Q45" s="478">
        <f>Q43-Q44</f>
        <v>-0.21187814325094223</v>
      </c>
      <c r="R45" s="478">
        <f t="shared" ref="R45:T45" si="93">R43-R44</f>
        <v>-0.20838920865207911</v>
      </c>
      <c r="S45" s="478">
        <f>S43-S44</f>
        <v>-0.21200499357655644</v>
      </c>
      <c r="T45" s="478">
        <f t="shared" si="93"/>
        <v>-0.21643939963541925</v>
      </c>
      <c r="U45" s="478">
        <f>U43-U44</f>
        <v>-0.21859859814867377</v>
      </c>
      <c r="V45" s="478">
        <f t="shared" ref="V45" si="94">V43-V44</f>
        <v>-0.21566836058627814</v>
      </c>
      <c r="W45" s="478">
        <f>W43-W44</f>
        <v>-0.22021961770951748</v>
      </c>
      <c r="X45" s="478">
        <f>X43-X44</f>
        <v>-0.21768672888720175</v>
      </c>
      <c r="Y45" s="478">
        <f t="shared" ref="Y45" si="95">Y43-Y44</f>
        <v>-0.21467752259923145</v>
      </c>
      <c r="Z45" s="478">
        <f t="shared" ref="Z45:AE45" si="96">Z43-Z44</f>
        <v>-0.21038000984117389</v>
      </c>
      <c r="AA45" s="478">
        <f t="shared" si="96"/>
        <v>-229.25105092860758</v>
      </c>
      <c r="AB45" s="478">
        <f t="shared" si="96"/>
        <v>-459.09777319990098</v>
      </c>
      <c r="AC45" s="546">
        <f t="shared" si="96"/>
        <v>3.1239790841937065E-3</v>
      </c>
      <c r="AD45" s="546">
        <f t="shared" si="96"/>
        <v>2.4048564955592155E-3</v>
      </c>
      <c r="AE45" s="546">
        <f t="shared" si="96"/>
        <v>1.7974227666854858E-3</v>
      </c>
      <c r="AF45" s="546">
        <f>AF43-AF44</f>
        <v>2.5967133697122335E-3</v>
      </c>
    </row>
    <row r="46" spans="1:53">
      <c r="AC46" s="546"/>
      <c r="AD46" s="546"/>
      <c r="AE46" s="546"/>
      <c r="AF46" s="546"/>
    </row>
    <row r="47" spans="1:53" hidden="1" outlineLevel="1">
      <c r="A47" s="479" t="s">
        <v>311</v>
      </c>
      <c r="E47" s="528"/>
      <c r="F47" s="528"/>
      <c r="G47" s="528"/>
      <c r="H47" s="528"/>
      <c r="I47" s="528"/>
      <c r="J47" s="528"/>
      <c r="K47" s="528"/>
      <c r="L47" s="528"/>
      <c r="M47" s="528"/>
      <c r="N47" s="528"/>
      <c r="O47" s="528"/>
      <c r="P47" s="528"/>
      <c r="Q47" s="528"/>
      <c r="R47" s="528"/>
      <c r="S47" s="528"/>
      <c r="T47" s="528"/>
      <c r="U47" s="528"/>
      <c r="V47" s="528"/>
      <c r="W47" s="528"/>
      <c r="X47" s="528"/>
      <c r="Y47" s="528"/>
      <c r="Z47" s="528"/>
      <c r="AA47" s="528"/>
      <c r="AB47" s="528"/>
      <c r="AC47" s="601"/>
      <c r="AD47" s="601"/>
      <c r="AE47" s="601"/>
      <c r="AF47" s="601"/>
    </row>
    <row r="48" spans="1:53" hidden="1" outlineLevel="1">
      <c r="A48" s="480">
        <v>191025</v>
      </c>
      <c r="B48" s="481" t="s">
        <v>252</v>
      </c>
      <c r="C48" s="482" t="s">
        <v>248</v>
      </c>
      <c r="D48" s="482" t="s">
        <v>249</v>
      </c>
      <c r="E48" s="480">
        <v>201601</v>
      </c>
      <c r="F48" s="480">
        <f>E48+1</f>
        <v>201602</v>
      </c>
      <c r="G48" s="480">
        <f t="shared" ref="G48:P48" si="97">F48+1</f>
        <v>201603</v>
      </c>
      <c r="H48" s="480">
        <f t="shared" si="97"/>
        <v>201604</v>
      </c>
      <c r="I48" s="480">
        <f t="shared" si="97"/>
        <v>201605</v>
      </c>
      <c r="J48" s="480">
        <f t="shared" si="97"/>
        <v>201606</v>
      </c>
      <c r="K48" s="480">
        <f t="shared" si="97"/>
        <v>201607</v>
      </c>
      <c r="L48" s="480">
        <f t="shared" si="97"/>
        <v>201608</v>
      </c>
      <c r="M48" s="480">
        <f t="shared" si="97"/>
        <v>201609</v>
      </c>
      <c r="N48" s="480">
        <f t="shared" si="97"/>
        <v>201610</v>
      </c>
      <c r="O48" s="480">
        <f t="shared" si="97"/>
        <v>201611</v>
      </c>
      <c r="P48" s="480">
        <f t="shared" si="97"/>
        <v>201612</v>
      </c>
      <c r="Q48" s="480">
        <f>Q3</f>
        <v>201701</v>
      </c>
      <c r="R48" s="480">
        <f>Q48+1</f>
        <v>201702</v>
      </c>
      <c r="S48" s="480">
        <f t="shared" ref="S48" si="98">R48+1</f>
        <v>201703</v>
      </c>
      <c r="T48" s="480">
        <f t="shared" ref="T48" si="99">S48+1</f>
        <v>201704</v>
      </c>
      <c r="U48" s="480">
        <f t="shared" ref="U48" si="100">T48+1</f>
        <v>201705</v>
      </c>
      <c r="V48" s="480">
        <f t="shared" ref="V48" si="101">U48+1</f>
        <v>201706</v>
      </c>
      <c r="W48" s="480">
        <f t="shared" ref="W48" si="102">V48+1</f>
        <v>201707</v>
      </c>
      <c r="X48" s="480">
        <f t="shared" ref="X48" si="103">W48+1</f>
        <v>201708</v>
      </c>
      <c r="Y48" s="480">
        <f t="shared" ref="Y48" si="104">X48+1</f>
        <v>201709</v>
      </c>
      <c r="Z48" s="480">
        <f t="shared" ref="Z48" si="105">Y48+1</f>
        <v>201710</v>
      </c>
      <c r="AA48" s="480">
        <f t="shared" ref="AA48" si="106">Z48+1</f>
        <v>201711</v>
      </c>
      <c r="AB48" s="480">
        <f t="shared" ref="AB48" si="107">AA48+1</f>
        <v>201712</v>
      </c>
      <c r="AC48" s="567">
        <f>AC3</f>
        <v>201801</v>
      </c>
      <c r="AD48" s="567">
        <f>AD3</f>
        <v>201802</v>
      </c>
      <c r="AE48" s="567">
        <f>AE3</f>
        <v>201803</v>
      </c>
      <c r="AF48" s="567">
        <f>AF3</f>
        <v>201804</v>
      </c>
      <c r="AL48" s="546"/>
    </row>
    <row r="49" spans="1:35" hidden="1" outlineLevel="1">
      <c r="A49" s="479"/>
      <c r="B49" s="477" t="s">
        <v>37</v>
      </c>
      <c r="C49" s="486" t="e">
        <f>SUM(Q49:AB49)</f>
        <v>#REF!</v>
      </c>
      <c r="D49" s="486" t="e">
        <f t="shared" ref="D49:D57" si="108">SUM(E49:AB49)</f>
        <v>#REF!</v>
      </c>
      <c r="E49" s="533">
        <v>20140968</v>
      </c>
      <c r="F49" s="533">
        <v>14297044</v>
      </c>
      <c r="G49" s="533">
        <v>12238194</v>
      </c>
      <c r="H49" s="533">
        <v>5348802</v>
      </c>
      <c r="I49" s="533">
        <v>3384728</v>
      </c>
      <c r="J49" s="533">
        <v>2765049</v>
      </c>
      <c r="K49" s="533">
        <v>2292583</v>
      </c>
      <c r="L49" s="533">
        <v>2354714</v>
      </c>
      <c r="M49" s="533">
        <v>3123052</v>
      </c>
      <c r="N49" s="533">
        <v>7137333</v>
      </c>
      <c r="O49" s="533">
        <v>11352396</v>
      </c>
      <c r="P49" s="533">
        <v>24209007</v>
      </c>
      <c r="Q49" s="587">
        <v>27259641</v>
      </c>
      <c r="R49" s="587">
        <f>Feb!$G23</f>
        <v>18179866</v>
      </c>
      <c r="S49" s="587">
        <f>Mar!$G23</f>
        <v>15771469</v>
      </c>
      <c r="T49" s="587">
        <f>Apr!$G23</f>
        <v>9759881</v>
      </c>
      <c r="U49" s="587" t="e">
        <f>#REF!</f>
        <v>#REF!</v>
      </c>
      <c r="V49" s="587" t="e">
        <f>#REF!</f>
        <v>#REF!</v>
      </c>
      <c r="W49" s="587" t="e">
        <f>#REF!</f>
        <v>#REF!</v>
      </c>
      <c r="X49" s="587" t="e">
        <f>#REF!</f>
        <v>#REF!</v>
      </c>
      <c r="Y49" s="587" t="e">
        <f>#REF!</f>
        <v>#REF!</v>
      </c>
      <c r="Z49" s="587" t="e">
        <f>#REF!</f>
        <v>#REF!</v>
      </c>
      <c r="AA49" s="587" t="e">
        <f>#REF!</f>
        <v>#REF!</v>
      </c>
      <c r="AB49" s="587" t="e">
        <f>#REF!</f>
        <v>#REF!</v>
      </c>
      <c r="AC49" s="587">
        <f>Jan!G23</f>
        <v>20257484</v>
      </c>
      <c r="AD49" s="549">
        <f>Feb!G23</f>
        <v>18179866</v>
      </c>
      <c r="AE49" s="549" t="str">
        <f>Feb!H23</f>
        <v>MAIN CALC</v>
      </c>
      <c r="AF49" s="549">
        <f>Feb!I23</f>
        <v>2081351</v>
      </c>
    </row>
    <row r="50" spans="1:35" hidden="1" outlineLevel="1">
      <c r="A50" s="479"/>
      <c r="B50" s="552" t="s">
        <v>305</v>
      </c>
      <c r="C50" s="486" t="e">
        <f t="shared" ref="C50:C57" si="109">SUM(Q50:AB50)</f>
        <v>#REF!</v>
      </c>
      <c r="D50" s="486" t="e">
        <f t="shared" si="108"/>
        <v>#REF!</v>
      </c>
      <c r="E50" s="533">
        <v>17893</v>
      </c>
      <c r="F50" s="533">
        <v>14593</v>
      </c>
      <c r="G50" s="533">
        <v>18603</v>
      </c>
      <c r="H50" s="533">
        <v>12171</v>
      </c>
      <c r="I50" s="533">
        <v>5734</v>
      </c>
      <c r="J50" s="533">
        <v>4482</v>
      </c>
      <c r="K50" s="533">
        <v>3610</v>
      </c>
      <c r="L50" s="533">
        <v>2820</v>
      </c>
      <c r="M50" s="533">
        <v>4729</v>
      </c>
      <c r="N50" s="533">
        <v>12809</v>
      </c>
      <c r="O50" s="533">
        <v>19581</v>
      </c>
      <c r="P50" s="533">
        <v>35292</v>
      </c>
      <c r="Q50" s="587">
        <v>40615</v>
      </c>
      <c r="R50" s="587">
        <f>Feb!$G24</f>
        <v>21014</v>
      </c>
      <c r="S50" s="587">
        <f>Mar!$G24</f>
        <v>19043</v>
      </c>
      <c r="T50" s="587">
        <f>Apr!$G24</f>
        <v>11770</v>
      </c>
      <c r="U50" s="587" t="e">
        <f>#REF!</f>
        <v>#REF!</v>
      </c>
      <c r="V50" s="587" t="e">
        <f>#REF!</f>
        <v>#REF!</v>
      </c>
      <c r="W50" s="587" t="e">
        <f>#REF!</f>
        <v>#REF!</v>
      </c>
      <c r="X50" s="587" t="e">
        <f>#REF!</f>
        <v>#REF!</v>
      </c>
      <c r="Y50" s="587" t="e">
        <f>#REF!</f>
        <v>#REF!</v>
      </c>
      <c r="Z50" s="587" t="e">
        <f>#REF!</f>
        <v>#REF!</v>
      </c>
      <c r="AA50" s="587" t="e">
        <f>#REF!</f>
        <v>#REF!</v>
      </c>
      <c r="AB50" s="587" t="e">
        <f>#REF!</f>
        <v>#REF!</v>
      </c>
      <c r="AC50" s="587">
        <f>Jan!G24</f>
        <v>22671</v>
      </c>
      <c r="AD50" s="549">
        <f>Feb!G24</f>
        <v>21014</v>
      </c>
      <c r="AE50" s="549" t="str">
        <f>Feb!H24</f>
        <v>MAIN CALC</v>
      </c>
      <c r="AF50" s="549">
        <f>Feb!I24</f>
        <v>2402</v>
      </c>
    </row>
    <row r="51" spans="1:35" hidden="1" outlineLevel="1">
      <c r="A51" s="479"/>
      <c r="B51" s="477" t="s">
        <v>38</v>
      </c>
      <c r="C51" s="486" t="e">
        <f t="shared" si="109"/>
        <v>#REF!</v>
      </c>
      <c r="D51" s="486" t="e">
        <f t="shared" si="108"/>
        <v>#REF!</v>
      </c>
      <c r="E51" s="533">
        <v>6568112</v>
      </c>
      <c r="F51" s="533">
        <v>5200734</v>
      </c>
      <c r="G51" s="533">
        <v>4795258</v>
      </c>
      <c r="H51" s="533">
        <v>2668983</v>
      </c>
      <c r="I51" s="533">
        <v>2221542</v>
      </c>
      <c r="J51" s="533">
        <v>1675034</v>
      </c>
      <c r="K51" s="533">
        <v>1510014</v>
      </c>
      <c r="L51" s="533">
        <v>1583471</v>
      </c>
      <c r="M51" s="533">
        <v>2056535</v>
      </c>
      <c r="N51" s="533">
        <v>3586972</v>
      </c>
      <c r="O51" s="533">
        <v>4116109</v>
      </c>
      <c r="P51" s="533">
        <v>8576537</v>
      </c>
      <c r="Q51" s="587">
        <v>8738107</v>
      </c>
      <c r="R51" s="587">
        <f>Feb!$G25</f>
        <v>7202971</v>
      </c>
      <c r="S51" s="587">
        <f>Mar!$G25</f>
        <v>5606266</v>
      </c>
      <c r="T51" s="587">
        <f>Apr!$G25</f>
        <v>4266905</v>
      </c>
      <c r="U51" s="587" t="e">
        <f>#REF!</f>
        <v>#REF!</v>
      </c>
      <c r="V51" s="587" t="e">
        <f>#REF!</f>
        <v>#REF!</v>
      </c>
      <c r="W51" s="587" t="e">
        <f>#REF!</f>
        <v>#REF!</v>
      </c>
      <c r="X51" s="587" t="e">
        <f>#REF!</f>
        <v>#REF!</v>
      </c>
      <c r="Y51" s="587" t="e">
        <f>#REF!</f>
        <v>#REF!</v>
      </c>
      <c r="Z51" s="587" t="e">
        <f>#REF!</f>
        <v>#REF!</v>
      </c>
      <c r="AA51" s="587" t="e">
        <f>#REF!</f>
        <v>#REF!</v>
      </c>
      <c r="AB51" s="587" t="e">
        <f>#REF!</f>
        <v>#REF!</v>
      </c>
      <c r="AC51" s="587">
        <f>Jan!G25</f>
        <v>6608892</v>
      </c>
      <c r="AD51" s="549">
        <f>Feb!G25</f>
        <v>7202971</v>
      </c>
      <c r="AE51" s="549" t="str">
        <f>Feb!H25</f>
        <v>MAIN CALC</v>
      </c>
      <c r="AF51" s="549">
        <f>Feb!I25</f>
        <v>759003</v>
      </c>
    </row>
    <row r="52" spans="1:35" hidden="1" outlineLevel="1">
      <c r="A52" s="479"/>
      <c r="B52" s="477" t="s">
        <v>39</v>
      </c>
      <c r="C52" s="486" t="e">
        <f t="shared" si="109"/>
        <v>#REF!</v>
      </c>
      <c r="D52" s="486" t="e">
        <f t="shared" si="108"/>
        <v>#REF!</v>
      </c>
      <c r="E52" s="533">
        <v>0</v>
      </c>
      <c r="F52" s="533">
        <v>0</v>
      </c>
      <c r="G52" s="533">
        <v>0</v>
      </c>
      <c r="H52" s="533">
        <v>0</v>
      </c>
      <c r="I52" s="533">
        <v>0</v>
      </c>
      <c r="J52" s="533">
        <v>0</v>
      </c>
      <c r="K52" s="533">
        <v>0</v>
      </c>
      <c r="L52" s="533">
        <v>0</v>
      </c>
      <c r="M52" s="533">
        <v>0</v>
      </c>
      <c r="N52" s="533">
        <v>0</v>
      </c>
      <c r="O52" s="533">
        <v>0</v>
      </c>
      <c r="P52" s="533">
        <v>0</v>
      </c>
      <c r="Q52" s="587">
        <v>0</v>
      </c>
      <c r="R52" s="587">
        <f>Feb!$G26</f>
        <v>21563</v>
      </c>
      <c r="S52" s="587">
        <f>Mar!$G26</f>
        <v>7893</v>
      </c>
      <c r="T52" s="587">
        <f>Apr!$G26</f>
        <v>9867</v>
      </c>
      <c r="U52" s="587" t="e">
        <f>#REF!</f>
        <v>#REF!</v>
      </c>
      <c r="V52" s="587" t="e">
        <f>#REF!</f>
        <v>#REF!</v>
      </c>
      <c r="W52" s="587" t="e">
        <f>#REF!</f>
        <v>#REF!</v>
      </c>
      <c r="X52" s="587" t="e">
        <f>#REF!</f>
        <v>#REF!</v>
      </c>
      <c r="Y52" s="587" t="e">
        <f>#REF!</f>
        <v>#REF!</v>
      </c>
      <c r="Z52" s="587" t="e">
        <f>#REF!</f>
        <v>#REF!</v>
      </c>
      <c r="AA52" s="587" t="e">
        <f>#REF!</f>
        <v>#REF!</v>
      </c>
      <c r="AB52" s="587" t="e">
        <f>#REF!</f>
        <v>#REF!</v>
      </c>
      <c r="AC52" s="587">
        <f>Jan!G26</f>
        <v>10558</v>
      </c>
      <c r="AD52" s="549">
        <f>Feb!G26</f>
        <v>21563</v>
      </c>
      <c r="AE52" s="549" t="str">
        <f>Feb!H26</f>
        <v>MAIN CALC</v>
      </c>
      <c r="AF52" s="549">
        <f>Feb!I26</f>
        <v>2123</v>
      </c>
    </row>
    <row r="53" spans="1:35" hidden="1" outlineLevel="1">
      <c r="A53" s="479"/>
      <c r="B53" s="477" t="s">
        <v>40</v>
      </c>
      <c r="C53" s="486" t="e">
        <f t="shared" si="109"/>
        <v>#REF!</v>
      </c>
      <c r="D53" s="486" t="e">
        <f t="shared" si="108"/>
        <v>#REF!</v>
      </c>
      <c r="E53" s="533">
        <v>345863</v>
      </c>
      <c r="F53" s="533">
        <v>408568</v>
      </c>
      <c r="G53" s="533">
        <v>361566</v>
      </c>
      <c r="H53" s="533">
        <v>227877</v>
      </c>
      <c r="I53" s="533">
        <v>311290</v>
      </c>
      <c r="J53" s="533">
        <v>225272</v>
      </c>
      <c r="K53" s="533">
        <v>266816</v>
      </c>
      <c r="L53" s="533">
        <v>259403</v>
      </c>
      <c r="M53" s="533">
        <v>291879</v>
      </c>
      <c r="N53" s="533">
        <v>401880</v>
      </c>
      <c r="O53" s="533">
        <v>314956</v>
      </c>
      <c r="P53" s="533">
        <v>234225</v>
      </c>
      <c r="Q53" s="587">
        <v>284721</v>
      </c>
      <c r="R53" s="587">
        <f>Feb!$G27</f>
        <v>448875</v>
      </c>
      <c r="S53" s="587">
        <f>Mar!$G27</f>
        <v>345298</v>
      </c>
      <c r="T53" s="587">
        <f>Apr!$G27</f>
        <v>305691</v>
      </c>
      <c r="U53" s="587" t="e">
        <f>#REF!</f>
        <v>#REF!</v>
      </c>
      <c r="V53" s="587" t="e">
        <f>#REF!</f>
        <v>#REF!</v>
      </c>
      <c r="W53" s="587" t="e">
        <f>#REF!</f>
        <v>#REF!</v>
      </c>
      <c r="X53" s="587" t="e">
        <f>#REF!</f>
        <v>#REF!</v>
      </c>
      <c r="Y53" s="587" t="e">
        <f>#REF!</f>
        <v>#REF!</v>
      </c>
      <c r="Z53" s="587" t="e">
        <f>#REF!</f>
        <v>#REF!</v>
      </c>
      <c r="AA53" s="587" t="e">
        <f>#REF!</f>
        <v>#REF!</v>
      </c>
      <c r="AB53" s="587" t="e">
        <f>#REF!</f>
        <v>#REF!</v>
      </c>
      <c r="AC53" s="587">
        <f>Jan!G27</f>
        <v>362835</v>
      </c>
      <c r="AD53" s="549">
        <f>Feb!G27</f>
        <v>448875</v>
      </c>
      <c r="AE53" s="549" t="str">
        <f>Feb!H27</f>
        <v>MAIN CALC</v>
      </c>
      <c r="AF53" s="549">
        <f>Feb!I27</f>
        <v>48583</v>
      </c>
    </row>
    <row r="54" spans="1:35" hidden="1" outlineLevel="1">
      <c r="A54" s="479"/>
      <c r="B54" s="477" t="s">
        <v>41</v>
      </c>
      <c r="C54" s="486" t="e">
        <f t="shared" si="109"/>
        <v>#REF!</v>
      </c>
      <c r="D54" s="486" t="e">
        <f t="shared" si="108"/>
        <v>#REF!</v>
      </c>
      <c r="E54" s="533">
        <v>83853</v>
      </c>
      <c r="F54" s="533">
        <v>67179</v>
      </c>
      <c r="G54" s="533">
        <v>59583</v>
      </c>
      <c r="H54" s="533">
        <v>54523</v>
      </c>
      <c r="I54" s="533">
        <v>42598</v>
      </c>
      <c r="J54" s="533">
        <v>35139</v>
      </c>
      <c r="K54" s="533">
        <v>27605</v>
      </c>
      <c r="L54" s="533">
        <v>25524</v>
      </c>
      <c r="M54" s="533">
        <v>26763</v>
      </c>
      <c r="N54" s="533">
        <v>37231</v>
      </c>
      <c r="O54" s="533">
        <v>51431</v>
      </c>
      <c r="P54" s="533">
        <v>69958</v>
      </c>
      <c r="Q54" s="587">
        <v>64203</v>
      </c>
      <c r="R54" s="587">
        <f>Feb!$G28</f>
        <v>48826</v>
      </c>
      <c r="S54" s="587">
        <f>Mar!$G28</f>
        <v>51647</v>
      </c>
      <c r="T54" s="587">
        <f>Apr!$G28</f>
        <v>46438</v>
      </c>
      <c r="U54" s="587" t="e">
        <f>#REF!</f>
        <v>#REF!</v>
      </c>
      <c r="V54" s="587" t="e">
        <f>#REF!</f>
        <v>#REF!</v>
      </c>
      <c r="W54" s="587" t="e">
        <f>#REF!</f>
        <v>#REF!</v>
      </c>
      <c r="X54" s="587" t="e">
        <f>#REF!</f>
        <v>#REF!</v>
      </c>
      <c r="Y54" s="587" t="e">
        <f>#REF!</f>
        <v>#REF!</v>
      </c>
      <c r="Z54" s="587" t="e">
        <f>#REF!</f>
        <v>#REF!</v>
      </c>
      <c r="AA54" s="587" t="e">
        <f>#REF!</f>
        <v>#REF!</v>
      </c>
      <c r="AB54" s="587" t="e">
        <f>#REF!</f>
        <v>#REF!</v>
      </c>
      <c r="AC54" s="587">
        <f>Jan!G28</f>
        <v>65295</v>
      </c>
      <c r="AD54" s="549">
        <f>Feb!G28</f>
        <v>48826</v>
      </c>
      <c r="AE54" s="549" t="str">
        <f>Feb!H28</f>
        <v>MAIN CALC</v>
      </c>
      <c r="AF54" s="549">
        <f>Feb!I28</f>
        <v>5622</v>
      </c>
    </row>
    <row r="55" spans="1:35" hidden="1" outlineLevel="1">
      <c r="A55" s="479"/>
      <c r="B55" s="477" t="s">
        <v>42</v>
      </c>
      <c r="C55" s="486" t="e">
        <f t="shared" si="109"/>
        <v>#REF!</v>
      </c>
      <c r="D55" s="486" t="e">
        <f t="shared" si="108"/>
        <v>#REF!</v>
      </c>
      <c r="E55" s="533">
        <v>0</v>
      </c>
      <c r="F55" s="533">
        <v>0</v>
      </c>
      <c r="G55" s="533">
        <v>0</v>
      </c>
      <c r="H55" s="533">
        <v>0</v>
      </c>
      <c r="I55" s="533">
        <v>0</v>
      </c>
      <c r="J55" s="533">
        <v>0</v>
      </c>
      <c r="K55" s="533">
        <v>0</v>
      </c>
      <c r="L55" s="533">
        <v>0</v>
      </c>
      <c r="M55" s="533">
        <v>0</v>
      </c>
      <c r="N55" s="533">
        <v>0</v>
      </c>
      <c r="O55" s="533">
        <v>0</v>
      </c>
      <c r="P55" s="533">
        <v>0</v>
      </c>
      <c r="Q55" s="587">
        <v>0</v>
      </c>
      <c r="R55" s="587">
        <f>Feb!$G29</f>
        <v>0</v>
      </c>
      <c r="S55" s="587">
        <f>Mar!$G29</f>
        <v>0</v>
      </c>
      <c r="T55" s="587">
        <f>Apr!$G29</f>
        <v>0</v>
      </c>
      <c r="U55" s="587" t="e">
        <f>#REF!</f>
        <v>#REF!</v>
      </c>
      <c r="V55" s="587" t="e">
        <f>#REF!</f>
        <v>#REF!</v>
      </c>
      <c r="W55" s="587" t="e">
        <f>#REF!</f>
        <v>#REF!</v>
      </c>
      <c r="X55" s="587" t="e">
        <f>#REF!</f>
        <v>#REF!</v>
      </c>
      <c r="Y55" s="587" t="e">
        <f>#REF!</f>
        <v>#REF!</v>
      </c>
      <c r="Z55" s="587" t="e">
        <f>#REF!</f>
        <v>#REF!</v>
      </c>
      <c r="AA55" s="587" t="e">
        <f>#REF!</f>
        <v>#REF!</v>
      </c>
      <c r="AB55" s="587" t="e">
        <f>#REF!</f>
        <v>#REF!</v>
      </c>
      <c r="AC55" s="587">
        <f>Jan!G29</f>
        <v>0</v>
      </c>
      <c r="AD55" s="549">
        <f>Feb!G29</f>
        <v>0</v>
      </c>
      <c r="AE55" s="549" t="str">
        <f>Feb!H29</f>
        <v>MAIN CALC</v>
      </c>
      <c r="AF55" s="549">
        <f>Feb!I29</f>
        <v>0</v>
      </c>
    </row>
    <row r="56" spans="1:35" hidden="1" outlineLevel="1">
      <c r="A56" s="479"/>
      <c r="B56" s="477" t="s">
        <v>43</v>
      </c>
      <c r="C56" s="486" t="e">
        <f t="shared" si="109"/>
        <v>#REF!</v>
      </c>
      <c r="D56" s="486" t="e">
        <f t="shared" si="108"/>
        <v>#REF!</v>
      </c>
      <c r="E56" s="533">
        <v>203731</v>
      </c>
      <c r="F56" s="533">
        <v>102322</v>
      </c>
      <c r="G56" s="533">
        <v>89942</v>
      </c>
      <c r="H56" s="533">
        <v>82073</v>
      </c>
      <c r="I56" s="533">
        <v>57685</v>
      </c>
      <c r="J56" s="533">
        <v>51713</v>
      </c>
      <c r="K56" s="533">
        <v>45567</v>
      </c>
      <c r="L56" s="533">
        <v>37963</v>
      </c>
      <c r="M56" s="533">
        <v>46700</v>
      </c>
      <c r="N56" s="533">
        <v>59610</v>
      </c>
      <c r="O56" s="533">
        <v>85100</v>
      </c>
      <c r="P56" s="533">
        <v>111788</v>
      </c>
      <c r="Q56" s="587">
        <v>160387</v>
      </c>
      <c r="R56" s="587">
        <f>Feb!$G30</f>
        <v>117328</v>
      </c>
      <c r="S56" s="587">
        <f>Mar!$G30</f>
        <v>113117</v>
      </c>
      <c r="T56" s="587">
        <f>Apr!$G30</f>
        <v>93219</v>
      </c>
      <c r="U56" s="587" t="e">
        <f>#REF!</f>
        <v>#REF!</v>
      </c>
      <c r="V56" s="587" t="e">
        <f>#REF!</f>
        <v>#REF!</v>
      </c>
      <c r="W56" s="587" t="e">
        <f>#REF!</f>
        <v>#REF!</v>
      </c>
      <c r="X56" s="587" t="e">
        <f>#REF!</f>
        <v>#REF!</v>
      </c>
      <c r="Y56" s="587" t="e">
        <f>#REF!</f>
        <v>#REF!</v>
      </c>
      <c r="Z56" s="587" t="e">
        <f>#REF!</f>
        <v>#REF!</v>
      </c>
      <c r="AA56" s="587" t="e">
        <f>#REF!</f>
        <v>#REF!</v>
      </c>
      <c r="AB56" s="587" t="e">
        <f>#REF!</f>
        <v>#REF!</v>
      </c>
      <c r="AC56" s="587">
        <f>Jan!G30</f>
        <v>139102</v>
      </c>
      <c r="AD56" s="549">
        <f>Feb!G30</f>
        <v>117328</v>
      </c>
      <c r="AE56" s="549" t="str">
        <f>Feb!H30</f>
        <v>MAIN CALC</v>
      </c>
      <c r="AF56" s="549">
        <f>Feb!I30</f>
        <v>7875</v>
      </c>
    </row>
    <row r="57" spans="1:35" hidden="1" outlineLevel="1">
      <c r="A57" s="479"/>
      <c r="B57" s="477" t="s">
        <v>74</v>
      </c>
      <c r="C57" s="486" t="e">
        <f t="shared" si="109"/>
        <v>#REF!</v>
      </c>
      <c r="D57" s="486" t="e">
        <f t="shared" si="108"/>
        <v>#REF!</v>
      </c>
      <c r="E57" s="533">
        <v>3346687</v>
      </c>
      <c r="F57" s="533">
        <v>2956295</v>
      </c>
      <c r="G57" s="533">
        <v>2822744</v>
      </c>
      <c r="H57" s="533">
        <v>2379815</v>
      </c>
      <c r="I57" s="533">
        <v>2359261</v>
      </c>
      <c r="J57" s="533">
        <v>2149880</v>
      </c>
      <c r="K57" s="533">
        <v>1956378</v>
      </c>
      <c r="L57" s="533">
        <v>1966117</v>
      </c>
      <c r="M57" s="533">
        <v>1915306</v>
      </c>
      <c r="N57" s="533">
        <v>2505633</v>
      </c>
      <c r="O57" s="533">
        <v>2750386</v>
      </c>
      <c r="P57" s="533">
        <v>3806098</v>
      </c>
      <c r="Q57" s="587">
        <v>4261630</v>
      </c>
      <c r="R57" s="587">
        <f>Feb!$G31</f>
        <v>3567188</v>
      </c>
      <c r="S57" s="587">
        <f>Mar!$G31</f>
        <v>3349134</v>
      </c>
      <c r="T57" s="587">
        <f>Apr!$G31</f>
        <v>3031741</v>
      </c>
      <c r="U57" s="587" t="e">
        <f>#REF!</f>
        <v>#REF!</v>
      </c>
      <c r="V57" s="587" t="e">
        <f>#REF!</f>
        <v>#REF!</v>
      </c>
      <c r="W57" s="587" t="e">
        <f>#REF!</f>
        <v>#REF!</v>
      </c>
      <c r="X57" s="587" t="e">
        <f>#REF!</f>
        <v>#REF!</v>
      </c>
      <c r="Y57" s="587" t="e">
        <f>#REF!</f>
        <v>#REF!</v>
      </c>
      <c r="Z57" s="587" t="e">
        <f>#REF!</f>
        <v>#REF!</v>
      </c>
      <c r="AA57" s="587" t="e">
        <f>#REF!</f>
        <v>#REF!</v>
      </c>
      <c r="AB57" s="587" t="e">
        <f>#REF!</f>
        <v>#REF!</v>
      </c>
      <c r="AC57" s="587">
        <f>Jan!G31</f>
        <v>3629622</v>
      </c>
      <c r="AD57" s="549">
        <f>Feb!G31</f>
        <v>3567188</v>
      </c>
      <c r="AE57" s="549" t="str">
        <f>Feb!H31</f>
        <v>MAIN CALC</v>
      </c>
      <c r="AF57" s="549">
        <f>Feb!I31</f>
        <v>1901</v>
      </c>
    </row>
    <row r="58" spans="1:35" ht="16.5" hidden="1" outlineLevel="1" thickBot="1">
      <c r="A58" s="479"/>
      <c r="B58" s="477" t="s">
        <v>21</v>
      </c>
      <c r="C58" s="532" t="e">
        <f>SUM(C49:C57)</f>
        <v>#REF!</v>
      </c>
      <c r="D58" s="532" t="e">
        <f>SUM(D49:D57)</f>
        <v>#REF!</v>
      </c>
      <c r="E58" s="532">
        <v>30707107</v>
      </c>
      <c r="F58" s="532">
        <f t="shared" ref="F58:P58" si="110">SUM(F49:F57)</f>
        <v>23046735</v>
      </c>
      <c r="G58" s="532">
        <f t="shared" si="110"/>
        <v>20385890</v>
      </c>
      <c r="H58" s="532">
        <f t="shared" si="110"/>
        <v>10774244</v>
      </c>
      <c r="I58" s="532">
        <f t="shared" si="110"/>
        <v>8382838</v>
      </c>
      <c r="J58" s="532">
        <f t="shared" si="110"/>
        <v>6906569</v>
      </c>
      <c r="K58" s="532">
        <f>SUM(K49:K57)</f>
        <v>6102573</v>
      </c>
      <c r="L58" s="532">
        <f t="shared" si="110"/>
        <v>6230012</v>
      </c>
      <c r="M58" s="532">
        <f t="shared" si="110"/>
        <v>7464964</v>
      </c>
      <c r="N58" s="532">
        <f>SUM(N49:N57)</f>
        <v>13741468</v>
      </c>
      <c r="O58" s="532">
        <f t="shared" si="110"/>
        <v>18689959</v>
      </c>
      <c r="P58" s="532">
        <f t="shared" si="110"/>
        <v>37042905</v>
      </c>
      <c r="Q58" s="532">
        <f t="shared" ref="Q58:V58" si="111">SUM(Q49:Q57)</f>
        <v>40809304</v>
      </c>
      <c r="R58" s="532">
        <f t="shared" si="111"/>
        <v>29607631</v>
      </c>
      <c r="S58" s="532">
        <f t="shared" si="111"/>
        <v>25263867</v>
      </c>
      <c r="T58" s="532">
        <f t="shared" si="111"/>
        <v>17525512</v>
      </c>
      <c r="U58" s="532" t="e">
        <f t="shared" si="111"/>
        <v>#REF!</v>
      </c>
      <c r="V58" s="532" t="e">
        <f t="shared" si="111"/>
        <v>#REF!</v>
      </c>
      <c r="W58" s="532" t="e">
        <f>SUM(W49:W57)</f>
        <v>#REF!</v>
      </c>
      <c r="X58" s="532" t="e">
        <f t="shared" ref="X58:Y58" si="112">SUM(X49:X57)</f>
        <v>#REF!</v>
      </c>
      <c r="Y58" s="532" t="e">
        <f t="shared" si="112"/>
        <v>#REF!</v>
      </c>
      <c r="Z58" s="532" t="e">
        <f>SUM(Z49:Z57)</f>
        <v>#REF!</v>
      </c>
      <c r="AA58" s="532" t="e">
        <f t="shared" ref="AA58:AB58" si="113">SUM(AA49:AA57)</f>
        <v>#REF!</v>
      </c>
      <c r="AB58" s="532" t="e">
        <f t="shared" si="113"/>
        <v>#REF!</v>
      </c>
      <c r="AC58" s="532">
        <f t="shared" ref="AC58" si="114">SUM(AC49:AC57)</f>
        <v>31096459</v>
      </c>
      <c r="AD58" s="600">
        <f>SUM(AD49:AD57)</f>
        <v>29607631</v>
      </c>
      <c r="AE58" s="600">
        <f>SUM(AE49:AE57)</f>
        <v>0</v>
      </c>
      <c r="AF58" s="600">
        <f>SUM(AF49:AF57)</f>
        <v>2908860</v>
      </c>
    </row>
    <row r="59" spans="1:35" ht="16.5" hidden="1" outlineLevel="1" thickTop="1">
      <c r="A59" s="479"/>
      <c r="B59" s="477" t="s">
        <v>264</v>
      </c>
      <c r="C59" s="486">
        <f>SUM(Q59:AB59)</f>
        <v>225197372</v>
      </c>
      <c r="D59" s="486">
        <f>SUM(E59:AB59)</f>
        <v>414672636</v>
      </c>
      <c r="E59" s="486">
        <v>30707107</v>
      </c>
      <c r="F59" s="486">
        <v>23046735</v>
      </c>
      <c r="G59" s="486">
        <v>20385890</v>
      </c>
      <c r="H59" s="486">
        <v>10774244</v>
      </c>
      <c r="I59" s="486">
        <v>8382838</v>
      </c>
      <c r="J59" s="486">
        <v>6906569</v>
      </c>
      <c r="K59" s="486">
        <v>6102573</v>
      </c>
      <c r="L59" s="486">
        <v>6230012</v>
      </c>
      <c r="M59" s="486">
        <v>7464964</v>
      </c>
      <c r="N59" s="486">
        <v>13741468</v>
      </c>
      <c r="O59" s="486">
        <v>18689959</v>
      </c>
      <c r="P59" s="486">
        <v>37042905</v>
      </c>
      <c r="Q59" s="588">
        <v>40809304</v>
      </c>
      <c r="R59" s="588">
        <v>30544975</v>
      </c>
      <c r="S59" s="588">
        <v>23815117</v>
      </c>
      <c r="T59" s="588">
        <v>16958956</v>
      </c>
      <c r="U59" s="588">
        <v>10280221</v>
      </c>
      <c r="V59" s="588">
        <v>7316509</v>
      </c>
      <c r="W59" s="588">
        <v>6050612</v>
      </c>
      <c r="X59" s="588">
        <v>6226148</v>
      </c>
      <c r="Y59" s="588">
        <v>7933229</v>
      </c>
      <c r="Z59" s="588">
        <v>15888438</v>
      </c>
      <c r="AA59" s="588">
        <v>24226314</v>
      </c>
      <c r="AB59" s="588">
        <v>35147549</v>
      </c>
      <c r="AC59" s="588">
        <v>31096459</v>
      </c>
      <c r="AD59" s="550">
        <v>31096459</v>
      </c>
      <c r="AE59" s="550">
        <v>31096459</v>
      </c>
      <c r="AF59" s="550">
        <v>31096459</v>
      </c>
      <c r="AG59" s="562"/>
    </row>
    <row r="60" spans="1:35" hidden="1" outlineLevel="1">
      <c r="A60" s="479" t="s">
        <v>22</v>
      </c>
      <c r="E60" s="528"/>
      <c r="F60" s="528"/>
      <c r="G60" s="528"/>
      <c r="H60" s="528"/>
      <c r="I60" s="528"/>
      <c r="J60" s="528"/>
      <c r="K60" s="528"/>
      <c r="L60" s="528"/>
      <c r="M60" s="528"/>
      <c r="N60" s="528"/>
      <c r="O60" s="528"/>
      <c r="P60" s="528"/>
      <c r="Q60" s="528"/>
      <c r="R60" s="528"/>
      <c r="S60" s="528"/>
      <c r="T60" s="528"/>
      <c r="U60" s="528"/>
      <c r="V60" s="528"/>
      <c r="W60" s="528"/>
      <c r="X60" s="528"/>
      <c r="Y60" s="528"/>
      <c r="Z60" s="528"/>
      <c r="AA60" s="528"/>
      <c r="AB60" s="528"/>
      <c r="AC60" s="601"/>
      <c r="AD60" s="601"/>
      <c r="AE60" s="601"/>
      <c r="AF60" s="601"/>
      <c r="AI60" s="529"/>
    </row>
    <row r="61" spans="1:35" hidden="1" outlineLevel="1">
      <c r="A61" s="480">
        <v>191025</v>
      </c>
      <c r="B61" s="481" t="s">
        <v>252</v>
      </c>
      <c r="E61" s="480">
        <v>201601</v>
      </c>
      <c r="F61" s="480">
        <f>E61+1</f>
        <v>201602</v>
      </c>
      <c r="G61" s="480">
        <f t="shared" ref="G61:P61" si="115">F61+1</f>
        <v>201603</v>
      </c>
      <c r="H61" s="480">
        <f t="shared" si="115"/>
        <v>201604</v>
      </c>
      <c r="I61" s="480">
        <f t="shared" si="115"/>
        <v>201605</v>
      </c>
      <c r="J61" s="480">
        <f t="shared" si="115"/>
        <v>201606</v>
      </c>
      <c r="K61" s="480">
        <f t="shared" si="115"/>
        <v>201607</v>
      </c>
      <c r="L61" s="480">
        <f t="shared" si="115"/>
        <v>201608</v>
      </c>
      <c r="M61" s="480">
        <f t="shared" si="115"/>
        <v>201609</v>
      </c>
      <c r="N61" s="480">
        <f t="shared" si="115"/>
        <v>201610</v>
      </c>
      <c r="O61" s="480">
        <f t="shared" si="115"/>
        <v>201611</v>
      </c>
      <c r="P61" s="480">
        <f t="shared" si="115"/>
        <v>201612</v>
      </c>
      <c r="Q61" s="480">
        <f>Q3</f>
        <v>201701</v>
      </c>
      <c r="R61" s="480">
        <f>Q61+1</f>
        <v>201702</v>
      </c>
      <c r="S61" s="480">
        <f t="shared" ref="S61" si="116">R61+1</f>
        <v>201703</v>
      </c>
      <c r="T61" s="480">
        <f t="shared" ref="T61" si="117">S61+1</f>
        <v>201704</v>
      </c>
      <c r="U61" s="480">
        <f t="shared" ref="U61" si="118">T61+1</f>
        <v>201705</v>
      </c>
      <c r="V61" s="480">
        <f t="shared" ref="V61" si="119">U61+1</f>
        <v>201706</v>
      </c>
      <c r="W61" s="480">
        <f t="shared" ref="W61" si="120">V61+1</f>
        <v>201707</v>
      </c>
      <c r="X61" s="480">
        <f t="shared" ref="X61" si="121">W61+1</f>
        <v>201708</v>
      </c>
      <c r="Y61" s="480">
        <f t="shared" ref="Y61" si="122">X61+1</f>
        <v>201709</v>
      </c>
      <c r="Z61" s="480">
        <f t="shared" ref="Z61" si="123">Y61+1</f>
        <v>201710</v>
      </c>
      <c r="AA61" s="480">
        <f t="shared" ref="AA61" si="124">Z61+1</f>
        <v>201711</v>
      </c>
      <c r="AB61" s="480">
        <f t="shared" ref="AB61" si="125">AA61+1</f>
        <v>201712</v>
      </c>
      <c r="AC61" s="567">
        <f>AC3</f>
        <v>201801</v>
      </c>
      <c r="AD61" s="567">
        <f>AD3</f>
        <v>201802</v>
      </c>
      <c r="AE61" s="567">
        <f>AE3</f>
        <v>201803</v>
      </c>
      <c r="AF61" s="567">
        <f>AF3</f>
        <v>201804</v>
      </c>
    </row>
    <row r="62" spans="1:35" hidden="1" outlineLevel="1">
      <c r="A62" s="479"/>
      <c r="B62" s="477" t="s">
        <v>37</v>
      </c>
      <c r="E62" s="490">
        <v>1.2999999999999999E-4</v>
      </c>
      <c r="F62" s="490">
        <v>1.2999999999999999E-4</v>
      </c>
      <c r="G62" s="490">
        <v>1.2999999999999999E-4</v>
      </c>
      <c r="H62" s="490">
        <v>1.2999999999999999E-4</v>
      </c>
      <c r="I62" s="490">
        <v>1.2999999999999999E-4</v>
      </c>
      <c r="J62" s="490">
        <v>1.2999999999999999E-4</v>
      </c>
      <c r="K62" s="490">
        <v>1.2999999999999999E-4</v>
      </c>
      <c r="L62" s="490">
        <v>1.2999999999999999E-4</v>
      </c>
      <c r="M62" s="490">
        <v>1.2999999999999999E-4</v>
      </c>
      <c r="N62" s="490">
        <v>1.2999999999999999E-4</v>
      </c>
      <c r="O62" s="490" t="s">
        <v>307</v>
      </c>
      <c r="P62" s="490" t="s">
        <v>307</v>
      </c>
      <c r="Q62" s="585">
        <v>1.0000000000000001E-5</v>
      </c>
      <c r="R62" s="585">
        <v>1.0000000000000001E-5</v>
      </c>
      <c r="S62" s="585">
        <v>1.0000000000000001E-5</v>
      </c>
      <c r="T62" s="585">
        <v>1.0000000000000001E-5</v>
      </c>
      <c r="U62" s="585">
        <v>1.0000000000000001E-5</v>
      </c>
      <c r="V62" s="585">
        <v>1.0000000000000001E-5</v>
      </c>
      <c r="W62" s="585">
        <v>1.0000000000000001E-5</v>
      </c>
      <c r="X62" s="585">
        <v>1.0000000000000001E-5</v>
      </c>
      <c r="Y62" s="585">
        <v>1.0000000000000001E-5</v>
      </c>
      <c r="Z62" s="585">
        <v>1.0000000000000001E-5</v>
      </c>
      <c r="AA62" s="605" t="s">
        <v>307</v>
      </c>
      <c r="AB62" s="605" t="s">
        <v>307</v>
      </c>
      <c r="AC62" s="606" t="s">
        <v>319</v>
      </c>
      <c r="AD62" s="606" t="s">
        <v>319</v>
      </c>
      <c r="AE62" s="606" t="s">
        <v>319</v>
      </c>
      <c r="AF62" s="606" t="s">
        <v>319</v>
      </c>
    </row>
    <row r="63" spans="1:35" hidden="1" outlineLevel="1">
      <c r="A63" s="479"/>
      <c r="B63" s="552" t="s">
        <v>305</v>
      </c>
      <c r="E63" s="490">
        <v>1.2999999999999999E-4</v>
      </c>
      <c r="F63" s="490">
        <v>1.2999999999999999E-4</v>
      </c>
      <c r="G63" s="490">
        <v>1.2999999999999999E-4</v>
      </c>
      <c r="H63" s="490">
        <v>1.2999999999999999E-4</v>
      </c>
      <c r="I63" s="490">
        <v>1.2999999999999999E-4</v>
      </c>
      <c r="J63" s="490">
        <v>1.2999999999999999E-4</v>
      </c>
      <c r="K63" s="490">
        <v>1.2999999999999999E-4</v>
      </c>
      <c r="L63" s="490">
        <v>1.2999999999999999E-4</v>
      </c>
      <c r="M63" s="490">
        <v>1.2999999999999999E-4</v>
      </c>
      <c r="N63" s="490">
        <v>1.2999999999999999E-4</v>
      </c>
      <c r="O63" s="490" t="s">
        <v>307</v>
      </c>
      <c r="P63" s="490" t="s">
        <v>307</v>
      </c>
      <c r="Q63" s="585">
        <v>1.0000000000000001E-5</v>
      </c>
      <c r="R63" s="585">
        <v>1.0000000000000001E-5</v>
      </c>
      <c r="S63" s="585">
        <v>1.0000000000000001E-5</v>
      </c>
      <c r="T63" s="585">
        <v>1.0000000000000001E-5</v>
      </c>
      <c r="U63" s="585">
        <v>1.0000000000000001E-5</v>
      </c>
      <c r="V63" s="585">
        <v>1.0000000000000001E-5</v>
      </c>
      <c r="W63" s="585">
        <v>1.0000000000000001E-5</v>
      </c>
      <c r="X63" s="585">
        <v>1.0000000000000001E-5</v>
      </c>
      <c r="Y63" s="585">
        <v>1.0000000000000001E-5</v>
      </c>
      <c r="Z63" s="585">
        <v>1.0000000000000001E-5</v>
      </c>
      <c r="AA63" s="605" t="s">
        <v>307</v>
      </c>
      <c r="AB63" s="605" t="s">
        <v>307</v>
      </c>
      <c r="AC63" s="606" t="s">
        <v>319</v>
      </c>
      <c r="AD63" s="606" t="s">
        <v>319</v>
      </c>
      <c r="AE63" s="606" t="s">
        <v>319</v>
      </c>
      <c r="AF63" s="606" t="s">
        <v>319</v>
      </c>
    </row>
    <row r="64" spans="1:35" hidden="1" outlineLevel="1">
      <c r="A64" s="479"/>
      <c r="B64" s="477" t="s">
        <v>38</v>
      </c>
      <c r="E64" s="490">
        <v>1.2999999999999999E-4</v>
      </c>
      <c r="F64" s="490">
        <v>1.2999999999999999E-4</v>
      </c>
      <c r="G64" s="490">
        <v>1.2999999999999999E-4</v>
      </c>
      <c r="H64" s="490">
        <v>1.2999999999999999E-4</v>
      </c>
      <c r="I64" s="490">
        <v>1.2999999999999999E-4</v>
      </c>
      <c r="J64" s="490">
        <v>1.2999999999999999E-4</v>
      </c>
      <c r="K64" s="490">
        <v>1.2999999999999999E-4</v>
      </c>
      <c r="L64" s="490">
        <v>1.2999999999999999E-4</v>
      </c>
      <c r="M64" s="490">
        <v>1.2999999999999999E-4</v>
      </c>
      <c r="N64" s="490">
        <v>1.2999999999999999E-4</v>
      </c>
      <c r="O64" s="490" t="s">
        <v>307</v>
      </c>
      <c r="P64" s="490" t="s">
        <v>307</v>
      </c>
      <c r="Q64" s="585">
        <v>1.0000000000000001E-5</v>
      </c>
      <c r="R64" s="585">
        <v>1.0000000000000001E-5</v>
      </c>
      <c r="S64" s="585">
        <v>1.0000000000000001E-5</v>
      </c>
      <c r="T64" s="585">
        <v>1.0000000000000001E-5</v>
      </c>
      <c r="U64" s="585">
        <v>1.0000000000000001E-5</v>
      </c>
      <c r="V64" s="585">
        <v>1.0000000000000001E-5</v>
      </c>
      <c r="W64" s="585">
        <v>1.0000000000000001E-5</v>
      </c>
      <c r="X64" s="585">
        <v>1.0000000000000001E-5</v>
      </c>
      <c r="Y64" s="585">
        <v>1.0000000000000001E-5</v>
      </c>
      <c r="Z64" s="585">
        <v>1.0000000000000001E-5</v>
      </c>
      <c r="AA64" s="605" t="s">
        <v>307</v>
      </c>
      <c r="AB64" s="605" t="s">
        <v>307</v>
      </c>
      <c r="AC64" s="606" t="s">
        <v>319</v>
      </c>
      <c r="AD64" s="606" t="s">
        <v>319</v>
      </c>
      <c r="AE64" s="606" t="s">
        <v>319</v>
      </c>
      <c r="AF64" s="606" t="s">
        <v>319</v>
      </c>
    </row>
    <row r="65" spans="1:41" hidden="1" outlineLevel="1">
      <c r="A65" s="479"/>
      <c r="B65" s="477" t="s">
        <v>39</v>
      </c>
      <c r="E65" s="490">
        <v>1.2999999999999999E-4</v>
      </c>
      <c r="F65" s="490">
        <v>1.2999999999999999E-4</v>
      </c>
      <c r="G65" s="490">
        <v>1.2999999999999999E-4</v>
      </c>
      <c r="H65" s="490">
        <v>1.2999999999999999E-4</v>
      </c>
      <c r="I65" s="490">
        <v>1.2999999999999999E-4</v>
      </c>
      <c r="J65" s="490">
        <v>1.2999999999999999E-4</v>
      </c>
      <c r="K65" s="490">
        <v>1.2999999999999999E-4</v>
      </c>
      <c r="L65" s="490">
        <v>1.2999999999999999E-4</v>
      </c>
      <c r="M65" s="490">
        <v>1.2999999999999999E-4</v>
      </c>
      <c r="N65" s="490">
        <v>1.2999999999999999E-4</v>
      </c>
      <c r="O65" s="490" t="s">
        <v>307</v>
      </c>
      <c r="P65" s="490" t="s">
        <v>307</v>
      </c>
      <c r="Q65" s="585">
        <v>1.0000000000000001E-5</v>
      </c>
      <c r="R65" s="585">
        <v>1.0000000000000001E-5</v>
      </c>
      <c r="S65" s="585">
        <v>1.0000000000000001E-5</v>
      </c>
      <c r="T65" s="585">
        <v>1.0000000000000001E-5</v>
      </c>
      <c r="U65" s="585">
        <v>1.0000000000000001E-5</v>
      </c>
      <c r="V65" s="585">
        <v>1.0000000000000001E-5</v>
      </c>
      <c r="W65" s="585">
        <v>1.0000000000000001E-5</v>
      </c>
      <c r="X65" s="585">
        <v>1.0000000000000001E-5</v>
      </c>
      <c r="Y65" s="585">
        <v>1.0000000000000001E-5</v>
      </c>
      <c r="Z65" s="585">
        <v>1.0000000000000001E-5</v>
      </c>
      <c r="AA65" s="605" t="s">
        <v>307</v>
      </c>
      <c r="AB65" s="605" t="s">
        <v>307</v>
      </c>
      <c r="AC65" s="606" t="s">
        <v>319</v>
      </c>
      <c r="AD65" s="606" t="s">
        <v>319</v>
      </c>
      <c r="AE65" s="606" t="s">
        <v>319</v>
      </c>
      <c r="AF65" s="606" t="s">
        <v>319</v>
      </c>
    </row>
    <row r="66" spans="1:41" hidden="1" outlineLevel="1">
      <c r="A66" s="479"/>
      <c r="B66" s="477" t="s">
        <v>40</v>
      </c>
      <c r="E66" s="490">
        <v>1.2999999999999999E-4</v>
      </c>
      <c r="F66" s="490">
        <v>1.2999999999999999E-4</v>
      </c>
      <c r="G66" s="490">
        <v>1.2999999999999999E-4</v>
      </c>
      <c r="H66" s="490">
        <v>1.2999999999999999E-4</v>
      </c>
      <c r="I66" s="490">
        <v>1.2999999999999999E-4</v>
      </c>
      <c r="J66" s="490">
        <v>1.2999999999999999E-4</v>
      </c>
      <c r="K66" s="490">
        <v>1.2999999999999999E-4</v>
      </c>
      <c r="L66" s="490">
        <v>1.2999999999999999E-4</v>
      </c>
      <c r="M66" s="490">
        <v>1.2999999999999999E-4</v>
      </c>
      <c r="N66" s="490">
        <v>1.2999999999999999E-4</v>
      </c>
      <c r="O66" s="490" t="s">
        <v>307</v>
      </c>
      <c r="P66" s="490" t="s">
        <v>307</v>
      </c>
      <c r="Q66" s="585">
        <v>1.0000000000000001E-5</v>
      </c>
      <c r="R66" s="585">
        <v>1.0000000000000001E-5</v>
      </c>
      <c r="S66" s="585">
        <v>1.0000000000000001E-5</v>
      </c>
      <c r="T66" s="585">
        <v>1.0000000000000001E-5</v>
      </c>
      <c r="U66" s="585">
        <v>1.0000000000000001E-5</v>
      </c>
      <c r="V66" s="585">
        <v>1.0000000000000001E-5</v>
      </c>
      <c r="W66" s="585">
        <v>1.0000000000000001E-5</v>
      </c>
      <c r="X66" s="585">
        <v>1.0000000000000001E-5</v>
      </c>
      <c r="Y66" s="585">
        <v>1.0000000000000001E-5</v>
      </c>
      <c r="Z66" s="585">
        <v>1.0000000000000001E-5</v>
      </c>
      <c r="AA66" s="605" t="s">
        <v>307</v>
      </c>
      <c r="AB66" s="605" t="s">
        <v>307</v>
      </c>
      <c r="AC66" s="606" t="s">
        <v>319</v>
      </c>
      <c r="AD66" s="606" t="s">
        <v>319</v>
      </c>
      <c r="AE66" s="606" t="s">
        <v>319</v>
      </c>
      <c r="AF66" s="606" t="s">
        <v>319</v>
      </c>
    </row>
    <row r="67" spans="1:41" hidden="1" outlineLevel="1">
      <c r="A67" s="479"/>
      <c r="B67" s="477" t="s">
        <v>41</v>
      </c>
      <c r="E67" s="490">
        <v>1.2999999999999999E-4</v>
      </c>
      <c r="F67" s="490">
        <v>1.2999999999999999E-4</v>
      </c>
      <c r="G67" s="490">
        <v>1.2999999999999999E-4</v>
      </c>
      <c r="H67" s="490">
        <v>1.2999999999999999E-4</v>
      </c>
      <c r="I67" s="490">
        <v>1.2999999999999999E-4</v>
      </c>
      <c r="J67" s="490">
        <v>1.2999999999999999E-4</v>
      </c>
      <c r="K67" s="490">
        <v>1.2999999999999999E-4</v>
      </c>
      <c r="L67" s="490">
        <v>1.2999999999999999E-4</v>
      </c>
      <c r="M67" s="490">
        <v>1.2999999999999999E-4</v>
      </c>
      <c r="N67" s="490">
        <v>1.2999999999999999E-4</v>
      </c>
      <c r="O67" s="490" t="s">
        <v>307</v>
      </c>
      <c r="P67" s="490" t="s">
        <v>307</v>
      </c>
      <c r="Q67" s="585">
        <v>1.0000000000000001E-5</v>
      </c>
      <c r="R67" s="585">
        <v>1.0000000000000001E-5</v>
      </c>
      <c r="S67" s="585">
        <v>1.0000000000000001E-5</v>
      </c>
      <c r="T67" s="585">
        <v>1.0000000000000001E-5</v>
      </c>
      <c r="U67" s="585">
        <v>1.0000000000000001E-5</v>
      </c>
      <c r="V67" s="585">
        <v>1.0000000000000001E-5</v>
      </c>
      <c r="W67" s="585">
        <v>1.0000000000000001E-5</v>
      </c>
      <c r="X67" s="585">
        <v>1.0000000000000001E-5</v>
      </c>
      <c r="Y67" s="585">
        <v>1.0000000000000001E-5</v>
      </c>
      <c r="Z67" s="585">
        <v>1.0000000000000001E-5</v>
      </c>
      <c r="AA67" s="605" t="s">
        <v>307</v>
      </c>
      <c r="AB67" s="605" t="s">
        <v>307</v>
      </c>
      <c r="AC67" s="606" t="s">
        <v>319</v>
      </c>
      <c r="AD67" s="606" t="s">
        <v>319</v>
      </c>
      <c r="AE67" s="606" t="s">
        <v>319</v>
      </c>
      <c r="AF67" s="606" t="s">
        <v>319</v>
      </c>
    </row>
    <row r="68" spans="1:41" ht="16.5" hidden="1" outlineLevel="1" thickBot="1">
      <c r="A68" s="479"/>
      <c r="B68" s="477" t="s">
        <v>42</v>
      </c>
      <c r="E68" s="490">
        <v>1.2999999999999999E-4</v>
      </c>
      <c r="F68" s="490">
        <v>1.2999999999999999E-4</v>
      </c>
      <c r="G68" s="490">
        <v>1.2999999999999999E-4</v>
      </c>
      <c r="H68" s="490">
        <v>1.2999999999999999E-4</v>
      </c>
      <c r="I68" s="490">
        <v>1.2999999999999999E-4</v>
      </c>
      <c r="J68" s="490">
        <v>1.2999999999999999E-4</v>
      </c>
      <c r="K68" s="490">
        <v>1.2999999999999999E-4</v>
      </c>
      <c r="L68" s="490">
        <v>1.2999999999999999E-4</v>
      </c>
      <c r="M68" s="490">
        <v>1.2999999999999999E-4</v>
      </c>
      <c r="N68" s="490">
        <v>1.2999999999999999E-4</v>
      </c>
      <c r="O68" s="490" t="s">
        <v>307</v>
      </c>
      <c r="P68" s="490" t="s">
        <v>307</v>
      </c>
      <c r="Q68" s="585">
        <v>1.0000000000000001E-5</v>
      </c>
      <c r="R68" s="585">
        <v>1.0000000000000001E-5</v>
      </c>
      <c r="S68" s="585">
        <v>1.0000000000000001E-5</v>
      </c>
      <c r="T68" s="585">
        <v>1.0000000000000001E-5</v>
      </c>
      <c r="U68" s="585">
        <v>1.0000000000000001E-5</v>
      </c>
      <c r="V68" s="585">
        <v>1.0000000000000001E-5</v>
      </c>
      <c r="W68" s="585">
        <v>1.0000000000000001E-5</v>
      </c>
      <c r="X68" s="585">
        <v>1.0000000000000001E-5</v>
      </c>
      <c r="Y68" s="585">
        <v>1.0000000000000001E-5</v>
      </c>
      <c r="Z68" s="585">
        <v>1.0000000000000001E-5</v>
      </c>
      <c r="AA68" s="605" t="s">
        <v>307</v>
      </c>
      <c r="AB68" s="605" t="s">
        <v>307</v>
      </c>
      <c r="AC68" s="606" t="s">
        <v>319</v>
      </c>
      <c r="AD68" s="606" t="s">
        <v>319</v>
      </c>
      <c r="AE68" s="606" t="s">
        <v>319</v>
      </c>
      <c r="AF68" s="606" t="s">
        <v>319</v>
      </c>
    </row>
    <row r="69" spans="1:41" ht="16.5" hidden="1" outlineLevel="1" thickBot="1">
      <c r="A69" s="479"/>
      <c r="B69" s="477" t="s">
        <v>43</v>
      </c>
      <c r="E69" s="490">
        <v>1.2999999999999999E-4</v>
      </c>
      <c r="F69" s="490">
        <v>1.2999999999999999E-4</v>
      </c>
      <c r="G69" s="490">
        <v>1.2999999999999999E-4</v>
      </c>
      <c r="H69" s="490">
        <v>1.2999999999999999E-4</v>
      </c>
      <c r="I69" s="490">
        <v>1.2999999999999999E-4</v>
      </c>
      <c r="J69" s="490">
        <v>1.2999999999999999E-4</v>
      </c>
      <c r="K69" s="490">
        <v>1.2999999999999999E-4</v>
      </c>
      <c r="L69" s="490">
        <v>1.2999999999999999E-4</v>
      </c>
      <c r="M69" s="490">
        <v>1.2999999999999999E-4</v>
      </c>
      <c r="N69" s="490">
        <v>1.2999999999999999E-4</v>
      </c>
      <c r="O69" s="490" t="s">
        <v>307</v>
      </c>
      <c r="P69" s="490" t="s">
        <v>307</v>
      </c>
      <c r="Q69" s="585">
        <v>1.0000000000000001E-5</v>
      </c>
      <c r="R69" s="585">
        <v>1.0000000000000001E-5</v>
      </c>
      <c r="S69" s="585">
        <v>1.0000000000000001E-5</v>
      </c>
      <c r="T69" s="585">
        <v>1.0000000000000001E-5</v>
      </c>
      <c r="U69" s="585">
        <v>1.0000000000000001E-5</v>
      </c>
      <c r="V69" s="585">
        <v>1.0000000000000001E-5</v>
      </c>
      <c r="W69" s="585">
        <v>1.0000000000000001E-5</v>
      </c>
      <c r="X69" s="585">
        <v>1.0000000000000001E-5</v>
      </c>
      <c r="Y69" s="585">
        <v>1.0000000000000001E-5</v>
      </c>
      <c r="Z69" s="585">
        <v>1.0000000000000001E-5</v>
      </c>
      <c r="AA69" s="605" t="s">
        <v>307</v>
      </c>
      <c r="AB69" s="605" t="s">
        <v>307</v>
      </c>
      <c r="AC69" s="606" t="s">
        <v>319</v>
      </c>
      <c r="AD69" s="606" t="s">
        <v>319</v>
      </c>
      <c r="AE69" s="606" t="s">
        <v>319</v>
      </c>
      <c r="AF69" s="606" t="s">
        <v>319</v>
      </c>
      <c r="AH69" s="515">
        <f>AH4</f>
        <v>201804</v>
      </c>
      <c r="AI69" s="524"/>
      <c r="AJ69" s="516"/>
      <c r="AK69" s="599" t="s">
        <v>318</v>
      </c>
      <c r="AL69" s="516"/>
      <c r="AM69" s="517"/>
    </row>
    <row r="70" spans="1:41" hidden="1" outlineLevel="1">
      <c r="A70" s="479"/>
      <c r="B70" s="477" t="s">
        <v>74</v>
      </c>
      <c r="E70" s="490">
        <v>2.0000000000000002E-5</v>
      </c>
      <c r="F70" s="490">
        <v>2.0000000000000002E-5</v>
      </c>
      <c r="G70" s="490">
        <v>2.0000000000000002E-5</v>
      </c>
      <c r="H70" s="490">
        <v>2.0000000000000002E-5</v>
      </c>
      <c r="I70" s="490">
        <v>2.0000000000000002E-5</v>
      </c>
      <c r="J70" s="490">
        <v>2.0000000000000002E-5</v>
      </c>
      <c r="K70" s="490">
        <v>2.0000000000000002E-5</v>
      </c>
      <c r="L70" s="490">
        <v>2.0000000000000002E-5</v>
      </c>
      <c r="M70" s="490">
        <v>2.0000000000000002E-5</v>
      </c>
      <c r="N70" s="490">
        <v>2.0000000000000002E-5</v>
      </c>
      <c r="O70" s="490" t="s">
        <v>307</v>
      </c>
      <c r="P70" s="490" t="s">
        <v>307</v>
      </c>
      <c r="Q70" s="585">
        <v>0</v>
      </c>
      <c r="R70" s="585">
        <v>0</v>
      </c>
      <c r="S70" s="585">
        <v>0</v>
      </c>
      <c r="T70" s="585">
        <v>0</v>
      </c>
      <c r="U70" s="585">
        <v>0</v>
      </c>
      <c r="V70" s="585">
        <v>0</v>
      </c>
      <c r="W70" s="585">
        <v>0</v>
      </c>
      <c r="X70" s="585">
        <v>0</v>
      </c>
      <c r="Y70" s="585">
        <v>0</v>
      </c>
      <c r="Z70" s="585">
        <v>0</v>
      </c>
      <c r="AA70" s="605" t="s">
        <v>307</v>
      </c>
      <c r="AB70" s="605" t="s">
        <v>307</v>
      </c>
      <c r="AC70" s="606" t="s">
        <v>319</v>
      </c>
      <c r="AD70" s="606" t="s">
        <v>319</v>
      </c>
      <c r="AE70" s="606" t="s">
        <v>319</v>
      </c>
      <c r="AF70" s="606" t="s">
        <v>319</v>
      </c>
      <c r="AH70" s="153" t="s">
        <v>292</v>
      </c>
      <c r="AI70" s="208">
        <v>191025</v>
      </c>
      <c r="AJ70" s="7" t="s">
        <v>280</v>
      </c>
      <c r="AK70" s="7" t="s">
        <v>281</v>
      </c>
      <c r="AL70" s="468">
        <v>0</v>
      </c>
      <c r="AM70" s="458">
        <f>IF((SUMIF(E72:AB72,AH69,E74:AB74))&lt;0,-(SUMIF(E72:AB72,AH69,E74:AB74)),0)</f>
        <v>0</v>
      </c>
      <c r="AO70" s="478" t="str">
        <f>_xll.GLW_Segment_Description(AI70,2,2)</f>
        <v>WA GRC JACKSON PRAIRIE DEFERRAL</v>
      </c>
    </row>
    <row r="71" spans="1:41" hidden="1" outlineLevel="1">
      <c r="A71" s="479" t="s">
        <v>283</v>
      </c>
      <c r="E71" s="487"/>
      <c r="F71" s="487"/>
      <c r="G71" s="487"/>
      <c r="H71" s="487"/>
      <c r="I71" s="487"/>
      <c r="J71" s="487"/>
      <c r="K71" s="487"/>
      <c r="L71" s="487"/>
      <c r="M71" s="487"/>
      <c r="N71" s="487"/>
      <c r="O71" s="487"/>
      <c r="P71" s="487"/>
      <c r="Q71" s="487"/>
      <c r="R71" s="487"/>
      <c r="S71" s="487"/>
      <c r="T71" s="487"/>
      <c r="U71" s="487"/>
      <c r="V71" s="487"/>
      <c r="W71" s="487"/>
      <c r="X71" s="487"/>
      <c r="Y71" s="487"/>
      <c r="Z71" s="487"/>
      <c r="AA71" s="487"/>
      <c r="AB71" s="487"/>
      <c r="AC71" s="487"/>
      <c r="AD71" s="551"/>
      <c r="AE71" s="551"/>
      <c r="AF71" s="551"/>
      <c r="AH71" s="153" t="s">
        <v>293</v>
      </c>
      <c r="AI71" s="208">
        <v>805110</v>
      </c>
      <c r="AJ71" s="7" t="s">
        <v>280</v>
      </c>
      <c r="AK71" s="7" t="s">
        <v>281</v>
      </c>
      <c r="AL71" s="468">
        <f>IF((SUMIF(E72:AB72,AH69,E74:AB74))&lt;0,-(SUMIF(E72:AB72,AH69,E74:AB74)),0)</f>
        <v>0</v>
      </c>
      <c r="AM71" s="458">
        <f>AL70</f>
        <v>0</v>
      </c>
      <c r="AO71" s="478" t="str">
        <f>_xll.GLW_Segment_Description(AI71,2,2)</f>
        <v>AMORTIZE RECOVERABLE GAS COSTS</v>
      </c>
    </row>
    <row r="72" spans="1:41" s="479" customFormat="1" hidden="1" outlineLevel="1">
      <c r="A72" s="480">
        <v>191025</v>
      </c>
      <c r="B72" s="481" t="s">
        <v>252</v>
      </c>
      <c r="C72" s="482" t="s">
        <v>248</v>
      </c>
      <c r="D72" s="483" t="s">
        <v>249</v>
      </c>
      <c r="E72" s="480">
        <v>201601</v>
      </c>
      <c r="F72" s="480">
        <f>E72+1</f>
        <v>201602</v>
      </c>
      <c r="G72" s="480">
        <f t="shared" ref="G72:P72" si="126">F72+1</f>
        <v>201603</v>
      </c>
      <c r="H72" s="480">
        <f t="shared" si="126"/>
        <v>201604</v>
      </c>
      <c r="I72" s="480">
        <f t="shared" si="126"/>
        <v>201605</v>
      </c>
      <c r="J72" s="480">
        <f t="shared" si="126"/>
        <v>201606</v>
      </c>
      <c r="K72" s="480">
        <f t="shared" si="126"/>
        <v>201607</v>
      </c>
      <c r="L72" s="480">
        <f t="shared" si="126"/>
        <v>201608</v>
      </c>
      <c r="M72" s="480">
        <f t="shared" si="126"/>
        <v>201609</v>
      </c>
      <c r="N72" s="480">
        <f t="shared" si="126"/>
        <v>201610</v>
      </c>
      <c r="O72" s="480">
        <f t="shared" si="126"/>
        <v>201611</v>
      </c>
      <c r="P72" s="480">
        <f t="shared" si="126"/>
        <v>201612</v>
      </c>
      <c r="Q72" s="480">
        <f>Q3</f>
        <v>201701</v>
      </c>
      <c r="R72" s="480">
        <f>Q72+1</f>
        <v>201702</v>
      </c>
      <c r="S72" s="480">
        <f t="shared" ref="S72" si="127">R72+1</f>
        <v>201703</v>
      </c>
      <c r="T72" s="480">
        <f t="shared" ref="T72" si="128">S72+1</f>
        <v>201704</v>
      </c>
      <c r="U72" s="480">
        <f t="shared" ref="U72" si="129">T72+1</f>
        <v>201705</v>
      </c>
      <c r="V72" s="480">
        <f t="shared" ref="V72" si="130">U72+1</f>
        <v>201706</v>
      </c>
      <c r="W72" s="480">
        <f t="shared" ref="W72" si="131">V72+1</f>
        <v>201707</v>
      </c>
      <c r="X72" s="480">
        <f t="shared" ref="X72" si="132">W72+1</f>
        <v>201708</v>
      </c>
      <c r="Y72" s="480">
        <f t="shared" ref="Y72" si="133">X72+1</f>
        <v>201709</v>
      </c>
      <c r="Z72" s="480">
        <f t="shared" ref="Z72" si="134">Y72+1</f>
        <v>201710</v>
      </c>
      <c r="AA72" s="480">
        <f t="shared" ref="AA72" si="135">Z72+1</f>
        <v>201711</v>
      </c>
      <c r="AB72" s="480">
        <f t="shared" ref="AB72" si="136">AA72+1</f>
        <v>201712</v>
      </c>
      <c r="AC72" s="480">
        <f>AC3</f>
        <v>201801</v>
      </c>
      <c r="AD72" s="567">
        <f>AD3</f>
        <v>201802</v>
      </c>
      <c r="AE72" s="567">
        <f>AE3</f>
        <v>201803</v>
      </c>
      <c r="AF72" s="567">
        <f>AF3</f>
        <v>201804</v>
      </c>
      <c r="AG72" s="561"/>
      <c r="AH72" s="153" t="s">
        <v>265</v>
      </c>
      <c r="AI72" s="208">
        <v>191025</v>
      </c>
      <c r="AJ72" s="7" t="s">
        <v>280</v>
      </c>
      <c r="AK72" s="7" t="s">
        <v>281</v>
      </c>
      <c r="AL72" s="468">
        <f>IF((SUMIF(E72:AB72,AH69,E75:AB75))&gt;0,(SUMIF(E72:AB72,AH69,E75:AB75)),0)</f>
        <v>0</v>
      </c>
      <c r="AM72" s="458">
        <v>0</v>
      </c>
      <c r="AO72" s="478" t="str">
        <f>_xll.GLW_Segment_Description(AI72,2,2)</f>
        <v>WA GRC JACKSON PRAIRIE DEFERRAL</v>
      </c>
    </row>
    <row r="73" spans="1:41" ht="16.5" hidden="1" outlineLevel="1" thickBot="1">
      <c r="A73" s="488"/>
      <c r="B73" s="477" t="s">
        <v>250</v>
      </c>
      <c r="D73" s="478">
        <f>E73</f>
        <v>-18146.93566000001</v>
      </c>
      <c r="E73" s="478">
        <v>-18146.93566000001</v>
      </c>
      <c r="F73" s="478">
        <f t="shared" ref="F73:M73" si="137">E76</f>
        <v>-14523.147320000011</v>
      </c>
      <c r="G73" s="478">
        <f t="shared" si="137"/>
        <v>-11852.264220000012</v>
      </c>
      <c r="H73" s="478">
        <f t="shared" si="137"/>
        <v>-9512.6003600000113</v>
      </c>
      <c r="I73" s="478">
        <f t="shared" si="137"/>
        <v>-8373.7282900000118</v>
      </c>
      <c r="J73" s="478">
        <f t="shared" si="137"/>
        <v>-7543.4780600000122</v>
      </c>
      <c r="K73" s="478">
        <f t="shared" si="137"/>
        <v>-6882.1108900000127</v>
      </c>
      <c r="L73" s="478">
        <f t="shared" si="137"/>
        <v>-6303.9779800000124</v>
      </c>
      <c r="M73" s="478">
        <f t="shared" si="137"/>
        <v>-5710.3492900000119</v>
      </c>
      <c r="N73" s="478">
        <f>M76</f>
        <v>-4950.5876300000118</v>
      </c>
      <c r="O73" s="478">
        <f>N76</f>
        <v>-3439.8164200000119</v>
      </c>
      <c r="P73" s="478">
        <f>O76</f>
        <v>-4198.8164200000119</v>
      </c>
      <c r="Q73" s="478">
        <f>P76</f>
        <v>-4496.8164200000119</v>
      </c>
      <c r="R73" s="478">
        <f>Q76</f>
        <v>-3535.3396800000119</v>
      </c>
      <c r="S73" s="478">
        <f t="shared" ref="S73" si="138">R76</f>
        <v>-3274.9352500000118</v>
      </c>
      <c r="T73" s="478">
        <f t="shared" ref="T73" si="139">S76</f>
        <v>-3055.7879200000116</v>
      </c>
      <c r="U73" s="478">
        <f t="shared" ref="U73" si="140">T76</f>
        <v>-2910.8502100000114</v>
      </c>
      <c r="V73" s="478" t="e">
        <f t="shared" ref="V73" si="141">U76</f>
        <v>#REF!</v>
      </c>
      <c r="W73" s="478" t="e">
        <f t="shared" ref="W73" si="142">V76</f>
        <v>#REF!</v>
      </c>
      <c r="X73" s="546" t="e">
        <f t="shared" ref="X73" si="143">W76</f>
        <v>#REF!</v>
      </c>
      <c r="Y73" s="478" t="e">
        <f t="shared" ref="Y73" si="144">X76</f>
        <v>#REF!</v>
      </c>
      <c r="Z73" s="546" t="e">
        <f>Y76</f>
        <v>#REF!</v>
      </c>
      <c r="AA73" s="546" t="e">
        <f>Z76</f>
        <v>#REF!</v>
      </c>
      <c r="AB73" s="478" t="e">
        <f>AA76</f>
        <v>#REF!</v>
      </c>
      <c r="AC73" s="478" t="e">
        <f>AA76</f>
        <v>#REF!</v>
      </c>
      <c r="AD73" s="546" t="e">
        <f>AB76</f>
        <v>#REF!</v>
      </c>
      <c r="AE73" s="546" t="e">
        <f>AC76</f>
        <v>#REF!</v>
      </c>
      <c r="AF73" s="546" t="e">
        <f>AD76</f>
        <v>#REF!</v>
      </c>
      <c r="AH73" s="153" t="s">
        <v>265</v>
      </c>
      <c r="AI73" s="208">
        <v>426500</v>
      </c>
      <c r="AJ73" s="7" t="s">
        <v>317</v>
      </c>
      <c r="AK73" s="7" t="s">
        <v>317</v>
      </c>
      <c r="AL73" s="468">
        <v>0</v>
      </c>
      <c r="AM73" s="458">
        <f>AL72</f>
        <v>0</v>
      </c>
      <c r="AO73" s="478" t="str">
        <f>_xll.GLW_Segment_Description(AI73,2,2)</f>
        <v>MISC INCOME DEDUCTIONS-OTHER DEDUCT</v>
      </c>
    </row>
    <row r="74" spans="1:41" ht="16.5" hidden="1" outlineLevel="1" thickBot="1">
      <c r="B74" s="477" t="s">
        <v>23</v>
      </c>
      <c r="C74" s="478" t="e">
        <f>SUM(Q74:AB74)</f>
        <v>#REF!</v>
      </c>
      <c r="D74" s="478" t="e">
        <f>SUM(E74:AB74)</f>
        <v>#REF!</v>
      </c>
      <c r="E74" s="546">
        <v>3623.7883399999996</v>
      </c>
      <c r="F74" s="546">
        <v>2670.8831</v>
      </c>
      <c r="G74" s="546">
        <v>2339.6638599999997</v>
      </c>
      <c r="H74" s="546">
        <v>1138.8720699999999</v>
      </c>
      <c r="I74" s="546">
        <v>830.25022999999999</v>
      </c>
      <c r="J74" s="546">
        <v>661.36716999999987</v>
      </c>
      <c r="K74" s="546">
        <v>578.13290999999992</v>
      </c>
      <c r="L74" s="546">
        <v>593.62869000000012</v>
      </c>
      <c r="M74" s="546">
        <v>759.76165999999989</v>
      </c>
      <c r="N74" s="546">
        <v>1510.7712100000001</v>
      </c>
      <c r="O74" s="546">
        <v>-759</v>
      </c>
      <c r="P74" s="546">
        <v>-298</v>
      </c>
      <c r="Q74" s="546">
        <f>SUMPRODUCT(Q49:Q57,Q62:Q70)</f>
        <v>365.47674000000006</v>
      </c>
      <c r="R74" s="546">
        <f>SUMPRODUCT(R49:R57,R62:R70)</f>
        <v>260.40443000000005</v>
      </c>
      <c r="S74" s="546">
        <f>SUMPRODUCT(S49:S57,S62:S70)</f>
        <v>219.14733000000001</v>
      </c>
      <c r="T74" s="546">
        <f>SUMPRODUCT(T49:T57,T62:T70)</f>
        <v>144.93771000000001</v>
      </c>
      <c r="U74" s="546" t="e">
        <f t="shared" ref="U74" si="145">SUMPRODUCT(U49:U57,U62:U70)</f>
        <v>#REF!</v>
      </c>
      <c r="V74" s="546" t="e">
        <f>SUMPRODUCT(V49:V57,V62:V70)</f>
        <v>#REF!</v>
      </c>
      <c r="W74" s="546" t="e">
        <f>SUMPRODUCT(W49:W57,W62:W70)</f>
        <v>#REF!</v>
      </c>
      <c r="X74" s="546" t="e">
        <f>SUMPRODUCT(X49:X57,X62:X70)</f>
        <v>#REF!</v>
      </c>
      <c r="Y74" s="546" t="e">
        <f>SUMPRODUCT(Y49:Y57,Y62:Y70)</f>
        <v>#REF!</v>
      </c>
      <c r="Z74" s="546" t="e">
        <f>SUMPRODUCT(Z49:Z57,Z62:Z70)</f>
        <v>#REF!</v>
      </c>
      <c r="AA74" s="552">
        <v>-83</v>
      </c>
      <c r="AB74" s="546">
        <v>0</v>
      </c>
      <c r="AC74" s="546">
        <v>0</v>
      </c>
      <c r="AD74" s="546">
        <v>0</v>
      </c>
      <c r="AE74" s="546">
        <v>0</v>
      </c>
      <c r="AF74" s="546">
        <v>0</v>
      </c>
      <c r="AH74" s="589"/>
      <c r="AI74" s="524"/>
      <c r="AJ74" s="516"/>
      <c r="AK74" s="516"/>
      <c r="AL74" s="516" t="s">
        <v>159</v>
      </c>
      <c r="AM74" s="517">
        <f>SUM(AL70:AL73)-SUM(AM70:AM73)</f>
        <v>0</v>
      </c>
    </row>
    <row r="75" spans="1:41" hidden="1" outlineLevel="1">
      <c r="B75" s="477" t="s">
        <v>148</v>
      </c>
      <c r="C75" s="478">
        <f>SUM(Q75:AB75)</f>
        <v>3209.97</v>
      </c>
      <c r="D75" s="489">
        <f>SUM(E75:AB75)</f>
        <v>3209.97</v>
      </c>
      <c r="E75" s="478">
        <v>0</v>
      </c>
      <c r="F75" s="478">
        <v>0</v>
      </c>
      <c r="G75" s="478">
        <v>0</v>
      </c>
      <c r="H75" s="478">
        <v>0</v>
      </c>
      <c r="I75" s="478">
        <v>0</v>
      </c>
      <c r="J75" s="478">
        <v>0</v>
      </c>
      <c r="K75" s="478">
        <v>0</v>
      </c>
      <c r="L75" s="478">
        <v>0</v>
      </c>
      <c r="M75" s="478">
        <v>0</v>
      </c>
      <c r="N75" s="478">
        <v>0</v>
      </c>
      <c r="O75" s="478">
        <v>0</v>
      </c>
      <c r="P75" s="478">
        <v>0</v>
      </c>
      <c r="Q75" s="478">
        <f>298+298</f>
        <v>596</v>
      </c>
      <c r="R75" s="478">
        <v>0</v>
      </c>
      <c r="S75" s="478">
        <v>0</v>
      </c>
      <c r="T75" s="478">
        <v>0</v>
      </c>
      <c r="U75" s="478">
        <v>0</v>
      </c>
      <c r="V75" s="478">
        <v>0</v>
      </c>
      <c r="W75" s="478">
        <v>0</v>
      </c>
      <c r="X75" s="478">
        <v>0</v>
      </c>
      <c r="Y75" s="478">
        <v>0</v>
      </c>
      <c r="Z75" s="478">
        <v>0</v>
      </c>
      <c r="AA75" s="546">
        <v>2613.9699999999998</v>
      </c>
      <c r="AB75" s="478">
        <v>0</v>
      </c>
      <c r="AC75" s="478">
        <v>0</v>
      </c>
      <c r="AD75" s="546">
        <v>0</v>
      </c>
      <c r="AE75" s="546">
        <v>0</v>
      </c>
      <c r="AF75" s="546">
        <v>0</v>
      </c>
    </row>
    <row r="76" spans="1:41" ht="16.5" hidden="1" outlineLevel="1" thickBot="1">
      <c r="B76" s="477" t="s">
        <v>56</v>
      </c>
      <c r="C76" s="531" t="e">
        <f>SUM(C74:C75)</f>
        <v>#REF!</v>
      </c>
      <c r="D76" s="531" t="e">
        <f>SUM(D73:D75)</f>
        <v>#REF!</v>
      </c>
      <c r="E76" s="531">
        <v>-14523.147320000011</v>
      </c>
      <c r="F76" s="531">
        <f t="shared" ref="F76:P76" si="146">SUM(F73:F75)</f>
        <v>-11852.264220000012</v>
      </c>
      <c r="G76" s="531">
        <f t="shared" si="146"/>
        <v>-9512.6003600000113</v>
      </c>
      <c r="H76" s="531">
        <f t="shared" si="146"/>
        <v>-8373.7282900000118</v>
      </c>
      <c r="I76" s="531">
        <f t="shared" si="146"/>
        <v>-7543.4780600000122</v>
      </c>
      <c r="J76" s="531">
        <f t="shared" si="146"/>
        <v>-6882.1108900000127</v>
      </c>
      <c r="K76" s="531">
        <f t="shared" si="146"/>
        <v>-6303.9779800000124</v>
      </c>
      <c r="L76" s="531">
        <f t="shared" si="146"/>
        <v>-5710.3492900000119</v>
      </c>
      <c r="M76" s="531">
        <f t="shared" si="146"/>
        <v>-4950.5876300000118</v>
      </c>
      <c r="N76" s="531">
        <f t="shared" si="146"/>
        <v>-3439.8164200000119</v>
      </c>
      <c r="O76" s="531">
        <f t="shared" si="146"/>
        <v>-4198.8164200000119</v>
      </c>
      <c r="P76" s="531">
        <f t="shared" si="146"/>
        <v>-4496.8164200000119</v>
      </c>
      <c r="Q76" s="531">
        <f>SUM(Q73:Q75)</f>
        <v>-3535.3396800000119</v>
      </c>
      <c r="R76" s="531">
        <f>SUM(R73:R75)</f>
        <v>-3274.9352500000118</v>
      </c>
      <c r="S76" s="531">
        <f t="shared" ref="S76:AB76" si="147">SUM(S73:S75)</f>
        <v>-3055.7879200000116</v>
      </c>
      <c r="T76" s="531">
        <f t="shared" si="147"/>
        <v>-2910.8502100000114</v>
      </c>
      <c r="U76" s="531" t="e">
        <f t="shared" si="147"/>
        <v>#REF!</v>
      </c>
      <c r="V76" s="531" t="e">
        <f t="shared" si="147"/>
        <v>#REF!</v>
      </c>
      <c r="W76" s="531" t="e">
        <f t="shared" si="147"/>
        <v>#REF!</v>
      </c>
      <c r="X76" s="531" t="e">
        <f t="shared" si="147"/>
        <v>#REF!</v>
      </c>
      <c r="Y76" s="531" t="e">
        <f t="shared" si="147"/>
        <v>#REF!</v>
      </c>
      <c r="Z76" s="531" t="e">
        <f t="shared" si="147"/>
        <v>#REF!</v>
      </c>
      <c r="AA76" s="531" t="e">
        <f t="shared" si="147"/>
        <v>#REF!</v>
      </c>
      <c r="AB76" s="531" t="e">
        <f t="shared" si="147"/>
        <v>#REF!</v>
      </c>
      <c r="AC76" s="531" t="e">
        <f t="shared" ref="AC76:AD76" si="148">SUM(AC73:AC75)</f>
        <v>#REF!</v>
      </c>
      <c r="AD76" s="583" t="e">
        <f t="shared" si="148"/>
        <v>#REF!</v>
      </c>
      <c r="AE76" s="583" t="e">
        <f t="shared" ref="AE76:AF76" si="149">SUM(AE73:AE75)</f>
        <v>#REF!</v>
      </c>
      <c r="AF76" s="583" t="e">
        <f t="shared" si="149"/>
        <v>#REF!</v>
      </c>
    </row>
    <row r="77" spans="1:41" ht="16.5" hidden="1" outlineLevel="1" thickTop="1">
      <c r="B77" s="477" t="s">
        <v>256</v>
      </c>
      <c r="D77" s="478">
        <f>_xll.Get_Balance(AB72,"YTD","USD","Total","A","","001",$A$72,"GD","WA","DL")</f>
        <v>0</v>
      </c>
      <c r="E77" s="478">
        <v>-14523.15</v>
      </c>
      <c r="F77" s="478">
        <f>_xll.Get_Balance(F72,"YTD","USD","Total","A","","001",$A$72,"GD","WA","DL")</f>
        <v>-11852.27</v>
      </c>
      <c r="G77" s="478">
        <f>_xll.Get_Balance(G72,"YTD","USD","Total","A","","001",$A$72,"GD","WA","DL")</f>
        <v>-9512.61</v>
      </c>
      <c r="H77" s="478">
        <f>_xll.Get_Balance(H72,"YTD","USD","Total","A","","001",$A$72,"GD","WA","DL")</f>
        <v>-8373.74</v>
      </c>
      <c r="I77" s="478">
        <f>_xll.Get_Balance(I72,"YTD","USD","Total","A","","001",$A$72,"GD","WA","DL")</f>
        <v>-7543.49</v>
      </c>
      <c r="J77" s="478">
        <f>_xll.Get_Balance(J72,"YTD","USD","Total","A","","001",$A$72,"GD","WA","DL")</f>
        <v>-6882.12</v>
      </c>
      <c r="K77" s="478">
        <f>_xll.Get_Balance(K72,"YTD","USD","Total","A","","001",$A$72,"GD","WA","DL")</f>
        <v>-6303.99</v>
      </c>
      <c r="L77" s="478">
        <f>_xll.Get_Balance(L72,"YTD","USD","Total","A","","001",$A$72,"GD","WA","DL")</f>
        <v>-5710.36</v>
      </c>
      <c r="M77" s="478">
        <f>_xll.Get_Balance(M72,"YTD","USD","Total","A","","001",$A$72,"GD","WA","DL")</f>
        <v>-4950.6000000000004</v>
      </c>
      <c r="N77" s="478">
        <f>_xll.Get_Balance(N72,"YTD","USD","Total","A","","001",$A$72,"GD","WA","DL")</f>
        <v>-3439.83</v>
      </c>
      <c r="O77" s="478">
        <f>_xll.Get_Balance(O72,"YTD","USD","Total","A","","001",$A$72,"GD","WA","DL")</f>
        <v>-4198.83</v>
      </c>
      <c r="P77" s="478">
        <f>_xll.Get_Balance(P72,"YTD","USD","Total","A","","001",$A$72,"GD","WA","DL")</f>
        <v>-4496.83</v>
      </c>
      <c r="Q77" s="478">
        <f>_xll.Get_Balance(Q72,"YTD","USD","Total","A","","001",$A$72,"GD","WA","DL")</f>
        <v>-3535.35</v>
      </c>
      <c r="R77" s="478">
        <f>_xll.Get_Balance(R72,"YTD","USD","Total","A","","001",$A$72,"GD","WA","DL")</f>
        <v>-3265.04</v>
      </c>
      <c r="S77" s="478">
        <f>_xll.Get_Balance(S72,"YTD","USD","Total","A","","001",$A$72,"GD","WA","DL")</f>
        <v>-3060.71</v>
      </c>
      <c r="T77" s="478">
        <f>_xll.Get_Balance(T72,"YTD","USD","Total","A","","001",$A$72,"GD","WA","DL")</f>
        <v>-2919.81</v>
      </c>
      <c r="U77" s="478">
        <f>_xll.Get_Balance(U72,"YTD","USD","Total","A","","001",$A$72,"GD","WA","DL")</f>
        <v>-2842.03</v>
      </c>
      <c r="V77" s="478">
        <f>_xll.Get_Balance(V72,"YTD","USD","Total","A","","001",$A$72,"GD","WA","DL")</f>
        <v>-2794.18</v>
      </c>
      <c r="W77" s="478">
        <f>_xll.Get_Balance(W72,"YTD","USD","Total","A","","001",$A$72,"GD","WA","DL")</f>
        <v>-2755.12</v>
      </c>
      <c r="X77" s="478">
        <f>_xll.Get_Balance(X72,"YTD","USD","Total","A","","001",$A$72,"GD","WA","DL")</f>
        <v>-2716.25</v>
      </c>
      <c r="Y77" s="478">
        <f>_xll.Get_Balance(Y72,"YTD","USD","Total","A","","001",$A$72,"GD","WA","DL")</f>
        <v>-2659.02</v>
      </c>
      <c r="Z77" s="546">
        <f>_xll.Get_Balance(Z72,"YTD","USD","Total","A","","001",$A$72,"GD","WA","DL")</f>
        <v>-2530.9899999999998</v>
      </c>
      <c r="AA77" s="478">
        <f>_xll.Get_Balance(AA72,"YTD","USD","Total","A","","001",$A$72,"GD","WA","DL")</f>
        <v>0</v>
      </c>
      <c r="AB77" s="478">
        <f>_xll.Get_Balance(AB72,"YTD","USD","Total","A","","001",$A$72,"GD","WA","DL")</f>
        <v>0</v>
      </c>
      <c r="AC77" s="478">
        <f>_xll.Get_Balance(AC72,"YTD","USD","Total","A","","001",$A$72,"GD","WA","DL")</f>
        <v>0</v>
      </c>
      <c r="AD77" s="546">
        <f>_xll.Get_Balance(AD72,"YTD","USD","Total","A","","001",$A$72,"GD","WA","DL")</f>
        <v>0</v>
      </c>
      <c r="AE77" s="546">
        <f>_xll.Get_Balance(AE72,"YTD","USD","Total","A","","001",$A$72,"GD","WA","DL")</f>
        <v>0</v>
      </c>
      <c r="AF77" s="546">
        <f>_xll.Get_Balance(AF72,"YTD","USD","Total","A","","001",$A$72,"GD","WA","DL")</f>
        <v>0</v>
      </c>
    </row>
    <row r="78" spans="1:41" hidden="1" outlineLevel="1">
      <c r="B78" s="477" t="s">
        <v>243</v>
      </c>
      <c r="E78" s="478">
        <v>2.6799999886861769E-3</v>
      </c>
      <c r="F78" s="478">
        <f t="shared" ref="F78:P78" si="150">F76-F77</f>
        <v>5.7799999885901343E-3</v>
      </c>
      <c r="G78" s="478">
        <f t="shared" si="150"/>
        <v>9.6399999893037602E-3</v>
      </c>
      <c r="H78" s="478">
        <f t="shared" si="150"/>
        <v>1.1709999987942865E-2</v>
      </c>
      <c r="I78" s="478">
        <f t="shared" si="150"/>
        <v>1.1939999987589545E-2</v>
      </c>
      <c r="J78" s="478">
        <f t="shared" si="150"/>
        <v>9.1099999872312765E-3</v>
      </c>
      <c r="K78" s="478">
        <f t="shared" si="150"/>
        <v>1.2019999987387564E-2</v>
      </c>
      <c r="L78" s="478">
        <f t="shared" si="150"/>
        <v>1.0709999987739138E-2</v>
      </c>
      <c r="M78" s="478">
        <f t="shared" si="150"/>
        <v>1.2369999988550262E-2</v>
      </c>
      <c r="N78" s="478">
        <f t="shared" si="150"/>
        <v>1.3579999987996416E-2</v>
      </c>
      <c r="O78" s="478">
        <f t="shared" si="150"/>
        <v>1.3579999987996416E-2</v>
      </c>
      <c r="P78" s="478">
        <f t="shared" si="150"/>
        <v>1.3579999987996416E-2</v>
      </c>
      <c r="Q78" s="478">
        <f>Q76-Q77</f>
        <v>1.0319999988041673E-2</v>
      </c>
      <c r="R78" s="478">
        <f t="shared" ref="R78:AB78" si="151">R76-R77</f>
        <v>-9.8952500000118562</v>
      </c>
      <c r="S78" s="478">
        <f t="shared" si="151"/>
        <v>4.9220799999884548</v>
      </c>
      <c r="T78" s="478">
        <f t="shared" si="151"/>
        <v>8.9597899999885158</v>
      </c>
      <c r="U78" s="478" t="e">
        <f t="shared" si="151"/>
        <v>#REF!</v>
      </c>
      <c r="V78" s="478" t="e">
        <f t="shared" si="151"/>
        <v>#REF!</v>
      </c>
      <c r="W78" s="478" t="e">
        <f>W76-W77</f>
        <v>#REF!</v>
      </c>
      <c r="X78" s="478" t="e">
        <f t="shared" si="151"/>
        <v>#REF!</v>
      </c>
      <c r="Y78" s="478" t="e">
        <f t="shared" si="151"/>
        <v>#REF!</v>
      </c>
      <c r="Z78" s="478" t="e">
        <f t="shared" si="151"/>
        <v>#REF!</v>
      </c>
      <c r="AA78" s="478" t="e">
        <f t="shared" si="151"/>
        <v>#REF!</v>
      </c>
      <c r="AB78" s="478" t="e">
        <f t="shared" si="151"/>
        <v>#REF!</v>
      </c>
      <c r="AC78" s="478" t="e">
        <f t="shared" ref="AC78:AD78" si="152">AC76-AC77</f>
        <v>#REF!</v>
      </c>
      <c r="AD78" s="546" t="e">
        <f t="shared" si="152"/>
        <v>#REF!</v>
      </c>
      <c r="AE78" s="546" t="e">
        <f t="shared" ref="AE78:AF78" si="153">AE76-AE77</f>
        <v>#REF!</v>
      </c>
      <c r="AF78" s="546" t="e">
        <f t="shared" si="153"/>
        <v>#REF!</v>
      </c>
    </row>
    <row r="79" spans="1:41" collapsed="1"/>
  </sheetData>
  <conditionalFormatting sqref="L26:P26 E59:P59 E26:I26">
    <cfRule type="cellIs" dxfId="195" priority="55" operator="notEqual">
      <formula>E25</formula>
    </cfRule>
  </conditionalFormatting>
  <conditionalFormatting sqref="AM74 AM41 AM11">
    <cfRule type="cellIs" dxfId="194" priority="43" operator="notEqual">
      <formula>0</formula>
    </cfRule>
  </conditionalFormatting>
  <conditionalFormatting sqref="D59">
    <cfRule type="cellIs" dxfId="193" priority="39" operator="notEqual">
      <formula>D58</formula>
    </cfRule>
  </conditionalFormatting>
  <conditionalFormatting sqref="C59">
    <cfRule type="cellIs" dxfId="192" priority="38" operator="notEqual">
      <formula>C58</formula>
    </cfRule>
  </conditionalFormatting>
  <conditionalFormatting sqref="D26">
    <cfRule type="cellIs" dxfId="191" priority="37" operator="notEqual">
      <formula>D25</formula>
    </cfRule>
  </conditionalFormatting>
  <conditionalFormatting sqref="C26">
    <cfRule type="cellIs" dxfId="190" priority="36" operator="notEqual">
      <formula>C25</formula>
    </cfRule>
  </conditionalFormatting>
  <conditionalFormatting sqref="J26">
    <cfRule type="cellIs" dxfId="189" priority="21" operator="notEqual">
      <formula>J25</formula>
    </cfRule>
  </conditionalFormatting>
  <conditionalFormatting sqref="K26">
    <cfRule type="cellIs" dxfId="188" priority="20" operator="notEqual">
      <formula>K25</formula>
    </cfRule>
  </conditionalFormatting>
  <conditionalFormatting sqref="Q59:U59 Q26:U26 X26:AB26 X59:Y59 AA59:AB59">
    <cfRule type="cellIs" dxfId="187" priority="19" operator="notEqual">
      <formula>Q25</formula>
    </cfRule>
  </conditionalFormatting>
  <conditionalFormatting sqref="V26">
    <cfRule type="cellIs" dxfId="186" priority="18" operator="notEqual">
      <formula>V25</formula>
    </cfRule>
  </conditionalFormatting>
  <conditionalFormatting sqref="V59">
    <cfRule type="cellIs" dxfId="185" priority="16" operator="notEqual">
      <formula>V58</formula>
    </cfRule>
  </conditionalFormatting>
  <conditionalFormatting sqref="W26">
    <cfRule type="cellIs" dxfId="184" priority="15" operator="notEqual">
      <formula>W25</formula>
    </cfRule>
  </conditionalFormatting>
  <conditionalFormatting sqref="W59">
    <cfRule type="cellIs" dxfId="183" priority="14" operator="notEqual">
      <formula>W58</formula>
    </cfRule>
  </conditionalFormatting>
  <conditionalFormatting sqref="Z59">
    <cfRule type="cellIs" dxfId="182" priority="13" operator="notEqual">
      <formula>Z58</formula>
    </cfRule>
  </conditionalFormatting>
  <conditionalFormatting sqref="AD26 AD59">
    <cfRule type="cellIs" dxfId="181" priority="12" operator="notEqual">
      <formula>AD25</formula>
    </cfRule>
  </conditionalFormatting>
  <conditionalFormatting sqref="AG26 AG59">
    <cfRule type="cellIs" dxfId="180" priority="11" operator="notEqual">
      <formula>AG25</formula>
    </cfRule>
  </conditionalFormatting>
  <conditionalFormatting sqref="AC26">
    <cfRule type="cellIs" dxfId="179" priority="10" operator="notEqual">
      <formula>AC25</formula>
    </cfRule>
  </conditionalFormatting>
  <conditionalFormatting sqref="AC59">
    <cfRule type="cellIs" dxfId="178" priority="9" operator="notEqual">
      <formula>AC58</formula>
    </cfRule>
  </conditionalFormatting>
  <conditionalFormatting sqref="AE26 AE59">
    <cfRule type="cellIs" dxfId="177" priority="8" operator="notEqual">
      <formula>AE25</formula>
    </cfRule>
  </conditionalFormatting>
  <conditionalFormatting sqref="AM30">
    <cfRule type="cellIs" dxfId="176" priority="6" operator="notEqual">
      <formula>0</formula>
    </cfRule>
  </conditionalFormatting>
  <conditionalFormatting sqref="AM26">
    <cfRule type="cellIs" dxfId="175" priority="4" operator="notEqual">
      <formula>0</formula>
    </cfRule>
  </conditionalFormatting>
  <conditionalFormatting sqref="AM21">
    <cfRule type="cellIs" dxfId="174" priority="2" operator="notEqual">
      <formula>0</formula>
    </cfRule>
  </conditionalFormatting>
  <conditionalFormatting sqref="AF26 AF59">
    <cfRule type="cellIs" dxfId="173" priority="1" operator="notEqual">
      <formula>AF25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75"/>
  <cols>
    <col min="1" max="1" width="18.7109375" bestFit="1" customWidth="1"/>
    <col min="2" max="14" width="9.8554687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65" t="s">
        <v>191</v>
      </c>
      <c r="D1" s="665"/>
      <c r="E1" s="665"/>
      <c r="F1" s="665"/>
      <c r="G1" s="665"/>
      <c r="H1" s="665"/>
      <c r="I1" s="665"/>
      <c r="J1" s="665"/>
      <c r="K1" s="665"/>
      <c r="P1" s="667"/>
      <c r="Q1" s="667"/>
      <c r="R1" s="667"/>
      <c r="S1" s="667"/>
      <c r="T1" s="667"/>
      <c r="U1" s="667"/>
      <c r="V1" s="667"/>
      <c r="W1" s="667"/>
      <c r="X1" s="667"/>
    </row>
    <row r="2" spans="1:34" ht="23.25">
      <c r="C2" s="666" t="s">
        <v>299</v>
      </c>
      <c r="D2" s="666"/>
      <c r="E2" s="666"/>
      <c r="F2" s="666"/>
      <c r="G2" s="666"/>
      <c r="H2" s="666"/>
      <c r="I2" s="666"/>
      <c r="J2" s="666"/>
      <c r="K2" s="666"/>
      <c r="P2" s="665"/>
      <c r="Q2" s="665"/>
      <c r="R2" s="665"/>
      <c r="S2" s="665"/>
      <c r="T2" s="665"/>
      <c r="U2" s="665"/>
      <c r="V2" s="665"/>
      <c r="W2" s="665"/>
      <c r="X2" s="665"/>
      <c r="Z2" s="665"/>
      <c r="AA2" s="665"/>
      <c r="AB2" s="665"/>
      <c r="AC2" s="665"/>
      <c r="AD2" s="665"/>
      <c r="AE2" s="665"/>
      <c r="AF2" s="665"/>
      <c r="AG2" s="665"/>
      <c r="AH2" s="665"/>
    </row>
    <row r="3" spans="1:34" ht="23.25">
      <c r="C3" s="665" t="s">
        <v>193</v>
      </c>
      <c r="D3" s="665"/>
      <c r="E3" s="665"/>
      <c r="F3" s="665"/>
      <c r="G3" s="665"/>
      <c r="H3" s="665"/>
      <c r="I3" s="665"/>
      <c r="J3" s="665"/>
      <c r="K3" s="665"/>
      <c r="P3" s="666"/>
      <c r="Q3" s="666"/>
      <c r="R3" s="666"/>
      <c r="S3" s="666"/>
      <c r="T3" s="666"/>
      <c r="U3" s="666"/>
      <c r="V3" s="666"/>
      <c r="W3" s="666"/>
      <c r="X3" s="666"/>
      <c r="Z3" s="668"/>
      <c r="AA3" s="668"/>
      <c r="AB3" s="668"/>
      <c r="AC3" s="668"/>
      <c r="AD3" s="668"/>
      <c r="AE3" s="668"/>
      <c r="AF3" s="668"/>
      <c r="AG3" s="668"/>
      <c r="AH3" s="668"/>
    </row>
    <row r="4" spans="1:34">
      <c r="A4" t="s">
        <v>192</v>
      </c>
      <c r="B4" s="265">
        <v>41548</v>
      </c>
      <c r="C4" s="265">
        <f>EOMONTH(B4,1)</f>
        <v>41608</v>
      </c>
      <c r="D4" s="265">
        <f t="shared" ref="D4:N4" si="0">EOMONTH(C4,1)</f>
        <v>41639</v>
      </c>
      <c r="E4" s="265">
        <f t="shared" si="0"/>
        <v>41670</v>
      </c>
      <c r="F4" s="265">
        <f t="shared" si="0"/>
        <v>41698</v>
      </c>
      <c r="G4" s="265">
        <f t="shared" si="0"/>
        <v>41729</v>
      </c>
      <c r="H4" s="265">
        <f t="shared" si="0"/>
        <v>41759</v>
      </c>
      <c r="I4" s="265">
        <f t="shared" si="0"/>
        <v>41790</v>
      </c>
      <c r="J4" s="265">
        <f t="shared" si="0"/>
        <v>41820</v>
      </c>
      <c r="K4" s="265">
        <f t="shared" si="0"/>
        <v>41851</v>
      </c>
      <c r="L4" s="265">
        <f t="shared" si="0"/>
        <v>41882</v>
      </c>
      <c r="M4" s="265">
        <f t="shared" si="0"/>
        <v>41912</v>
      </c>
      <c r="N4" s="265">
        <f t="shared" si="0"/>
        <v>41943</v>
      </c>
      <c r="P4" s="665"/>
      <c r="Q4" s="665"/>
      <c r="R4" s="665"/>
      <c r="S4" s="665"/>
      <c r="T4" s="665"/>
      <c r="U4" s="665"/>
      <c r="V4" s="665"/>
      <c r="W4" s="665"/>
      <c r="X4" s="665"/>
      <c r="Z4" s="665"/>
      <c r="AA4" s="665"/>
      <c r="AB4" s="665"/>
      <c r="AC4" s="665"/>
      <c r="AD4" s="665"/>
      <c r="AE4" s="665"/>
      <c r="AF4" s="665"/>
      <c r="AG4" s="665"/>
    </row>
    <row r="6" spans="1:34">
      <c r="A6" s="266" t="s">
        <v>298</v>
      </c>
    </row>
    <row r="7" spans="1:34">
      <c r="A7" s="267"/>
      <c r="B7" s="268" t="str">
        <f t="shared" ref="B7:N7" si="1">TEXT(B4,"mmmmm-YY")</f>
        <v>O-13</v>
      </c>
      <c r="C7" s="268" t="str">
        <f t="shared" si="1"/>
        <v>N-13</v>
      </c>
      <c r="D7" s="540" t="str">
        <f t="shared" si="1"/>
        <v>D-13</v>
      </c>
      <c r="E7" s="268" t="str">
        <f t="shared" si="1"/>
        <v>J-14</v>
      </c>
      <c r="F7" s="268" t="str">
        <f t="shared" si="1"/>
        <v>F-14</v>
      </c>
      <c r="G7" s="540" t="str">
        <f t="shared" si="1"/>
        <v>M-14</v>
      </c>
      <c r="H7" s="540" t="str">
        <f t="shared" si="1"/>
        <v>A-14</v>
      </c>
      <c r="I7" s="540" t="str">
        <f t="shared" si="1"/>
        <v>M-14</v>
      </c>
      <c r="J7" s="540" t="str">
        <f t="shared" si="1"/>
        <v>J-14</v>
      </c>
      <c r="K7" s="540" t="str">
        <f t="shared" si="1"/>
        <v>J-14</v>
      </c>
      <c r="L7" s="540" t="str">
        <f t="shared" si="1"/>
        <v>A-14</v>
      </c>
      <c r="M7" s="540" t="str">
        <f t="shared" si="1"/>
        <v>S-14</v>
      </c>
      <c r="N7" s="540" t="str">
        <f t="shared" si="1"/>
        <v>O-14</v>
      </c>
    </row>
    <row r="8" spans="1:34">
      <c r="A8" s="539" t="s">
        <v>301</v>
      </c>
      <c r="B8" s="535">
        <f>0.33052*10</f>
        <v>3.3051999999999997</v>
      </c>
      <c r="C8" s="535">
        <v>3.6246661221178802</v>
      </c>
      <c r="D8" s="535">
        <v>3.6234780920677898</v>
      </c>
      <c r="E8" s="535">
        <f>-Jan!$H$53/Jan!$G$46*10</f>
        <v>2.1817000000000006</v>
      </c>
      <c r="F8" s="535">
        <f>-Feb!$H$53/Feb!$G$46*10</f>
        <v>1.4844931785530684</v>
      </c>
      <c r="G8" s="535">
        <f>-Mar!$H$53/Mar!$G$46*10</f>
        <v>1.6408659872789688</v>
      </c>
      <c r="H8" s="535">
        <f>-Mar!$H$53/Mar!$G$46*10</f>
        <v>1.6408659872789688</v>
      </c>
      <c r="I8" s="535">
        <f>-Mar!$H$53/Mar!$G$46*10</f>
        <v>1.6408659872789688</v>
      </c>
      <c r="J8" s="535">
        <f>-Mar!$H$53/Mar!$G$46*10</f>
        <v>1.6408659872789688</v>
      </c>
      <c r="K8" s="535">
        <f>-Mar!$H$53/Mar!$G$46*10</f>
        <v>1.6408659872789688</v>
      </c>
      <c r="L8" s="535">
        <f>-Mar!$H$53/Mar!$G$46*10</f>
        <v>1.6408659872789688</v>
      </c>
      <c r="M8" s="535">
        <f>-Mar!$H$53/Mar!$G$46*10</f>
        <v>1.6408659872789688</v>
      </c>
      <c r="N8" s="535">
        <f>-Mar!$H$53/Mar!$G$46*10</f>
        <v>1.6408659872789688</v>
      </c>
    </row>
    <row r="9" spans="1:34" s="539" customFormat="1">
      <c r="A9" t="s">
        <v>302</v>
      </c>
      <c r="B9" s="535">
        <f>N9</f>
        <v>3.5167999999999999</v>
      </c>
      <c r="C9" s="535">
        <v>3.8812999999999995</v>
      </c>
      <c r="D9" s="535">
        <v>3.6348000000000003</v>
      </c>
      <c r="E9" s="535">
        <v>3.6143999999999998</v>
      </c>
      <c r="F9" s="535">
        <v>3.6770000000000005</v>
      </c>
      <c r="G9" s="535">
        <v>3.9145000000000003</v>
      </c>
      <c r="H9" s="535">
        <v>3.3395999999999999</v>
      </c>
      <c r="I9" s="535">
        <v>3.3895</v>
      </c>
      <c r="J9" s="535">
        <v>3.3272000000000004</v>
      </c>
      <c r="K9" s="535">
        <v>3.3701999999999996</v>
      </c>
      <c r="L9" s="535">
        <v>3.3369</v>
      </c>
      <c r="M9" s="535">
        <v>3.3742000000000001</v>
      </c>
      <c r="N9" s="535">
        <v>3.5167999999999999</v>
      </c>
    </row>
    <row r="10" spans="1:34">
      <c r="A10" t="s">
        <v>300</v>
      </c>
      <c r="B10" s="535">
        <f>0.278008560641104*10</f>
        <v>2.7800856064110402</v>
      </c>
      <c r="C10" s="535">
        <v>3.4540440792083</v>
      </c>
      <c r="D10" s="535">
        <v>3.1876161555634601</v>
      </c>
      <c r="E10" s="535">
        <f>Jan!$K$14/Jan!$G$46*10</f>
        <v>1.9109764729943237</v>
      </c>
      <c r="F10" s="535">
        <f>Feb!$K$14/Feb!$G$46*10</f>
        <v>2.0607503649396444</v>
      </c>
      <c r="G10" s="535">
        <f>Mar!$K$14/Mar!$G$46*10</f>
        <v>1.7605439757226338</v>
      </c>
      <c r="H10" s="535"/>
      <c r="I10" s="535"/>
      <c r="J10" s="535"/>
      <c r="K10" s="535"/>
      <c r="L10" s="535"/>
      <c r="M10" s="535"/>
      <c r="N10" s="535"/>
    </row>
    <row r="11" spans="1:34">
      <c r="A11" s="539" t="s">
        <v>301</v>
      </c>
      <c r="B11" s="535">
        <f>0.0865086772229614*10</f>
        <v>0.86508677222961405</v>
      </c>
      <c r="C11" s="535">
        <v>0.98017103319810395</v>
      </c>
      <c r="D11" s="535">
        <v>0.99766447491792298</v>
      </c>
      <c r="E11" s="535">
        <f>(-Jan!$I$53/Jan!$G$33)*10</f>
        <v>0.92847436019644525</v>
      </c>
      <c r="F11" s="535">
        <f>-Feb!$I$53/Feb!$G$33*10</f>
        <v>0.98246968830434289</v>
      </c>
      <c r="G11" s="535">
        <f>-Mar!$I$53/Mar!$G$33*10</f>
        <v>0.90898238183410318</v>
      </c>
      <c r="H11" s="535"/>
      <c r="I11" s="535"/>
      <c r="J11" s="535"/>
      <c r="K11" s="535"/>
      <c r="L11" s="535"/>
      <c r="M11" s="535"/>
      <c r="N11" s="535"/>
    </row>
    <row r="12" spans="1:34" s="539" customFormat="1">
      <c r="A12" s="539" t="s">
        <v>302</v>
      </c>
      <c r="B12" s="535">
        <f>N12</f>
        <v>1.4529330378220591</v>
      </c>
      <c r="C12" s="535">
        <v>0.79431349782690841</v>
      </c>
      <c r="D12" s="535">
        <v>0.60296290558547094</v>
      </c>
      <c r="E12" s="535">
        <v>0.60895264158951812</v>
      </c>
      <c r="F12" s="535">
        <v>0.60656225946654285</v>
      </c>
      <c r="G12" s="535">
        <v>0.87532504655494603</v>
      </c>
      <c r="H12" s="535">
        <v>1.1232232940560019</v>
      </c>
      <c r="I12" s="535">
        <v>2.0020366178222502</v>
      </c>
      <c r="J12" s="535">
        <v>2.9050208439006555</v>
      </c>
      <c r="K12" s="535">
        <v>3.9176133126746118</v>
      </c>
      <c r="L12" s="535">
        <v>3.8752231593583324</v>
      </c>
      <c r="M12" s="535">
        <v>3.4387986026867114</v>
      </c>
      <c r="N12" s="535">
        <v>1.4529330378220591</v>
      </c>
    </row>
    <row r="13" spans="1:34">
      <c r="A13" s="539" t="s">
        <v>300</v>
      </c>
      <c r="B13" s="535">
        <f>0.102504522593617*10</f>
        <v>1.02504522593617</v>
      </c>
      <c r="C13" s="535">
        <v>0.65827334268652904</v>
      </c>
      <c r="D13" s="535">
        <v>0.51365176254981604</v>
      </c>
      <c r="E13" s="535">
        <f>(Jan!$I$14/Jan!$G$33)*10</f>
        <v>0.50045120250443931</v>
      </c>
      <c r="F13" s="535">
        <f>(Feb!$I$14/Feb!$G$33)*10</f>
        <v>0.47829937322915161</v>
      </c>
      <c r="G13" s="535">
        <f>(Mar!$I$14/Mar!$G$33)*10</f>
        <v>0.60308315586841887</v>
      </c>
      <c r="H13" s="535"/>
      <c r="I13" s="535"/>
      <c r="J13" s="535"/>
      <c r="K13" s="535"/>
      <c r="L13" s="535"/>
      <c r="M13" s="535"/>
      <c r="N13" s="535"/>
    </row>
    <row r="15" spans="1:34">
      <c r="A15" s="266" t="s">
        <v>297</v>
      </c>
    </row>
    <row r="16" spans="1:34">
      <c r="A16" s="267"/>
      <c r="B16" s="537" t="str">
        <f>TEXT(B4,"mmmmm-YY")</f>
        <v>O-13</v>
      </c>
      <c r="C16" s="538" t="str">
        <f t="shared" ref="C16:N16" si="2">TEXT(C4,"mmmmm-YY")</f>
        <v>N-13</v>
      </c>
      <c r="D16" s="268" t="str">
        <f t="shared" si="2"/>
        <v>D-13</v>
      </c>
      <c r="E16" s="268" t="str">
        <f t="shared" si="2"/>
        <v>J-14</v>
      </c>
      <c r="F16" s="268" t="str">
        <f t="shared" si="2"/>
        <v>F-14</v>
      </c>
      <c r="G16" s="268" t="str">
        <f t="shared" si="2"/>
        <v>M-14</v>
      </c>
      <c r="H16" s="268" t="str">
        <f t="shared" si="2"/>
        <v>A-14</v>
      </c>
      <c r="I16" s="268" t="str">
        <f t="shared" si="2"/>
        <v>M-14</v>
      </c>
      <c r="J16" s="268" t="str">
        <f t="shared" si="2"/>
        <v>J-14</v>
      </c>
      <c r="K16" s="268" t="str">
        <f t="shared" si="2"/>
        <v>J-14</v>
      </c>
      <c r="L16" s="268" t="str">
        <f t="shared" si="2"/>
        <v>A-14</v>
      </c>
      <c r="M16" s="268" t="str">
        <f t="shared" si="2"/>
        <v>S-14</v>
      </c>
      <c r="N16" s="268" t="str">
        <f t="shared" si="2"/>
        <v>O-14</v>
      </c>
    </row>
    <row r="17" spans="1:20">
      <c r="A17" s="539" t="s">
        <v>301</v>
      </c>
      <c r="B17" s="535">
        <v>3.7138086914005299</v>
      </c>
      <c r="C17" s="535">
        <v>3.71000032320786</v>
      </c>
      <c r="D17" s="535">
        <v>3.7124000000000001</v>
      </c>
      <c r="E17" s="535">
        <f>-Jan!$J$53/Jan!$K$44*10</f>
        <v>2.1724999999999999</v>
      </c>
      <c r="F17" s="535">
        <f>-Feb!$J$53/Feb!$K$44*10</f>
        <v>1.4722145172786092</v>
      </c>
      <c r="G17" s="535">
        <f>-Mar!$J$53/Mar!$K$44*10</f>
        <v>1.6266661960612308</v>
      </c>
      <c r="H17" s="535">
        <f>-Apr!$J$53/Apr!$K$44*10</f>
        <v>1.6235999999999997</v>
      </c>
      <c r="I17" s="535" t="e">
        <f>-#REF!/#REF!*10</f>
        <v>#REF!</v>
      </c>
      <c r="J17" s="535" t="e">
        <f>-#REF!/#REF!*10</f>
        <v>#REF!</v>
      </c>
      <c r="K17" s="535" t="e">
        <f>-#REF!/#REF!*10</f>
        <v>#REF!</v>
      </c>
      <c r="L17" s="535" t="e">
        <f>-#REF!/#REF!*10</f>
        <v>#REF!</v>
      </c>
      <c r="M17" s="535" t="e">
        <f>-#REF!/#REF!*10</f>
        <v>#REF!</v>
      </c>
      <c r="N17" s="535" t="e">
        <f>-#REF!/#REF!*10</f>
        <v>#REF!</v>
      </c>
    </row>
    <row r="18" spans="1:20" s="539" customFormat="1">
      <c r="A18" s="539" t="s">
        <v>302</v>
      </c>
      <c r="B18" s="535">
        <v>2.9957000000000003</v>
      </c>
      <c r="C18" s="535">
        <v>3.9822000000000002</v>
      </c>
      <c r="D18" s="535">
        <v>3.8203999999999998</v>
      </c>
      <c r="E18" s="535">
        <v>3.7982</v>
      </c>
      <c r="F18" s="535">
        <v>3.8423000000000003</v>
      </c>
      <c r="G18" s="535">
        <v>4.0292000000000003</v>
      </c>
      <c r="H18" s="535">
        <v>3.4569000000000001</v>
      </c>
      <c r="I18" s="535">
        <v>3.5224000000000002</v>
      </c>
      <c r="J18" s="535">
        <v>3.4592000000000001</v>
      </c>
      <c r="K18" s="535">
        <v>3.4888000000000003</v>
      </c>
      <c r="L18" s="535">
        <v>3.4600999999999997</v>
      </c>
      <c r="M18" s="535">
        <v>3.4959000000000002</v>
      </c>
      <c r="N18" s="535">
        <v>3.6281000000000003</v>
      </c>
    </row>
    <row r="19" spans="1:20">
      <c r="A19" s="539" t="s">
        <v>300</v>
      </c>
      <c r="B19" s="535">
        <v>2.76346512007138</v>
      </c>
      <c r="C19" s="535">
        <v>3.4542924833702302</v>
      </c>
      <c r="D19" s="535">
        <v>3.1868860970503601</v>
      </c>
      <c r="E19" s="535">
        <f>Jan!$L$14/Jan!$K$43*10</f>
        <v>1.9124975010616809</v>
      </c>
      <c r="F19" s="535">
        <f>Feb!$L$14/Feb!$K$43*10</f>
        <v>2.0592958211022916</v>
      </c>
      <c r="G19" s="535">
        <f>Mar!$L$14/Mar!$K$43*10</f>
        <v>1.7605908567523985</v>
      </c>
      <c r="H19" s="535">
        <f>Apr!$L$14/Apr!$K$43*10</f>
        <v>0.75256414460221688</v>
      </c>
      <c r="I19" s="535" t="e">
        <f>#REF!/#REF!*10</f>
        <v>#REF!</v>
      </c>
      <c r="J19" s="535" t="e">
        <f>#REF!/#REF!*10</f>
        <v>#REF!</v>
      </c>
      <c r="K19" s="535" t="e">
        <f>#REF!/#REF!*10</f>
        <v>#REF!</v>
      </c>
      <c r="L19" s="535" t="e">
        <f>#REF!/#REF!*10</f>
        <v>#REF!</v>
      </c>
      <c r="M19" s="535" t="e">
        <f>#REF!/#REF!*10</f>
        <v>#REF!</v>
      </c>
      <c r="N19" s="535" t="e">
        <f>#REF!/#REF!*10</f>
        <v>#REF!</v>
      </c>
    </row>
    <row r="20" spans="1:20">
      <c r="A20" s="539" t="s">
        <v>301</v>
      </c>
      <c r="B20" s="535">
        <v>1.0742522128918399</v>
      </c>
      <c r="C20" s="535">
        <v>1.0741263842636799</v>
      </c>
      <c r="D20" s="535">
        <v>1.0744</v>
      </c>
      <c r="E20" s="535">
        <f>-Jan!$K$53/Jan!$K$29*10</f>
        <v>1.0496999999999999</v>
      </c>
      <c r="F20" s="535">
        <f>-Feb!$K$53/Feb!$K$29*10</f>
        <v>1.1157640072436985</v>
      </c>
      <c r="G20" s="535">
        <f>-Mar!$K$53/Mar!$K$29*10</f>
        <v>1.0518903962583694</v>
      </c>
      <c r="H20" s="535">
        <f>-Apr!$K$53/Apr!$K$29*10</f>
        <v>1.0497000000000001</v>
      </c>
      <c r="I20" s="535" t="e">
        <f>-#REF!/#REF!*10</f>
        <v>#REF!</v>
      </c>
      <c r="J20" s="535" t="e">
        <f>-#REF!/#REF!*10</f>
        <v>#REF!</v>
      </c>
      <c r="K20" s="535" t="e">
        <f>-#REF!/#REF!*10</f>
        <v>#REF!</v>
      </c>
      <c r="L20" s="535" t="e">
        <f>-#REF!/#REF!*10</f>
        <v>#REF!</v>
      </c>
      <c r="M20" s="535" t="e">
        <f>-#REF!/#REF!*10</f>
        <v>#REF!</v>
      </c>
      <c r="N20" s="535" t="e">
        <f>-#REF!/#REF!*10</f>
        <v>#REF!</v>
      </c>
    </row>
    <row r="21" spans="1:20" s="539" customFormat="1">
      <c r="A21" s="539" t="s">
        <v>302</v>
      </c>
      <c r="B21" s="535">
        <v>1.2942886206113142</v>
      </c>
      <c r="C21" s="535">
        <v>0.74518730633512642</v>
      </c>
      <c r="D21" s="535">
        <v>0.58083452630008092</v>
      </c>
      <c r="E21" s="535">
        <v>0.60843027300764696</v>
      </c>
      <c r="F21" s="535">
        <v>0.68505702536755764</v>
      </c>
      <c r="G21" s="535">
        <v>0.81792088296424315</v>
      </c>
      <c r="H21" s="535">
        <v>1.0438035301560928</v>
      </c>
      <c r="I21" s="535">
        <v>1.8765356717896455</v>
      </c>
      <c r="J21" s="535">
        <v>2.5204558648798452</v>
      </c>
      <c r="K21" s="535">
        <v>3.0722913458699082</v>
      </c>
      <c r="L21" s="535">
        <v>3.0936566161461703</v>
      </c>
      <c r="M21" s="535">
        <v>2.484887676291045</v>
      </c>
      <c r="N21" s="535">
        <v>1.1747692347018237</v>
      </c>
    </row>
    <row r="22" spans="1:20">
      <c r="A22" s="539" t="s">
        <v>300</v>
      </c>
      <c r="B22" s="535">
        <v>1.2115295970631399</v>
      </c>
      <c r="C22" s="535">
        <v>0.708429666562987</v>
      </c>
      <c r="D22" s="535">
        <v>0.54697005486642902</v>
      </c>
      <c r="E22" s="535">
        <f>Jan!$J$14/Jan!$K$29*10</f>
        <v>0.60168243200814919</v>
      </c>
      <c r="F22" s="535">
        <f>Feb!$J$14/Feb!$K$29*10</f>
        <v>0.51321777211373421</v>
      </c>
      <c r="G22" s="535">
        <f>Mar!$J$14/Mar!$K$29*10</f>
        <v>0.67676667496835818</v>
      </c>
      <c r="H22" s="535">
        <f>Apr!$J$14/Apr!$K$29*10</f>
        <v>0.93274455310206039</v>
      </c>
      <c r="I22" s="535" t="e">
        <f>#REF!/#REF!*10</f>
        <v>#REF!</v>
      </c>
      <c r="J22" s="535" t="e">
        <f>#REF!/#REF!*10</f>
        <v>#REF!</v>
      </c>
      <c r="K22" s="535" t="e">
        <f>#REF!/#REF!*10</f>
        <v>#REF!</v>
      </c>
      <c r="L22" s="535" t="e">
        <f>#REF!/#REF!*10</f>
        <v>#REF!</v>
      </c>
      <c r="M22" s="535" t="e">
        <f>#REF!/#REF!*10</f>
        <v>#REF!</v>
      </c>
      <c r="N22" s="535" t="e">
        <f>#REF!/#REF!*10</f>
        <v>#REF!</v>
      </c>
    </row>
    <row r="23" spans="1:20">
      <c r="C23" s="539"/>
      <c r="D23" s="539"/>
      <c r="E23" s="539"/>
      <c r="F23" s="539"/>
      <c r="G23" s="539"/>
      <c r="H23" s="539"/>
      <c r="I23" s="539"/>
      <c r="J23" s="539"/>
      <c r="K23" s="539"/>
      <c r="L23" s="539"/>
      <c r="M23" s="539"/>
      <c r="N23" s="539"/>
      <c r="S23" s="539"/>
      <c r="T23" s="539"/>
    </row>
    <row r="24" spans="1:20">
      <c r="S24" s="539"/>
      <c r="T24" s="539"/>
    </row>
    <row r="25" spans="1:20">
      <c r="S25" s="539"/>
      <c r="T25" s="539"/>
    </row>
    <row r="26" spans="1:20">
      <c r="R26" s="539"/>
      <c r="S26" s="539"/>
      <c r="T26" s="539"/>
    </row>
    <row r="27" spans="1:20">
      <c r="R27" s="539"/>
      <c r="S27" s="539"/>
      <c r="T27" s="539"/>
    </row>
    <row r="28" spans="1:20">
      <c r="R28" s="539"/>
      <c r="S28" s="539"/>
      <c r="T28" s="539"/>
    </row>
    <row r="29" spans="1:20">
      <c r="R29" s="539"/>
      <c r="S29" s="539"/>
      <c r="T29" s="539"/>
    </row>
    <row r="30" spans="1:20">
      <c r="R30" s="539"/>
      <c r="S30" s="539"/>
      <c r="T30" s="539"/>
    </row>
    <row r="31" spans="1:20">
      <c r="R31" s="539"/>
      <c r="S31" s="539"/>
      <c r="T31" s="539"/>
    </row>
    <row r="32" spans="1:20">
      <c r="R32" s="539"/>
      <c r="S32" s="539"/>
      <c r="T32" s="539"/>
    </row>
    <row r="33" spans="18:30">
      <c r="R33" s="539"/>
      <c r="S33" s="539"/>
      <c r="T33" s="539"/>
    </row>
    <row r="34" spans="18:30">
      <c r="R34" s="539"/>
      <c r="S34" s="539"/>
      <c r="T34" s="539"/>
    </row>
    <row r="35" spans="18:30"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</row>
    <row r="36" spans="18:30"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</row>
    <row r="37" spans="18:30"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</row>
    <row r="38" spans="18:30"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</row>
    <row r="39" spans="18:30"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</row>
    <row r="40" spans="18:30">
      <c r="R40" s="539"/>
      <c r="S40" s="539"/>
      <c r="T40" s="539"/>
      <c r="U40" s="539"/>
      <c r="V40" s="539"/>
      <c r="W40" s="539"/>
      <c r="X40" s="539"/>
      <c r="Y40" s="539"/>
      <c r="Z40" s="539"/>
      <c r="AA40" s="539"/>
      <c r="AB40" s="539"/>
      <c r="AC40" s="539"/>
      <c r="AD40" s="539"/>
    </row>
    <row r="41" spans="18:30"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</row>
    <row r="42" spans="18:30">
      <c r="R42" s="539"/>
      <c r="S42" s="539"/>
      <c r="T42" s="539"/>
      <c r="U42" s="539"/>
      <c r="V42" s="539"/>
      <c r="W42" s="539"/>
      <c r="X42" s="539"/>
      <c r="Y42" s="539"/>
      <c r="Z42" s="539"/>
      <c r="AA42" s="539"/>
      <c r="AB42" s="539"/>
      <c r="AC42" s="539"/>
      <c r="AD42" s="539"/>
    </row>
    <row r="43" spans="18:30" ht="15">
      <c r="S43" s="536"/>
    </row>
    <row r="44" spans="18:30" ht="15">
      <c r="S44" s="536"/>
    </row>
    <row r="45" spans="18:30" ht="15">
      <c r="S45" s="536"/>
    </row>
    <row r="46" spans="18:30" ht="15">
      <c r="S46" s="536"/>
    </row>
    <row r="47" spans="18:30" ht="15">
      <c r="S47" s="536"/>
    </row>
    <row r="48" spans="18:30" ht="15">
      <c r="S48" s="536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382" customWidth="1"/>
    <col min="2" max="2" width="9.28515625" style="382" customWidth="1"/>
    <col min="3" max="3" width="17.85546875" style="382" customWidth="1"/>
    <col min="4" max="4" width="18.42578125" style="382" customWidth="1"/>
    <col min="5" max="5" width="20.140625" style="318" bestFit="1" customWidth="1"/>
    <col min="6" max="6" width="16.140625" style="382" customWidth="1"/>
    <col min="7" max="7" width="34.5703125" style="382" bestFit="1" customWidth="1"/>
    <col min="8" max="8" width="16.85546875" style="382" customWidth="1"/>
    <col min="9" max="9" width="18.28515625" style="382" bestFit="1" customWidth="1"/>
    <col min="10" max="10" width="18.28515625" style="382" customWidth="1"/>
    <col min="11" max="11" width="3.42578125" style="382" customWidth="1"/>
    <col min="12" max="16384" width="9.140625" style="382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83" customFormat="1" ht="16.5" thickBot="1">
      <c r="D7" s="142" t="s">
        <v>223</v>
      </c>
      <c r="E7" s="327">
        <f>'ID Holdback 191015'!C101</f>
        <v>-1565571.2499999998</v>
      </c>
    </row>
    <row r="8" spans="1:10" ht="16.5" thickTop="1" thickBot="1"/>
    <row r="9" spans="1:10" ht="15.75">
      <c r="A9" s="73" t="s">
        <v>142</v>
      </c>
      <c r="B9" s="74"/>
      <c r="C9" s="75"/>
      <c r="D9" s="76"/>
      <c r="E9" s="319"/>
      <c r="G9" s="16"/>
      <c r="H9" s="5"/>
      <c r="I9" s="56"/>
      <c r="J9" s="56"/>
    </row>
    <row r="10" spans="1:10" ht="15.75">
      <c r="A10" s="219">
        <v>41578</v>
      </c>
      <c r="B10" s="71"/>
      <c r="C10" s="16"/>
      <c r="D10" s="72" t="s">
        <v>23</v>
      </c>
      <c r="E10" s="320" t="s">
        <v>21</v>
      </c>
      <c r="G10" s="5"/>
      <c r="H10" s="5"/>
      <c r="I10" s="8"/>
      <c r="J10" s="10"/>
    </row>
    <row r="11" spans="1:10" ht="16.5" thickBot="1">
      <c r="A11" s="14"/>
      <c r="B11" s="18"/>
      <c r="C11" s="131" t="s">
        <v>21</v>
      </c>
      <c r="D11" s="131" t="s">
        <v>22</v>
      </c>
      <c r="E11" s="321" t="s">
        <v>23</v>
      </c>
      <c r="F11" s="383"/>
      <c r="G11" s="7"/>
      <c r="H11" s="7"/>
      <c r="I11" s="10"/>
      <c r="J11" s="10"/>
    </row>
    <row r="12" spans="1:10" ht="15.75">
      <c r="A12" s="2" t="s">
        <v>24</v>
      </c>
      <c r="B12" s="17">
        <v>101</v>
      </c>
      <c r="C12" s="251">
        <v>0</v>
      </c>
      <c r="D12" s="387" t="s">
        <v>187</v>
      </c>
      <c r="E12" s="322">
        <v>61399.94</v>
      </c>
      <c r="F12" s="383"/>
      <c r="G12" s="7"/>
      <c r="H12" s="7"/>
      <c r="I12" s="8"/>
      <c r="J12" s="7"/>
    </row>
    <row r="13" spans="1:10" ht="16.5" thickBot="1">
      <c r="A13" s="2" t="s">
        <v>24</v>
      </c>
      <c r="B13" s="17">
        <v>111</v>
      </c>
      <c r="C13" s="251">
        <v>0</v>
      </c>
      <c r="D13" s="387" t="s">
        <v>187</v>
      </c>
      <c r="E13" s="322">
        <v>26738.47</v>
      </c>
      <c r="F13" s="383"/>
      <c r="G13" s="146">
        <f>A10</f>
        <v>41578</v>
      </c>
      <c r="H13" s="147"/>
      <c r="I13" s="147"/>
      <c r="J13" s="147"/>
    </row>
    <row r="14" spans="1:10" ht="16.5" thickBot="1">
      <c r="A14" s="2" t="s">
        <v>24</v>
      </c>
      <c r="B14" s="17">
        <v>112</v>
      </c>
      <c r="C14" s="251"/>
      <c r="D14" s="387" t="s">
        <v>187</v>
      </c>
      <c r="E14" s="322">
        <v>367.45</v>
      </c>
      <c r="F14" s="383"/>
      <c r="G14" s="102" t="s">
        <v>25</v>
      </c>
      <c r="H14" s="148"/>
      <c r="I14" s="149" t="s">
        <v>18</v>
      </c>
      <c r="J14" s="150" t="s">
        <v>19</v>
      </c>
    </row>
    <row r="15" spans="1:10" ht="15.75">
      <c r="A15" s="2" t="s">
        <v>24</v>
      </c>
      <c r="B15" s="17">
        <v>121</v>
      </c>
      <c r="C15" s="251"/>
      <c r="D15" s="220"/>
      <c r="E15" s="322">
        <v>0</v>
      </c>
      <c r="F15" s="383"/>
      <c r="G15" s="151" t="s">
        <v>28</v>
      </c>
      <c r="H15" s="152" t="s">
        <v>77</v>
      </c>
      <c r="I15" s="108"/>
      <c r="J15" s="392">
        <f>IF(E24&gt;0,-E24,0)</f>
        <v>0</v>
      </c>
    </row>
    <row r="16" spans="1:10" ht="15.75">
      <c r="A16" s="2" t="s">
        <v>24</v>
      </c>
      <c r="B16" s="17">
        <v>122</v>
      </c>
      <c r="C16" s="252"/>
      <c r="D16" s="220"/>
      <c r="E16" s="322">
        <v>0</v>
      </c>
      <c r="F16" s="383"/>
      <c r="G16" s="153" t="s">
        <v>29</v>
      </c>
      <c r="H16" s="7" t="s">
        <v>78</v>
      </c>
      <c r="I16" s="393">
        <f>IF(E24&lt;0,-E24,0)</f>
        <v>1267.76</v>
      </c>
      <c r="J16" s="222"/>
    </row>
    <row r="17" spans="1:10" ht="15.75">
      <c r="A17" s="2" t="s">
        <v>24</v>
      </c>
      <c r="B17" s="17">
        <v>131</v>
      </c>
      <c r="C17" s="251">
        <v>0</v>
      </c>
      <c r="D17" s="387" t="s">
        <v>187</v>
      </c>
      <c r="E17" s="322">
        <v>0</v>
      </c>
      <c r="F17" s="383"/>
      <c r="G17" s="153" t="s">
        <v>99</v>
      </c>
      <c r="H17" s="7" t="s">
        <v>228</v>
      </c>
      <c r="I17" s="393">
        <f>IF((E7-E23)&gt;0,E7-E23,0)</f>
        <v>0</v>
      </c>
      <c r="J17" s="393">
        <f>IF((E7-E23)&lt;0,E7-E23,0)</f>
        <v>-88526.800000000047</v>
      </c>
    </row>
    <row r="18" spans="1:10" ht="15.75">
      <c r="A18" s="2" t="s">
        <v>24</v>
      </c>
      <c r="B18" s="17">
        <v>132</v>
      </c>
      <c r="C18" s="252"/>
      <c r="D18" s="387" t="s">
        <v>187</v>
      </c>
      <c r="E18" s="322">
        <v>20.94</v>
      </c>
      <c r="F18" s="383"/>
      <c r="G18" s="153" t="s">
        <v>10</v>
      </c>
      <c r="H18" s="7" t="s">
        <v>58</v>
      </c>
      <c r="I18" s="7"/>
      <c r="J18" s="458"/>
    </row>
    <row r="19" spans="1:10" ht="16.5" thickBot="1">
      <c r="A19" s="2" t="s">
        <v>24</v>
      </c>
      <c r="B19" s="17" t="s">
        <v>61</v>
      </c>
      <c r="C19" s="252"/>
      <c r="D19" s="121"/>
      <c r="E19" s="322">
        <v>0</v>
      </c>
      <c r="F19" s="383"/>
      <c r="G19" s="154" t="s">
        <v>100</v>
      </c>
      <c r="H19" s="147" t="s">
        <v>207</v>
      </c>
      <c r="I19" s="460">
        <f>IF((E25-E7)&gt;0,E25-E7,0)</f>
        <v>87259.040000000037</v>
      </c>
      <c r="J19" s="107">
        <f>IF((E25-E7)&lt;0,E25-E7,0)</f>
        <v>0</v>
      </c>
    </row>
    <row r="20" spans="1:10" ht="15.75">
      <c r="A20" s="2" t="s">
        <v>156</v>
      </c>
      <c r="B20" s="70"/>
      <c r="C20" s="250"/>
      <c r="D20" s="136"/>
      <c r="E20" s="325">
        <v>0</v>
      </c>
      <c r="F20" s="383"/>
      <c r="G20" s="7"/>
      <c r="H20" s="7"/>
      <c r="I20" s="8"/>
      <c r="J20" s="259">
        <f>ROUND(SUM(I15:J19),2)</f>
        <v>0</v>
      </c>
    </row>
    <row r="21" spans="1:10" ht="16.5" thickBot="1">
      <c r="B21" s="6"/>
      <c r="C21" s="253">
        <f>SUM(C12:C20)</f>
        <v>0</v>
      </c>
      <c r="D21" s="155"/>
      <c r="E21" s="324">
        <f>SUM(E12:E20)</f>
        <v>88526.8</v>
      </c>
      <c r="F21" s="383"/>
      <c r="G21" s="7"/>
      <c r="H21" s="7"/>
      <c r="I21" s="7"/>
      <c r="J21" s="7"/>
    </row>
    <row r="22" spans="1:10" ht="16.5" thickTop="1">
      <c r="B22" s="6"/>
      <c r="C22" s="254">
        <v>0</v>
      </c>
      <c r="D22" s="66" t="s">
        <v>161</v>
      </c>
      <c r="E22" s="325">
        <v>0</v>
      </c>
      <c r="F22" s="383"/>
      <c r="G22" s="65" t="s">
        <v>158</v>
      </c>
      <c r="H22" s="7"/>
      <c r="I22" s="12"/>
      <c r="J22" s="12"/>
    </row>
    <row r="23" spans="1:10" ht="15.75">
      <c r="C23" s="315">
        <f>C21-C22</f>
        <v>0</v>
      </c>
      <c r="D23" s="66" t="s">
        <v>87</v>
      </c>
      <c r="E23" s="324">
        <f>E21+E22+E7</f>
        <v>-1477044.4499999997</v>
      </c>
      <c r="F23" s="383"/>
      <c r="G23" s="8">
        <f>(E7*(D24/12))+((E21-E20)*(D24/24))</f>
        <v>-1267.7565416666666</v>
      </c>
      <c r="H23" s="7"/>
      <c r="I23" s="8"/>
      <c r="J23" s="10"/>
    </row>
    <row r="24" spans="1:10" ht="15.75">
      <c r="C24" s="50"/>
      <c r="D24" s="225">
        <v>0.01</v>
      </c>
      <c r="E24" s="326">
        <f>ROUND(((E7)+(E21-E20)/2)*(D24/12),2)</f>
        <v>-1267.76</v>
      </c>
      <c r="F24" s="383"/>
      <c r="G24" s="65"/>
      <c r="H24" s="7"/>
      <c r="I24" s="10"/>
      <c r="J24" s="10"/>
    </row>
    <row r="25" spans="1:10" ht="16.5" thickBot="1">
      <c r="A25" s="5"/>
      <c r="B25" s="5"/>
      <c r="C25" s="50" t="s">
        <v>1</v>
      </c>
      <c r="D25" s="143">
        <f>A10</f>
        <v>41578</v>
      </c>
      <c r="E25" s="327">
        <f>SUM(E23:E24)</f>
        <v>-1478312.2099999997</v>
      </c>
      <c r="F25" s="383"/>
      <c r="G25" s="7"/>
      <c r="H25" s="7"/>
      <c r="I25" s="8"/>
      <c r="J25" s="7"/>
    </row>
    <row r="26" spans="1:10" ht="16.5" thickTop="1" thickBot="1"/>
    <row r="27" spans="1:10" ht="15.75">
      <c r="A27" s="73" t="s">
        <v>142</v>
      </c>
      <c r="B27" s="74"/>
      <c r="C27" s="75"/>
      <c r="D27" s="76"/>
      <c r="E27" s="319"/>
      <c r="G27" s="16"/>
      <c r="H27" s="5"/>
      <c r="I27" s="56"/>
      <c r="J27" s="56"/>
    </row>
    <row r="28" spans="1:10" ht="15.75">
      <c r="A28" s="219">
        <v>41608</v>
      </c>
      <c r="B28" s="71"/>
      <c r="C28" s="16"/>
      <c r="D28" s="72" t="s">
        <v>23</v>
      </c>
      <c r="E28" s="320" t="s">
        <v>21</v>
      </c>
      <c r="G28" s="5"/>
      <c r="H28" s="5"/>
      <c r="I28" s="8"/>
      <c r="J28" s="10"/>
    </row>
    <row r="29" spans="1:10" ht="16.5" thickBot="1">
      <c r="A29" s="14"/>
      <c r="B29" s="18"/>
      <c r="C29" s="131" t="s">
        <v>21</v>
      </c>
      <c r="D29" s="131" t="s">
        <v>22</v>
      </c>
      <c r="E29" s="321" t="s">
        <v>23</v>
      </c>
      <c r="F29" s="383"/>
      <c r="G29" s="7"/>
      <c r="H29" s="7"/>
      <c r="I29" s="10"/>
      <c r="J29" s="10"/>
    </row>
    <row r="30" spans="1:10" ht="15.75">
      <c r="A30" s="2" t="s">
        <v>24</v>
      </c>
      <c r="B30" s="17">
        <v>101</v>
      </c>
      <c r="C30" s="251">
        <v>7085932</v>
      </c>
      <c r="D30" s="387" t="s">
        <v>187</v>
      </c>
      <c r="E30" s="322">
        <v>104530.84</v>
      </c>
      <c r="F30" s="383"/>
      <c r="G30" s="7"/>
      <c r="H30" s="7"/>
      <c r="I30" s="8"/>
      <c r="J30" s="7"/>
    </row>
    <row r="31" spans="1:10" ht="16.5" thickBot="1">
      <c r="A31" s="2" t="s">
        <v>24</v>
      </c>
      <c r="B31" s="17">
        <v>111</v>
      </c>
      <c r="C31" s="251">
        <v>2422167</v>
      </c>
      <c r="D31" s="387" t="s">
        <v>187</v>
      </c>
      <c r="E31" s="322">
        <v>35529.620000000003</v>
      </c>
      <c r="F31" s="383"/>
      <c r="G31" s="146">
        <f>A28</f>
        <v>41608</v>
      </c>
      <c r="H31" s="147"/>
      <c r="I31" s="147"/>
      <c r="J31" s="147"/>
    </row>
    <row r="32" spans="1:10" ht="16.5" thickBot="1">
      <c r="A32" s="2" t="s">
        <v>24</v>
      </c>
      <c r="B32" s="17">
        <v>112</v>
      </c>
      <c r="C32" s="251">
        <v>24496</v>
      </c>
      <c r="D32" s="387" t="s">
        <v>187</v>
      </c>
      <c r="E32" s="322">
        <v>363.03</v>
      </c>
      <c r="F32" s="383"/>
      <c r="G32" s="102" t="s">
        <v>25</v>
      </c>
      <c r="H32" s="148"/>
      <c r="I32" s="149" t="s">
        <v>18</v>
      </c>
      <c r="J32" s="150" t="s">
        <v>19</v>
      </c>
    </row>
    <row r="33" spans="1:10" ht="15.75">
      <c r="A33" s="2" t="s">
        <v>24</v>
      </c>
      <c r="B33" s="17">
        <v>121</v>
      </c>
      <c r="C33" s="251"/>
      <c r="D33" s="220"/>
      <c r="E33" s="322">
        <v>0</v>
      </c>
      <c r="F33" s="383"/>
      <c r="G33" s="151" t="s">
        <v>28</v>
      </c>
      <c r="H33" s="152" t="s">
        <v>77</v>
      </c>
      <c r="I33" s="108"/>
      <c r="J33" s="392">
        <f>IF(E42&gt;0,-E42,0)</f>
        <v>0</v>
      </c>
    </row>
    <row r="34" spans="1:10" ht="15.75">
      <c r="A34" s="2" t="s">
        <v>24</v>
      </c>
      <c r="B34" s="17">
        <v>122</v>
      </c>
      <c r="C34" s="251"/>
      <c r="D34" s="220"/>
      <c r="E34" s="322">
        <v>0</v>
      </c>
      <c r="F34" s="383"/>
      <c r="G34" s="153" t="s">
        <v>29</v>
      </c>
      <c r="H34" s="7" t="s">
        <v>78</v>
      </c>
      <c r="I34" s="393">
        <f>IF(E42&lt;0,-E42,0)</f>
        <v>1173.9403833333333</v>
      </c>
      <c r="J34" s="222"/>
    </row>
    <row r="35" spans="1:10" ht="15.75">
      <c r="A35" s="2" t="s">
        <v>24</v>
      </c>
      <c r="B35" s="17">
        <v>131</v>
      </c>
      <c r="C35" s="251">
        <v>0</v>
      </c>
      <c r="D35" s="387" t="s">
        <v>187</v>
      </c>
      <c r="E35" s="322">
        <v>0</v>
      </c>
      <c r="F35" s="383"/>
      <c r="G35" s="153" t="s">
        <v>99</v>
      </c>
      <c r="H35" s="7" t="s">
        <v>228</v>
      </c>
      <c r="I35" s="393">
        <f>IF((E25-E41)&gt;0,E25-E41,0)</f>
        <v>0</v>
      </c>
      <c r="J35" s="393">
        <f>IF((E25-E41)&lt;0,E25-E41,0)</f>
        <v>-140007.26</v>
      </c>
    </row>
    <row r="36" spans="1:10" ht="15.75">
      <c r="A36" s="2" t="s">
        <v>24</v>
      </c>
      <c r="B36" s="17">
        <v>132</v>
      </c>
      <c r="C36" s="251">
        <v>27816</v>
      </c>
      <c r="D36" s="387" t="s">
        <v>187</v>
      </c>
      <c r="E36" s="322">
        <v>412.23</v>
      </c>
      <c r="F36" s="383"/>
      <c r="G36" s="153" t="s">
        <v>10</v>
      </c>
      <c r="H36" s="7" t="s">
        <v>58</v>
      </c>
      <c r="I36" s="7"/>
      <c r="J36" s="458"/>
    </row>
    <row r="37" spans="1:10" ht="16.5" thickBot="1">
      <c r="A37" s="2" t="s">
        <v>24</v>
      </c>
      <c r="B37" s="17" t="s">
        <v>61</v>
      </c>
      <c r="C37" s="251"/>
      <c r="D37" s="121"/>
      <c r="E37" s="322">
        <v>0</v>
      </c>
      <c r="F37" s="383"/>
      <c r="G37" s="154" t="s">
        <v>100</v>
      </c>
      <c r="H37" s="147" t="s">
        <v>207</v>
      </c>
      <c r="I37" s="460">
        <f>IF((E43-E25)&gt;0,E43-E25,0)</f>
        <v>138833.31961666676</v>
      </c>
      <c r="J37" s="107">
        <f>IF((E43-E25)&lt;0,E43-E25,0)</f>
        <v>0</v>
      </c>
    </row>
    <row r="38" spans="1:10" ht="15.75">
      <c r="A38" s="2" t="s">
        <v>156</v>
      </c>
      <c r="B38" s="70"/>
      <c r="C38" s="250"/>
      <c r="D38" s="136"/>
      <c r="E38" s="325">
        <v>0</v>
      </c>
      <c r="F38" s="383"/>
      <c r="G38" s="7"/>
      <c r="H38" s="7"/>
      <c r="I38" s="8"/>
      <c r="J38" s="259">
        <f>ROUND(SUM(I33:J37),2)</f>
        <v>0</v>
      </c>
    </row>
    <row r="39" spans="1:10" ht="16.5" thickBot="1">
      <c r="B39" s="6"/>
      <c r="C39" s="253">
        <f>SUM(C30:C38)</f>
        <v>9560411</v>
      </c>
      <c r="D39" s="155"/>
      <c r="E39" s="324">
        <f>SUM(E30:E38)</f>
        <v>140835.72</v>
      </c>
      <c r="F39" s="383"/>
      <c r="G39" s="7"/>
      <c r="H39" s="7"/>
      <c r="I39" s="7"/>
      <c r="J39" s="7"/>
    </row>
    <row r="40" spans="1:10" ht="16.5" thickTop="1">
      <c r="B40" s="6"/>
      <c r="C40" s="254">
        <v>9560411</v>
      </c>
      <c r="D40" s="66" t="s">
        <v>161</v>
      </c>
      <c r="E40" s="325">
        <f>-828.46</f>
        <v>-828.46</v>
      </c>
      <c r="F40" s="383"/>
      <c r="G40" s="65" t="s">
        <v>158</v>
      </c>
      <c r="H40" s="7"/>
      <c r="I40" s="12"/>
      <c r="J40" s="12"/>
    </row>
    <row r="41" spans="1:10" ht="15.75">
      <c r="C41" s="315">
        <f>C39-C40</f>
        <v>0</v>
      </c>
      <c r="D41" s="66" t="s">
        <v>87</v>
      </c>
      <c r="E41" s="324">
        <f>E39+E40+E25</f>
        <v>-1338304.9499999997</v>
      </c>
      <c r="F41" s="383"/>
      <c r="G41" s="8">
        <f>(E25*(D42/12))+((E39-E38)*(D42/24))</f>
        <v>-1173.2452916666666</v>
      </c>
      <c r="H41" s="7"/>
      <c r="I41" s="8"/>
      <c r="J41" s="10"/>
    </row>
    <row r="42" spans="1:10" ht="15.75">
      <c r="C42" s="50"/>
      <c r="D42" s="225">
        <v>0.01</v>
      </c>
      <c r="E42" s="326">
        <f>ROUND(((E25)+(E39-E38)/2)*(D42/12),2)+(E40*0.01/12)</f>
        <v>-1173.9403833333333</v>
      </c>
      <c r="F42" s="383"/>
      <c r="G42" s="65">
        <f>E42-G41</f>
        <v>-0.69509166666671263</v>
      </c>
      <c r="H42" s="465" t="s">
        <v>229</v>
      </c>
      <c r="I42" s="10"/>
      <c r="J42" s="10"/>
    </row>
    <row r="43" spans="1:10" ht="16.5" thickBot="1">
      <c r="A43" s="5"/>
      <c r="B43" s="5"/>
      <c r="C43" s="50" t="s">
        <v>1</v>
      </c>
      <c r="D43" s="143">
        <f>A28</f>
        <v>41608</v>
      </c>
      <c r="E43" s="327">
        <f>SUM(E41:E42)</f>
        <v>-1339478.890383333</v>
      </c>
      <c r="F43" s="383"/>
      <c r="G43" s="7"/>
      <c r="H43" s="7"/>
      <c r="I43" s="8"/>
      <c r="J43" s="7"/>
    </row>
    <row r="44" spans="1:10" ht="16.5" thickTop="1" thickBot="1"/>
    <row r="45" spans="1:10" ht="15.75">
      <c r="A45" s="73" t="s">
        <v>142</v>
      </c>
      <c r="B45" s="74"/>
      <c r="C45" s="75"/>
      <c r="D45" s="76"/>
      <c r="E45" s="319"/>
      <c r="G45" s="16"/>
      <c r="H45" s="5"/>
      <c r="I45" s="56"/>
      <c r="J45" s="56"/>
    </row>
    <row r="46" spans="1:10" ht="15.75">
      <c r="A46" s="219">
        <f>EOMONTH(A28,1)</f>
        <v>41639</v>
      </c>
      <c r="B46" s="71"/>
      <c r="C46" s="16"/>
      <c r="D46" s="72" t="s">
        <v>23</v>
      </c>
      <c r="E46" s="320" t="s">
        <v>21</v>
      </c>
      <c r="G46" s="5"/>
      <c r="H46" s="5"/>
      <c r="I46" s="8"/>
      <c r="J46" s="10"/>
    </row>
    <row r="47" spans="1:10" ht="16.5" thickBot="1">
      <c r="A47" s="14"/>
      <c r="B47" s="18"/>
      <c r="C47" s="131" t="s">
        <v>21</v>
      </c>
      <c r="D47" s="131" t="s">
        <v>22</v>
      </c>
      <c r="E47" s="321" t="s">
        <v>23</v>
      </c>
      <c r="F47" s="383"/>
      <c r="G47" s="7"/>
      <c r="H47" s="7"/>
      <c r="I47" s="10"/>
      <c r="J47" s="10"/>
    </row>
    <row r="48" spans="1:10" ht="15.75">
      <c r="A48" s="2" t="s">
        <v>24</v>
      </c>
      <c r="B48" s="17">
        <v>101</v>
      </c>
      <c r="C48" s="251">
        <f>Jan!$K$36</f>
        <v>8822773</v>
      </c>
      <c r="D48" s="387">
        <v>1.482E-2</v>
      </c>
      <c r="E48" s="322">
        <f>C48*D48</f>
        <v>130753.49586</v>
      </c>
      <c r="F48" s="383"/>
      <c r="G48" s="7"/>
      <c r="H48" s="7"/>
      <c r="I48" s="8"/>
      <c r="J48" s="7"/>
    </row>
    <row r="49" spans="1:10" ht="16.5" thickBot="1">
      <c r="A49" s="2" t="s">
        <v>24</v>
      </c>
      <c r="B49" s="17">
        <v>111</v>
      </c>
      <c r="C49" s="251">
        <f>Jan!$K$37</f>
        <v>2761366</v>
      </c>
      <c r="D49" s="387">
        <v>1.482E-2</v>
      </c>
      <c r="E49" s="322">
        <f t="shared" ref="E49:E55" si="0">C49*D49</f>
        <v>40923.44412</v>
      </c>
      <c r="F49" s="383"/>
      <c r="G49" s="146">
        <f>A46</f>
        <v>41639</v>
      </c>
      <c r="H49" s="147"/>
      <c r="I49" s="147"/>
      <c r="J49" s="147"/>
    </row>
    <row r="50" spans="1:10" ht="16.5" thickBot="1">
      <c r="A50" s="2" t="s">
        <v>24</v>
      </c>
      <c r="B50" s="17">
        <v>112</v>
      </c>
      <c r="C50" s="251">
        <f>Jan!$K$38</f>
        <v>3610</v>
      </c>
      <c r="D50" s="387">
        <v>1.482E-2</v>
      </c>
      <c r="E50" s="322">
        <f t="shared" si="0"/>
        <v>53.5002</v>
      </c>
      <c r="F50" s="383"/>
      <c r="G50" s="102" t="s">
        <v>25</v>
      </c>
      <c r="H50" s="148"/>
      <c r="I50" s="149" t="s">
        <v>18</v>
      </c>
      <c r="J50" s="150" t="s">
        <v>19</v>
      </c>
    </row>
    <row r="51" spans="1:10" ht="15.75">
      <c r="A51" s="2" t="s">
        <v>24</v>
      </c>
      <c r="B51" s="17">
        <v>121</v>
      </c>
      <c r="C51" s="251">
        <f>Jan!$K$39</f>
        <v>0</v>
      </c>
      <c r="D51" s="387">
        <v>1.482E-2</v>
      </c>
      <c r="E51" s="322">
        <f t="shared" si="0"/>
        <v>0</v>
      </c>
      <c r="F51" s="383"/>
      <c r="G51" s="151" t="s">
        <v>28</v>
      </c>
      <c r="H51" s="152" t="s">
        <v>77</v>
      </c>
      <c r="I51" s="108"/>
      <c r="J51" s="392">
        <f>IF(E60&gt;0,-E60,0)</f>
        <v>0</v>
      </c>
    </row>
    <row r="52" spans="1:10" ht="15.75">
      <c r="A52" s="2" t="s">
        <v>24</v>
      </c>
      <c r="B52" s="17">
        <v>122</v>
      </c>
      <c r="C52" s="251"/>
      <c r="D52" s="220"/>
      <c r="E52" s="322">
        <f t="shared" si="0"/>
        <v>0</v>
      </c>
      <c r="F52" s="383"/>
      <c r="G52" s="153" t="s">
        <v>29</v>
      </c>
      <c r="H52" s="7" t="s">
        <v>78</v>
      </c>
      <c r="I52" s="393">
        <f>IF(E60&lt;0,-E60,0)</f>
        <v>1044.68</v>
      </c>
      <c r="J52" s="222"/>
    </row>
    <row r="53" spans="1:10" ht="15.75">
      <c r="A53" s="2" t="s">
        <v>24</v>
      </c>
      <c r="B53" s="17">
        <v>131</v>
      </c>
      <c r="C53" s="251"/>
      <c r="D53" s="387"/>
      <c r="E53" s="322">
        <f t="shared" si="0"/>
        <v>0</v>
      </c>
      <c r="F53" s="383"/>
      <c r="G53" s="153" t="s">
        <v>99</v>
      </c>
      <c r="H53" s="7" t="s">
        <v>228</v>
      </c>
      <c r="I53" s="393">
        <f>IF((E43-E59)&gt;0,E43-E59,0)</f>
        <v>0</v>
      </c>
      <c r="J53" s="393">
        <f>IF((E43-E59)&lt;0,E43-E59,0)</f>
        <v>-171730.44017999992</v>
      </c>
    </row>
    <row r="54" spans="1:10" ht="15.75">
      <c r="A54" s="2" t="s">
        <v>24</v>
      </c>
      <c r="B54" s="17">
        <v>132</v>
      </c>
      <c r="C54" s="251">
        <f>Jan!$K$42</f>
        <v>0</v>
      </c>
      <c r="D54" s="387">
        <v>1.482E-2</v>
      </c>
      <c r="E54" s="322">
        <f t="shared" si="0"/>
        <v>0</v>
      </c>
      <c r="F54" s="383"/>
      <c r="G54" s="153" t="s">
        <v>10</v>
      </c>
      <c r="H54" s="7" t="s">
        <v>58</v>
      </c>
      <c r="I54" s="7"/>
      <c r="J54" s="458"/>
    </row>
    <row r="55" spans="1:10" ht="16.5" thickBot="1">
      <c r="A55" s="2" t="s">
        <v>24</v>
      </c>
      <c r="B55" s="17" t="s">
        <v>61</v>
      </c>
      <c r="C55" s="251"/>
      <c r="D55" s="121"/>
      <c r="E55" s="322">
        <f t="shared" si="0"/>
        <v>0</v>
      </c>
      <c r="F55" s="383"/>
      <c r="G55" s="154" t="s">
        <v>100</v>
      </c>
      <c r="H55" s="147" t="s">
        <v>207</v>
      </c>
      <c r="I55" s="460">
        <f>IF((E61-E43)&gt;0,E61-E43,0)</f>
        <v>170685.76017999998</v>
      </c>
      <c r="J55" s="107">
        <f>IF((E61-E43)&lt;0,E61-E43,0)</f>
        <v>0</v>
      </c>
    </row>
    <row r="56" spans="1:10" ht="15.75">
      <c r="A56" s="2" t="s">
        <v>156</v>
      </c>
      <c r="B56" s="70"/>
      <c r="C56" s="250"/>
      <c r="D56" s="136"/>
      <c r="E56" s="325">
        <v>0</v>
      </c>
      <c r="F56" s="383"/>
      <c r="G56" s="7"/>
      <c r="H56" s="7"/>
      <c r="I56" s="8"/>
      <c r="J56" s="259">
        <f>ROUND(SUM(I51:J55),2)</f>
        <v>0</v>
      </c>
    </row>
    <row r="57" spans="1:10" ht="16.5" thickBot="1">
      <c r="B57" s="6"/>
      <c r="C57" s="253">
        <f>SUM(C48:C56)</f>
        <v>11587749</v>
      </c>
      <c r="D57" s="155"/>
      <c r="E57" s="324">
        <f>SUM(E48:E56)</f>
        <v>171730.44018000001</v>
      </c>
      <c r="F57" s="383"/>
      <c r="G57" s="7"/>
      <c r="H57" s="7"/>
      <c r="I57" s="7"/>
      <c r="J57" s="7"/>
    </row>
    <row r="58" spans="1:10" ht="16.5" thickTop="1">
      <c r="B58" s="6"/>
      <c r="C58" s="254">
        <v>13799763</v>
      </c>
      <c r="D58" s="66" t="s">
        <v>161</v>
      </c>
      <c r="E58" s="325">
        <v>0</v>
      </c>
      <c r="F58" s="383"/>
      <c r="G58" s="65" t="s">
        <v>158</v>
      </c>
      <c r="H58" s="7"/>
      <c r="I58" s="12"/>
      <c r="J58" s="12"/>
    </row>
    <row r="59" spans="1:10" ht="15.75">
      <c r="C59" s="315">
        <f>C57-C58</f>
        <v>-2212014</v>
      </c>
      <c r="D59" s="66" t="s">
        <v>87</v>
      </c>
      <c r="E59" s="324">
        <f>E57+E58+E43</f>
        <v>-1167748.4502033331</v>
      </c>
      <c r="F59" s="383"/>
      <c r="G59" s="8">
        <f>(E43*(D60/12))+((E57-E56)*(D60/24))</f>
        <v>-1044.6780585777776</v>
      </c>
      <c r="H59" s="7"/>
      <c r="I59" s="8"/>
      <c r="J59" s="10"/>
    </row>
    <row r="60" spans="1:10" ht="15.75">
      <c r="C60" s="50"/>
      <c r="D60" s="225">
        <v>0.01</v>
      </c>
      <c r="E60" s="326">
        <f>ROUND(((E43)+(E57-E56)/2)*(D60/12),2)</f>
        <v>-1044.68</v>
      </c>
      <c r="F60" s="383"/>
      <c r="G60" s="65"/>
      <c r="H60" s="465"/>
      <c r="I60" s="10"/>
      <c r="J60" s="10"/>
    </row>
    <row r="61" spans="1:10" ht="16.5" thickBot="1">
      <c r="A61" s="5"/>
      <c r="B61" s="5"/>
      <c r="C61" s="50" t="s">
        <v>1</v>
      </c>
      <c r="D61" s="143">
        <f>A46</f>
        <v>41639</v>
      </c>
      <c r="E61" s="327">
        <f>SUM(E59:E60)</f>
        <v>-1168793.130203333</v>
      </c>
      <c r="F61" s="383"/>
      <c r="G61" s="473" t="s">
        <v>244</v>
      </c>
      <c r="H61" s="474" t="e">
        <f>_xll.Get_Balance(I61,"YTD","USD","Total","A","","001","191015","GD","ID","DL")-E61</f>
        <v>#VALUE!</v>
      </c>
      <c r="I61" s="475">
        <v>201312</v>
      </c>
      <c r="J61" s="7"/>
    </row>
    <row r="62" spans="1:10" ht="15.75" thickTop="1"/>
    <row r="118" spans="16:16">
      <c r="P118" s="382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1" customWidth="1"/>
    <col min="2" max="2" width="9.28515625" style="1" customWidth="1"/>
    <col min="3" max="3" width="17.85546875" style="1" customWidth="1"/>
    <col min="4" max="4" width="18.42578125" style="1" customWidth="1"/>
    <col min="5" max="5" width="20.140625" style="318" bestFit="1" customWidth="1"/>
    <col min="6" max="6" width="16.140625" style="1" customWidth="1"/>
    <col min="7" max="7" width="34.5703125" style="1" bestFit="1" customWidth="1"/>
    <col min="8" max="8" width="16.85546875" style="1" customWidth="1"/>
    <col min="9" max="9" width="18.28515625" style="1" bestFit="1" customWidth="1"/>
    <col min="10" max="10" width="18.285156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29" customFormat="1" ht="16.5" hidden="1" thickBot="1">
      <c r="A7" s="5"/>
      <c r="B7" s="5"/>
      <c r="C7" s="50" t="s">
        <v>1</v>
      </c>
      <c r="D7" s="143">
        <v>41182</v>
      </c>
      <c r="E7" s="327">
        <v>802311.62372397084</v>
      </c>
      <c r="F7" s="331"/>
      <c r="G7" s="7"/>
      <c r="H7" s="7"/>
      <c r="I7" s="8"/>
      <c r="J7" s="7"/>
    </row>
    <row r="8" spans="1:10" s="383" customFormat="1" ht="16.5" hidden="1" thickTop="1">
      <c r="D8" s="142" t="s">
        <v>208</v>
      </c>
      <c r="E8" s="324">
        <f>'ID Def 191010'!T17</f>
        <v>-2122091.5699999998</v>
      </c>
    </row>
    <row r="9" spans="1:10" s="383" customFormat="1" ht="16.5" hidden="1" thickBot="1">
      <c r="D9" s="142" t="s">
        <v>204</v>
      </c>
      <c r="E9" s="327">
        <f>E8+E7</f>
        <v>-1319779.9462760291</v>
      </c>
    </row>
    <row r="10" spans="1:10" s="329" customFormat="1" ht="16.5" hidden="1" thickTop="1" thickBot="1">
      <c r="E10" s="318"/>
    </row>
    <row r="11" spans="1:10" ht="15.75" hidden="1">
      <c r="A11" s="73" t="s">
        <v>142</v>
      </c>
      <c r="B11" s="74"/>
      <c r="C11" s="75"/>
      <c r="D11" s="76"/>
      <c r="E11" s="319"/>
      <c r="F11" s="329"/>
      <c r="G11" s="16"/>
      <c r="H11" s="5"/>
      <c r="I11" s="56"/>
      <c r="J11" s="56"/>
    </row>
    <row r="12" spans="1:10" ht="15.75" hidden="1">
      <c r="A12" s="219">
        <v>41213</v>
      </c>
      <c r="B12" s="71"/>
      <c r="C12" s="16"/>
      <c r="D12" s="72" t="s">
        <v>23</v>
      </c>
      <c r="E12" s="320" t="s">
        <v>21</v>
      </c>
      <c r="F12" s="329"/>
      <c r="G12" s="5"/>
      <c r="H12" s="5"/>
      <c r="I12" s="8"/>
      <c r="J12" s="10"/>
    </row>
    <row r="13" spans="1:10" ht="16.5" hidden="1" thickBot="1">
      <c r="A13" s="14"/>
      <c r="B13" s="18"/>
      <c r="C13" s="131" t="s">
        <v>21</v>
      </c>
      <c r="D13" s="131" t="s">
        <v>22</v>
      </c>
      <c r="E13" s="321" t="s">
        <v>23</v>
      </c>
      <c r="F13" s="331"/>
      <c r="G13" s="7"/>
      <c r="H13" s="7"/>
      <c r="I13" s="10"/>
      <c r="J13" s="10"/>
    </row>
    <row r="14" spans="1:10" ht="15.75" hidden="1">
      <c r="A14" s="2" t="s">
        <v>24</v>
      </c>
      <c r="B14" s="17">
        <v>101</v>
      </c>
      <c r="C14" s="251">
        <v>3765205</v>
      </c>
      <c r="D14" s="233">
        <v>1.7780000000000001E-2</v>
      </c>
      <c r="E14" s="322">
        <v>66929.279999999999</v>
      </c>
      <c r="F14" s="383" t="s">
        <v>187</v>
      </c>
      <c r="G14" s="7"/>
      <c r="H14" s="7"/>
      <c r="I14" s="8"/>
      <c r="J14" s="7"/>
    </row>
    <row r="15" spans="1:10" ht="16.5" hidden="1" thickBot="1">
      <c r="A15" s="2" t="s">
        <v>24</v>
      </c>
      <c r="B15" s="17">
        <v>111</v>
      </c>
      <c r="C15" s="251">
        <v>1887716</v>
      </c>
      <c r="D15" s="233">
        <v>1.7780000000000001E-2</v>
      </c>
      <c r="E15" s="322">
        <v>32198.03</v>
      </c>
      <c r="F15" s="383" t="s">
        <v>187</v>
      </c>
      <c r="G15" s="146">
        <f>A12</f>
        <v>41213</v>
      </c>
      <c r="H15" s="147"/>
      <c r="I15" s="147"/>
      <c r="J15" s="147"/>
    </row>
    <row r="16" spans="1:10" ht="16.5" hidden="1" thickBot="1">
      <c r="A16" s="2" t="s">
        <v>24</v>
      </c>
      <c r="B16" s="17">
        <v>112</v>
      </c>
      <c r="C16" s="251"/>
      <c r="D16" s="233"/>
      <c r="E16" s="322">
        <v>0</v>
      </c>
      <c r="F16" s="331"/>
      <c r="G16" s="102" t="s">
        <v>25</v>
      </c>
      <c r="H16" s="148"/>
      <c r="I16" s="149" t="s">
        <v>18</v>
      </c>
      <c r="J16" s="150" t="s">
        <v>19</v>
      </c>
    </row>
    <row r="17" spans="1:10" ht="15.75" hidden="1">
      <c r="A17" s="2" t="s">
        <v>24</v>
      </c>
      <c r="B17" s="17">
        <v>121</v>
      </c>
      <c r="C17" s="251"/>
      <c r="D17" s="220"/>
      <c r="E17" s="322">
        <v>0</v>
      </c>
      <c r="F17" s="331"/>
      <c r="G17" s="151" t="s">
        <v>28</v>
      </c>
      <c r="H17" s="152" t="s">
        <v>77</v>
      </c>
      <c r="I17" s="108"/>
      <c r="J17" s="392">
        <v>0</v>
      </c>
    </row>
    <row r="18" spans="1:10" ht="15.75" hidden="1">
      <c r="A18" s="2" t="s">
        <v>24</v>
      </c>
      <c r="B18" s="17">
        <v>122</v>
      </c>
      <c r="C18" s="252"/>
      <c r="D18" s="220"/>
      <c r="E18" s="322">
        <v>0</v>
      </c>
      <c r="F18" s="331"/>
      <c r="G18" s="153" t="s">
        <v>29</v>
      </c>
      <c r="H18" s="7" t="s">
        <v>78</v>
      </c>
      <c r="I18" s="393">
        <f>-E26</f>
        <v>1058.51</v>
      </c>
      <c r="J18" s="222"/>
    </row>
    <row r="19" spans="1:10" ht="15.75" hidden="1">
      <c r="A19" s="2" t="s">
        <v>24</v>
      </c>
      <c r="B19" s="17">
        <v>131</v>
      </c>
      <c r="C19" s="251">
        <v>0</v>
      </c>
      <c r="D19" s="233">
        <v>1.6570000000000001E-2</v>
      </c>
      <c r="E19" s="322">
        <v>0</v>
      </c>
      <c r="F19" s="331"/>
      <c r="G19" s="153" t="s">
        <v>99</v>
      </c>
      <c r="H19" s="7" t="s">
        <v>60</v>
      </c>
      <c r="I19" s="8"/>
      <c r="J19" s="98">
        <f>-E23-E24</f>
        <v>-147173</v>
      </c>
    </row>
    <row r="20" spans="1:10" ht="15.75" hidden="1">
      <c r="A20" s="2" t="s">
        <v>24</v>
      </c>
      <c r="B20" s="17">
        <v>132</v>
      </c>
      <c r="C20" s="252"/>
      <c r="D20" s="121"/>
      <c r="E20" s="322">
        <v>0</v>
      </c>
      <c r="F20" s="331"/>
      <c r="G20" s="153" t="s">
        <v>10</v>
      </c>
      <c r="H20" s="7" t="s">
        <v>58</v>
      </c>
      <c r="I20" s="7">
        <v>0</v>
      </c>
      <c r="J20" s="109"/>
    </row>
    <row r="21" spans="1:10" ht="16.5" hidden="1" thickBot="1">
      <c r="A21" s="2" t="s">
        <v>24</v>
      </c>
      <c r="B21" s="17" t="s">
        <v>61</v>
      </c>
      <c r="C21" s="252"/>
      <c r="D21" s="121"/>
      <c r="E21" s="322">
        <v>0</v>
      </c>
      <c r="F21" s="331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75" hidden="1">
      <c r="A22" s="2" t="s">
        <v>156</v>
      </c>
      <c r="B22" s="70"/>
      <c r="C22" s="250"/>
      <c r="D22" s="136"/>
      <c r="E22" s="323">
        <v>48045.69</v>
      </c>
      <c r="F22" s="331"/>
      <c r="G22" s="7"/>
      <c r="H22" s="7"/>
      <c r="I22" s="8"/>
      <c r="J22" s="259">
        <f>ROUND(SUM(I17:J21),2)</f>
        <v>0</v>
      </c>
    </row>
    <row r="23" spans="1:10" ht="16.5" hidden="1" thickBot="1">
      <c r="A23" s="329"/>
      <c r="B23" s="6"/>
      <c r="C23" s="253">
        <f>SUM(C14:C22)</f>
        <v>5652921</v>
      </c>
      <c r="D23" s="155"/>
      <c r="E23" s="324">
        <f>SUM(E14:E22)</f>
        <v>147173</v>
      </c>
      <c r="F23" s="331"/>
      <c r="G23" s="7"/>
      <c r="H23" s="7"/>
      <c r="I23" s="7"/>
      <c r="J23" s="7"/>
    </row>
    <row r="24" spans="1:10" ht="16.5" hidden="1" thickTop="1">
      <c r="A24" s="329"/>
      <c r="B24" s="6"/>
      <c r="C24" s="254">
        <v>5652921</v>
      </c>
      <c r="D24" s="66" t="s">
        <v>161</v>
      </c>
      <c r="E24" s="325">
        <v>0</v>
      </c>
      <c r="F24" s="331"/>
      <c r="G24" s="65" t="s">
        <v>158</v>
      </c>
      <c r="H24" s="7"/>
      <c r="I24" s="12"/>
      <c r="J24" s="12"/>
    </row>
    <row r="25" spans="1:10" ht="15.75" hidden="1">
      <c r="A25" s="329"/>
      <c r="B25" s="329"/>
      <c r="C25" s="315">
        <f>C23-C24</f>
        <v>0</v>
      </c>
      <c r="D25" s="66" t="s">
        <v>87</v>
      </c>
      <c r="E25" s="324">
        <f>E23+E24+E9</f>
        <v>-1172606.9462760291</v>
      </c>
      <c r="F25" s="331"/>
      <c r="G25" s="8">
        <f>(E9*(D26/12))+((E23-E22)*(D26/24))</f>
        <v>-1058.5135760633577</v>
      </c>
      <c r="H25" s="7"/>
      <c r="I25" s="8"/>
      <c r="J25" s="10"/>
    </row>
    <row r="26" spans="1:10" ht="15.75" hidden="1">
      <c r="A26" s="329"/>
      <c r="B26" s="329"/>
      <c r="C26" s="50"/>
      <c r="D26" s="225">
        <v>0.01</v>
      </c>
      <c r="E26" s="326">
        <f>ROUND(((E9)+(E23-E22)/2)*(D26/12),2)</f>
        <v>-1058.51</v>
      </c>
      <c r="F26" s="331"/>
      <c r="G26" s="65"/>
      <c r="H26" s="7"/>
      <c r="I26" s="10"/>
      <c r="J26" s="10"/>
    </row>
    <row r="27" spans="1:10" ht="16.5" hidden="1" thickBot="1">
      <c r="A27" s="5"/>
      <c r="B27" s="5"/>
      <c r="C27" s="50" t="s">
        <v>1</v>
      </c>
      <c r="D27" s="143">
        <f>A12</f>
        <v>41213</v>
      </c>
      <c r="E27" s="327">
        <f>SUM(E25:E26)</f>
        <v>-1173665.4562760291</v>
      </c>
      <c r="F27" s="331"/>
      <c r="G27" s="7"/>
      <c r="H27" s="7"/>
      <c r="I27" s="8"/>
      <c r="J27" s="7"/>
    </row>
    <row r="28" spans="1:10" ht="16.5" hidden="1" thickTop="1" thickBot="1"/>
    <row r="29" spans="1:10" ht="15.75" hidden="1">
      <c r="A29" s="73" t="s">
        <v>142</v>
      </c>
      <c r="B29" s="74"/>
      <c r="C29" s="75"/>
      <c r="D29" s="76"/>
      <c r="E29" s="319"/>
      <c r="F29" s="382"/>
      <c r="G29" s="16"/>
      <c r="H29" s="5"/>
      <c r="I29" s="56"/>
      <c r="J29" s="56"/>
    </row>
    <row r="30" spans="1:10" ht="15.75" hidden="1">
      <c r="A30" s="219">
        <v>41243</v>
      </c>
      <c r="B30" s="71"/>
      <c r="C30" s="16"/>
      <c r="D30" s="72" t="s">
        <v>23</v>
      </c>
      <c r="E30" s="320" t="s">
        <v>21</v>
      </c>
      <c r="F30" s="382"/>
      <c r="G30" s="5"/>
      <c r="H30" s="5"/>
      <c r="I30" s="8"/>
      <c r="J30" s="10"/>
    </row>
    <row r="31" spans="1:10" ht="16.5" hidden="1" thickBot="1">
      <c r="A31" s="14"/>
      <c r="B31" s="18"/>
      <c r="C31" s="131" t="s">
        <v>21</v>
      </c>
      <c r="D31" s="131" t="s">
        <v>22</v>
      </c>
      <c r="E31" s="321" t="s">
        <v>23</v>
      </c>
      <c r="F31" s="383"/>
      <c r="G31" s="7"/>
      <c r="H31" s="7"/>
      <c r="I31" s="10"/>
      <c r="J31" s="10"/>
    </row>
    <row r="32" spans="1:10" ht="15.75" hidden="1">
      <c r="A32" s="2" t="s">
        <v>24</v>
      </c>
      <c r="B32" s="17">
        <v>101</v>
      </c>
      <c r="C32" s="251">
        <v>6036412</v>
      </c>
      <c r="D32" s="387">
        <v>1.7780000000000001E-2</v>
      </c>
      <c r="E32" s="322">
        <v>74956.77</v>
      </c>
      <c r="F32" s="383" t="s">
        <v>187</v>
      </c>
      <c r="G32" s="7"/>
      <c r="H32" s="7"/>
      <c r="I32" s="8"/>
      <c r="J32" s="7"/>
    </row>
    <row r="33" spans="1:10" ht="16.5" hidden="1" thickBot="1">
      <c r="A33" s="2" t="s">
        <v>24</v>
      </c>
      <c r="B33" s="17">
        <v>111</v>
      </c>
      <c r="C33" s="251">
        <v>1867362</v>
      </c>
      <c r="D33" s="387">
        <v>1.7780000000000001E-2</v>
      </c>
      <c r="E33" s="322">
        <v>15979.81</v>
      </c>
      <c r="F33" s="383" t="s">
        <v>187</v>
      </c>
      <c r="G33" s="146">
        <v>41243</v>
      </c>
      <c r="H33" s="147"/>
      <c r="I33" s="147"/>
      <c r="J33" s="147"/>
    </row>
    <row r="34" spans="1:10" ht="16.5" hidden="1" thickBot="1">
      <c r="A34" s="2" t="s">
        <v>24</v>
      </c>
      <c r="B34" s="17">
        <v>112</v>
      </c>
      <c r="C34" s="251"/>
      <c r="D34" s="387"/>
      <c r="E34" s="322">
        <v>0</v>
      </c>
      <c r="F34" s="383"/>
      <c r="G34" s="102" t="s">
        <v>214</v>
      </c>
      <c r="H34" s="148"/>
      <c r="I34" s="149" t="s">
        <v>18</v>
      </c>
      <c r="J34" s="150" t="s">
        <v>19</v>
      </c>
    </row>
    <row r="35" spans="1:10" ht="15.75" hidden="1">
      <c r="A35" s="2" t="s">
        <v>24</v>
      </c>
      <c r="B35" s="17">
        <v>121</v>
      </c>
      <c r="C35" s="251"/>
      <c r="D35" s="220"/>
      <c r="E35" s="322">
        <v>0</v>
      </c>
      <c r="F35" s="383"/>
      <c r="G35" s="151" t="s">
        <v>28</v>
      </c>
      <c r="H35" s="152" t="s">
        <v>77</v>
      </c>
      <c r="I35" s="108"/>
      <c r="J35" s="392">
        <v>0</v>
      </c>
    </row>
    <row r="36" spans="1:10" ht="15.75" hidden="1">
      <c r="A36" s="2" t="s">
        <v>24</v>
      </c>
      <c r="B36" s="17">
        <v>122</v>
      </c>
      <c r="C36" s="252"/>
      <c r="D36" s="220"/>
      <c r="E36" s="322">
        <v>0</v>
      </c>
      <c r="F36" s="383"/>
      <c r="G36" s="153" t="s">
        <v>29</v>
      </c>
      <c r="H36" s="7" t="s">
        <v>78</v>
      </c>
      <c r="I36" s="393">
        <v>940.16</v>
      </c>
      <c r="J36" s="222"/>
    </row>
    <row r="37" spans="1:10" ht="15.75" hidden="1">
      <c r="A37" s="2" t="s">
        <v>24</v>
      </c>
      <c r="B37" s="17">
        <v>131</v>
      </c>
      <c r="C37" s="251">
        <v>0</v>
      </c>
      <c r="D37" s="387">
        <v>1.6570000000000001E-2</v>
      </c>
      <c r="E37" s="322">
        <v>0</v>
      </c>
      <c r="F37" s="383"/>
      <c r="G37" s="153" t="s">
        <v>99</v>
      </c>
      <c r="H37" s="7" t="s">
        <v>60</v>
      </c>
      <c r="I37" s="8"/>
      <c r="J37" s="98">
        <v>-90758.61</v>
      </c>
    </row>
    <row r="38" spans="1:10" ht="15.75" hidden="1">
      <c r="A38" s="2" t="s">
        <v>24</v>
      </c>
      <c r="B38" s="17">
        <v>132</v>
      </c>
      <c r="C38" s="252"/>
      <c r="D38" s="121"/>
      <c r="E38" s="322">
        <v>0</v>
      </c>
      <c r="F38" s="383"/>
      <c r="G38" s="153" t="s">
        <v>10</v>
      </c>
      <c r="H38" s="7" t="s">
        <v>58</v>
      </c>
      <c r="I38" s="7">
        <v>0</v>
      </c>
      <c r="J38" s="109"/>
    </row>
    <row r="39" spans="1:10" ht="16.5" hidden="1" thickBot="1">
      <c r="A39" s="2" t="s">
        <v>24</v>
      </c>
      <c r="B39" s="17" t="s">
        <v>61</v>
      </c>
      <c r="C39" s="252"/>
      <c r="D39" s="121"/>
      <c r="E39" s="322">
        <v>0</v>
      </c>
      <c r="F39" s="383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75" hidden="1">
      <c r="A40" s="2" t="s">
        <v>156</v>
      </c>
      <c r="B40" s="70"/>
      <c r="C40" s="250"/>
      <c r="D40" s="136"/>
      <c r="E40" s="323">
        <v>0</v>
      </c>
      <c r="F40" s="383"/>
      <c r="G40" s="7"/>
      <c r="H40" s="7"/>
      <c r="I40" s="8"/>
      <c r="J40" s="259">
        <v>0</v>
      </c>
    </row>
    <row r="41" spans="1:10" ht="16.5" hidden="1" thickBot="1">
      <c r="A41" s="382"/>
      <c r="B41" s="6"/>
      <c r="C41" s="253">
        <v>7903774</v>
      </c>
      <c r="D41" s="155"/>
      <c r="E41" s="324">
        <v>90936.58</v>
      </c>
      <c r="F41" s="383"/>
      <c r="G41" s="7"/>
      <c r="H41" s="7"/>
      <c r="I41" s="7"/>
      <c r="J41" s="7"/>
    </row>
    <row r="42" spans="1:10" ht="16.5" hidden="1" thickTop="1">
      <c r="A42" s="382"/>
      <c r="B42" s="6"/>
      <c r="C42" s="254">
        <v>7903774</v>
      </c>
      <c r="D42" s="66" t="s">
        <v>161</v>
      </c>
      <c r="E42" s="325">
        <v>-177.97000000000116</v>
      </c>
      <c r="F42" s="383"/>
      <c r="G42" s="65" t="s">
        <v>158</v>
      </c>
      <c r="H42" s="7"/>
      <c r="I42" s="12"/>
      <c r="J42" s="12"/>
    </row>
    <row r="43" spans="1:10" ht="15.75" hidden="1">
      <c r="A43" s="382"/>
      <c r="B43" s="382"/>
      <c r="C43" s="315">
        <v>0</v>
      </c>
      <c r="D43" s="66" t="s">
        <v>87</v>
      </c>
      <c r="E43" s="324">
        <v>-1082906.846276029</v>
      </c>
      <c r="F43" s="383"/>
      <c r="G43" s="8">
        <v>-940.16430523002441</v>
      </c>
      <c r="H43" s="7"/>
      <c r="I43" s="8"/>
      <c r="J43" s="10"/>
    </row>
    <row r="44" spans="1:10" ht="15.75" hidden="1">
      <c r="A44" s="382"/>
      <c r="B44" s="382"/>
      <c r="C44" s="50"/>
      <c r="D44" s="225">
        <v>0.01</v>
      </c>
      <c r="E44" s="326">
        <v>-940.16</v>
      </c>
      <c r="F44" s="383"/>
      <c r="G44" s="65"/>
      <c r="H44" s="7"/>
      <c r="I44" s="10"/>
      <c r="J44" s="10"/>
    </row>
    <row r="45" spans="1:10" ht="16.5" hidden="1" thickBot="1">
      <c r="A45" s="5"/>
      <c r="B45" s="5"/>
      <c r="C45" s="50" t="s">
        <v>1</v>
      </c>
      <c r="D45" s="143">
        <v>41243</v>
      </c>
      <c r="E45" s="327">
        <v>-1083847.0062760289</v>
      </c>
      <c r="F45" s="383"/>
      <c r="G45" s="7"/>
      <c r="H45" s="7"/>
      <c r="I45" s="8"/>
      <c r="J45" s="7"/>
    </row>
    <row r="46" spans="1:10" s="382" customFormat="1" ht="16.5" hidden="1" thickTop="1" thickBot="1">
      <c r="E46" s="318"/>
    </row>
    <row r="47" spans="1:10" s="382" customFormat="1" ht="15.75" hidden="1">
      <c r="A47" s="73" t="s">
        <v>142</v>
      </c>
      <c r="B47" s="74"/>
      <c r="C47" s="75"/>
      <c r="D47" s="76"/>
      <c r="E47" s="319"/>
      <c r="G47" s="16"/>
      <c r="H47" s="5"/>
      <c r="I47" s="56"/>
      <c r="J47" s="56"/>
    </row>
    <row r="48" spans="1:10" s="382" customFormat="1" ht="15.75" hidden="1">
      <c r="A48" s="219" t="s">
        <v>219</v>
      </c>
      <c r="B48" s="71"/>
      <c r="C48" s="16"/>
      <c r="D48" s="72" t="s">
        <v>23</v>
      </c>
      <c r="E48" s="320" t="s">
        <v>21</v>
      </c>
      <c r="G48" s="5"/>
      <c r="H48" s="5"/>
      <c r="I48" s="8"/>
      <c r="J48" s="10"/>
    </row>
    <row r="49" spans="1:10" s="382" customFormat="1" ht="16.5" hidden="1" thickBot="1">
      <c r="A49" s="14"/>
      <c r="B49" s="18"/>
      <c r="C49" s="131" t="s">
        <v>21</v>
      </c>
      <c r="D49" s="131" t="s">
        <v>22</v>
      </c>
      <c r="E49" s="321" t="s">
        <v>23</v>
      </c>
      <c r="F49" s="383"/>
      <c r="G49" s="7"/>
      <c r="H49" s="7"/>
      <c r="I49" s="10"/>
      <c r="J49" s="10"/>
    </row>
    <row r="50" spans="1:10" s="382" customFormat="1" ht="15.75" hidden="1">
      <c r="A50" s="2" t="s">
        <v>24</v>
      </c>
      <c r="B50" s="17">
        <v>101</v>
      </c>
      <c r="C50" s="251">
        <v>6036412</v>
      </c>
      <c r="D50" s="387">
        <v>1.7780000000000001E-2</v>
      </c>
      <c r="E50" s="322">
        <v>107587.32</v>
      </c>
      <c r="F50" s="383" t="s">
        <v>187</v>
      </c>
      <c r="G50" s="7"/>
      <c r="H50" s="7"/>
      <c r="I50" s="8"/>
      <c r="J50" s="7"/>
    </row>
    <row r="51" spans="1:10" s="382" customFormat="1" ht="16.5" hidden="1" thickBot="1">
      <c r="A51" s="2" t="s">
        <v>24</v>
      </c>
      <c r="B51" s="17">
        <v>111</v>
      </c>
      <c r="C51" s="251">
        <v>1867362</v>
      </c>
      <c r="D51" s="387">
        <v>1.7780000000000001E-2</v>
      </c>
      <c r="E51" s="322">
        <v>33861.39</v>
      </c>
      <c r="F51" s="383" t="s">
        <v>187</v>
      </c>
      <c r="G51" s="397" t="str">
        <f>A48</f>
        <v>11-30-2012 - Corrected</v>
      </c>
      <c r="H51" s="398"/>
      <c r="I51" s="398"/>
      <c r="J51" s="398"/>
    </row>
    <row r="52" spans="1:10" s="382" customFormat="1" ht="16.5" hidden="1" thickBot="1">
      <c r="A52" s="2" t="s">
        <v>24</v>
      </c>
      <c r="B52" s="17">
        <v>112</v>
      </c>
      <c r="C52" s="251"/>
      <c r="D52" s="387"/>
      <c r="E52" s="322">
        <f t="shared" ref="E52:E57" si="0">C52*D52</f>
        <v>0</v>
      </c>
      <c r="F52" s="383"/>
      <c r="G52" s="399" t="s">
        <v>215</v>
      </c>
      <c r="H52" s="400"/>
      <c r="I52" s="401" t="s">
        <v>18</v>
      </c>
      <c r="J52" s="402" t="s">
        <v>19</v>
      </c>
    </row>
    <row r="53" spans="1:10" s="382" customFormat="1" ht="15.75" hidden="1">
      <c r="A53" s="2" t="s">
        <v>24</v>
      </c>
      <c r="B53" s="17">
        <v>121</v>
      </c>
      <c r="C53" s="251"/>
      <c r="D53" s="220"/>
      <c r="E53" s="322">
        <f t="shared" si="0"/>
        <v>0</v>
      </c>
      <c r="F53" s="383"/>
      <c r="G53" s="403" t="s">
        <v>28</v>
      </c>
      <c r="H53" s="404" t="s">
        <v>77</v>
      </c>
      <c r="I53" s="405"/>
      <c r="J53" s="406">
        <v>0</v>
      </c>
    </row>
    <row r="54" spans="1:10" s="382" customFormat="1" ht="15.75" hidden="1">
      <c r="A54" s="2" t="s">
        <v>24</v>
      </c>
      <c r="B54" s="17">
        <v>122</v>
      </c>
      <c r="C54" s="252"/>
      <c r="D54" s="220"/>
      <c r="E54" s="322">
        <f t="shared" si="0"/>
        <v>0</v>
      </c>
      <c r="F54" s="383"/>
      <c r="G54" s="407" t="s">
        <v>29</v>
      </c>
      <c r="H54" s="408" t="s">
        <v>78</v>
      </c>
      <c r="I54" s="409">
        <v>0</v>
      </c>
      <c r="J54" s="410">
        <f>-E62+E44</f>
        <v>-95.889999999999986</v>
      </c>
    </row>
    <row r="55" spans="1:10" s="382" customFormat="1" ht="15.75" hidden="1">
      <c r="A55" s="2" t="s">
        <v>24</v>
      </c>
      <c r="B55" s="17">
        <v>131</v>
      </c>
      <c r="C55" s="251">
        <v>0</v>
      </c>
      <c r="D55" s="387">
        <v>1.6570000000000001E-2</v>
      </c>
      <c r="E55" s="322">
        <f t="shared" si="0"/>
        <v>0</v>
      </c>
      <c r="F55" s="383"/>
      <c r="G55" s="407" t="s">
        <v>99</v>
      </c>
      <c r="H55" s="408" t="s">
        <v>60</v>
      </c>
      <c r="I55" s="328">
        <v>0</v>
      </c>
      <c r="J55" s="411">
        <f>E41-E59</f>
        <v>-50512.130000000019</v>
      </c>
    </row>
    <row r="56" spans="1:10" s="382" customFormat="1" ht="15.75" hidden="1">
      <c r="A56" s="2" t="s">
        <v>24</v>
      </c>
      <c r="B56" s="17">
        <v>132</v>
      </c>
      <c r="C56" s="252"/>
      <c r="D56" s="121"/>
      <c r="E56" s="322">
        <f t="shared" si="0"/>
        <v>0</v>
      </c>
      <c r="F56" s="383"/>
      <c r="G56" s="407" t="s">
        <v>10</v>
      </c>
      <c r="H56" s="408" t="s">
        <v>58</v>
      </c>
      <c r="I56" s="408">
        <v>0</v>
      </c>
      <c r="J56" s="412"/>
    </row>
    <row r="57" spans="1:10" s="382" customFormat="1" ht="16.5" hidden="1" thickBot="1">
      <c r="A57" s="2" t="s">
        <v>24</v>
      </c>
      <c r="B57" s="17" t="s">
        <v>61</v>
      </c>
      <c r="C57" s="252"/>
      <c r="D57" s="121"/>
      <c r="E57" s="322">
        <f t="shared" si="0"/>
        <v>0</v>
      </c>
      <c r="F57" s="383"/>
      <c r="G57" s="413" t="s">
        <v>100</v>
      </c>
      <c r="H57" s="398" t="s">
        <v>62</v>
      </c>
      <c r="I57" s="414">
        <f>-J55-J54</f>
        <v>50608.020000000019</v>
      </c>
      <c r="J57" s="415">
        <v>0</v>
      </c>
    </row>
    <row r="58" spans="1:10" s="382" customFormat="1" ht="15.75" hidden="1">
      <c r="A58" s="2" t="s">
        <v>156</v>
      </c>
      <c r="B58" s="70"/>
      <c r="C58" s="250"/>
      <c r="D58" s="136"/>
      <c r="E58" s="323">
        <v>0</v>
      </c>
      <c r="F58" s="383"/>
      <c r="G58" s="408"/>
      <c r="H58" s="408"/>
      <c r="I58" s="328"/>
      <c r="J58" s="328">
        <f>ROUND(SUM(I53:J57),2)</f>
        <v>0</v>
      </c>
    </row>
    <row r="59" spans="1:10" s="382" customFormat="1" ht="16.5" hidden="1" thickBot="1">
      <c r="B59" s="6"/>
      <c r="C59" s="253">
        <f>SUM(C50:C58)</f>
        <v>7903774</v>
      </c>
      <c r="D59" s="155"/>
      <c r="E59" s="324">
        <f>SUM(E50:E58)</f>
        <v>141448.71000000002</v>
      </c>
      <c r="F59" s="383"/>
      <c r="G59" s="7"/>
      <c r="H59" s="7"/>
      <c r="I59" s="7"/>
      <c r="J59" s="7"/>
    </row>
    <row r="60" spans="1:10" s="382" customFormat="1" ht="16.5" hidden="1" thickTop="1">
      <c r="B60" s="6"/>
      <c r="C60" s="254">
        <v>7903774</v>
      </c>
      <c r="D60" s="66" t="s">
        <v>161</v>
      </c>
      <c r="E60" s="325">
        <f>47867.72-48045.69</f>
        <v>-177.97000000000116</v>
      </c>
      <c r="F60" s="383"/>
      <c r="G60" s="65" t="s">
        <v>158</v>
      </c>
      <c r="H60" s="7"/>
      <c r="I60" s="12"/>
      <c r="J60" s="12"/>
    </row>
    <row r="61" spans="1:10" s="382" customFormat="1" ht="15.75" hidden="1">
      <c r="C61" s="315">
        <f>C59-C60</f>
        <v>0</v>
      </c>
      <c r="D61" s="66" t="s">
        <v>87</v>
      </c>
      <c r="E61" s="324">
        <f>E59+E60+E27</f>
        <v>-1032394.7162760291</v>
      </c>
      <c r="F61" s="383"/>
      <c r="G61" s="8">
        <f>(E45*(D62/12))+(E59*(D62/24))</f>
        <v>-844.26887606335742</v>
      </c>
      <c r="H61" s="7"/>
      <c r="I61" s="8"/>
      <c r="J61" s="10"/>
    </row>
    <row r="62" spans="1:10" s="382" customFormat="1" ht="15.75" hidden="1">
      <c r="C62" s="50"/>
      <c r="D62" s="225">
        <v>0.01</v>
      </c>
      <c r="E62" s="326">
        <f>ROUND(((E45)+(E59)/2)*(D62/12),2)</f>
        <v>-844.27</v>
      </c>
      <c r="F62" s="383"/>
      <c r="G62" s="65"/>
      <c r="H62" s="7"/>
      <c r="I62" s="10"/>
      <c r="J62" s="10"/>
    </row>
    <row r="63" spans="1:10" s="382" customFormat="1" ht="16.5" hidden="1" thickBot="1">
      <c r="A63" s="5"/>
      <c r="B63" s="5"/>
      <c r="C63" s="50" t="s">
        <v>1</v>
      </c>
      <c r="D63" s="143" t="str">
        <f>A48</f>
        <v>11-30-2012 - Corrected</v>
      </c>
      <c r="E63" s="327">
        <f>SUM(E61:E62)</f>
        <v>-1033238.9862760291</v>
      </c>
      <c r="F63" s="383"/>
      <c r="G63" s="7"/>
      <c r="H63" s="7"/>
      <c r="I63" s="8"/>
      <c r="J63" s="7"/>
    </row>
    <row r="64" spans="1:10" s="382" customFormat="1" ht="16.5" hidden="1" thickTop="1" thickBot="1">
      <c r="E64" s="318"/>
    </row>
    <row r="65" spans="1:10" s="382" customFormat="1" ht="15.75" hidden="1">
      <c r="A65" s="73" t="s">
        <v>142</v>
      </c>
      <c r="B65" s="74"/>
      <c r="C65" s="75"/>
      <c r="D65" s="76"/>
      <c r="E65" s="319"/>
      <c r="G65" s="16"/>
      <c r="H65" s="5"/>
      <c r="I65" s="56"/>
      <c r="J65" s="56"/>
    </row>
    <row r="66" spans="1:10" s="382" customFormat="1" ht="15.75" hidden="1">
      <c r="A66" s="219">
        <v>41274</v>
      </c>
      <c r="B66" s="71"/>
      <c r="C66" s="16"/>
      <c r="D66" s="72" t="s">
        <v>23</v>
      </c>
      <c r="E66" s="320" t="s">
        <v>21</v>
      </c>
      <c r="G66" s="5"/>
      <c r="H66" s="5"/>
      <c r="I66" s="8"/>
      <c r="J66" s="10"/>
    </row>
    <row r="67" spans="1:10" s="382" customFormat="1" ht="16.5" hidden="1" thickBot="1">
      <c r="A67" s="14"/>
      <c r="B67" s="18"/>
      <c r="C67" s="131" t="s">
        <v>21</v>
      </c>
      <c r="D67" s="131" t="s">
        <v>22</v>
      </c>
      <c r="E67" s="321" t="s">
        <v>23</v>
      </c>
      <c r="F67" s="383"/>
      <c r="G67" s="7"/>
      <c r="H67" s="7"/>
      <c r="I67" s="10"/>
      <c r="J67" s="10"/>
    </row>
    <row r="68" spans="1:10" s="382" customFormat="1" ht="15.75" hidden="1">
      <c r="A68" s="2" t="s">
        <v>24</v>
      </c>
      <c r="B68" s="17">
        <v>101</v>
      </c>
      <c r="C68" s="251">
        <v>8220978</v>
      </c>
      <c r="D68" s="387">
        <v>1.7780000000000001E-2</v>
      </c>
      <c r="E68" s="322">
        <f>C68*D68</f>
        <v>146168.98884000001</v>
      </c>
      <c r="F68" s="383"/>
      <c r="G68" s="7"/>
      <c r="H68" s="7"/>
      <c r="I68" s="8"/>
      <c r="J68" s="7"/>
    </row>
    <row r="69" spans="1:10" s="382" customFormat="1" ht="16.5" hidden="1" thickBot="1">
      <c r="A69" s="2" t="s">
        <v>24</v>
      </c>
      <c r="B69" s="17">
        <v>111</v>
      </c>
      <c r="C69" s="251">
        <v>2679003</v>
      </c>
      <c r="D69" s="387">
        <v>1.7780000000000001E-2</v>
      </c>
      <c r="E69" s="322">
        <f t="shared" ref="E69:E76" si="1">C69*D69</f>
        <v>47632.673340000001</v>
      </c>
      <c r="F69" s="383"/>
      <c r="G69" s="146">
        <f>A66</f>
        <v>41274</v>
      </c>
      <c r="H69" s="147"/>
      <c r="I69" s="147"/>
      <c r="J69" s="147"/>
    </row>
    <row r="70" spans="1:10" s="382" customFormat="1" ht="16.5" hidden="1" thickBot="1">
      <c r="A70" s="2" t="s">
        <v>24</v>
      </c>
      <c r="B70" s="17">
        <v>112</v>
      </c>
      <c r="C70" s="251"/>
      <c r="D70" s="387"/>
      <c r="E70" s="322">
        <f t="shared" si="1"/>
        <v>0</v>
      </c>
      <c r="F70" s="383"/>
      <c r="G70" s="102" t="s">
        <v>25</v>
      </c>
      <c r="H70" s="148"/>
      <c r="I70" s="149" t="s">
        <v>18</v>
      </c>
      <c r="J70" s="150" t="s">
        <v>19</v>
      </c>
    </row>
    <row r="71" spans="1:10" s="382" customFormat="1" ht="15.75" hidden="1">
      <c r="A71" s="2" t="s">
        <v>24</v>
      </c>
      <c r="B71" s="17">
        <v>121</v>
      </c>
      <c r="C71" s="251"/>
      <c r="D71" s="220"/>
      <c r="E71" s="322">
        <f t="shared" si="1"/>
        <v>0</v>
      </c>
      <c r="F71" s="383"/>
      <c r="G71" s="151" t="s">
        <v>28</v>
      </c>
      <c r="H71" s="152" t="s">
        <v>77</v>
      </c>
      <c r="I71" s="108"/>
      <c r="J71" s="392">
        <v>0</v>
      </c>
    </row>
    <row r="72" spans="1:10" s="382" customFormat="1" ht="15.75" hidden="1">
      <c r="A72" s="2" t="s">
        <v>24</v>
      </c>
      <c r="B72" s="17">
        <v>122</v>
      </c>
      <c r="C72" s="252"/>
      <c r="D72" s="220"/>
      <c r="E72" s="322">
        <f t="shared" si="1"/>
        <v>0</v>
      </c>
      <c r="F72" s="383"/>
      <c r="G72" s="153" t="s">
        <v>29</v>
      </c>
      <c r="H72" s="7" t="s">
        <v>78</v>
      </c>
      <c r="I72" s="393">
        <f>-E80</f>
        <v>780.28</v>
      </c>
      <c r="J72" s="222"/>
    </row>
    <row r="73" spans="1:10" s="382" customFormat="1" ht="15.75" hidden="1">
      <c r="A73" s="2" t="s">
        <v>24</v>
      </c>
      <c r="B73" s="17">
        <v>131</v>
      </c>
      <c r="C73" s="251">
        <v>0</v>
      </c>
      <c r="D73" s="387">
        <v>1.6570000000000001E-2</v>
      </c>
      <c r="E73" s="322">
        <f t="shared" si="1"/>
        <v>0</v>
      </c>
      <c r="F73" s="383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2" customFormat="1" ht="15.75" hidden="1">
      <c r="A74" s="2" t="s">
        <v>24</v>
      </c>
      <c r="B74" s="17">
        <v>132</v>
      </c>
      <c r="C74" s="252"/>
      <c r="D74" s="121"/>
      <c r="E74" s="322">
        <f t="shared" si="1"/>
        <v>0</v>
      </c>
      <c r="F74" s="383"/>
      <c r="G74" s="153" t="s">
        <v>10</v>
      </c>
      <c r="H74" s="7" t="s">
        <v>58</v>
      </c>
      <c r="I74" s="7">
        <v>0</v>
      </c>
      <c r="J74" s="109"/>
    </row>
    <row r="75" spans="1:10" s="382" customFormat="1" ht="16.5" hidden="1" thickBot="1">
      <c r="A75" s="2" t="s">
        <v>24</v>
      </c>
      <c r="B75" s="17" t="s">
        <v>61</v>
      </c>
      <c r="C75" s="252"/>
      <c r="D75" s="121"/>
      <c r="E75" s="322">
        <f t="shared" si="1"/>
        <v>0</v>
      </c>
      <c r="F75" s="383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2" customFormat="1" ht="15.75" hidden="1">
      <c r="A76" s="2" t="s">
        <v>156</v>
      </c>
      <c r="B76" s="70"/>
      <c r="C76" s="250"/>
      <c r="D76" s="136"/>
      <c r="E76" s="323">
        <f t="shared" si="1"/>
        <v>0</v>
      </c>
      <c r="F76" s="383"/>
      <c r="G76" s="7"/>
      <c r="H76" s="7"/>
      <c r="I76" s="8"/>
      <c r="J76" s="259">
        <f>ROUND(SUM(I71:J75),2)</f>
        <v>0</v>
      </c>
    </row>
    <row r="77" spans="1:10" s="382" customFormat="1" ht="16.5" hidden="1" thickBot="1">
      <c r="B77" s="6"/>
      <c r="C77" s="253">
        <f>SUM(C68:C76)</f>
        <v>10899981</v>
      </c>
      <c r="D77" s="155"/>
      <c r="E77" s="324">
        <f>SUM(E68:E76)</f>
        <v>193801.66218000001</v>
      </c>
      <c r="F77" s="383"/>
      <c r="G77" s="7"/>
      <c r="H77" s="7"/>
      <c r="I77" s="7"/>
      <c r="J77" s="7"/>
    </row>
    <row r="78" spans="1:10" s="382" customFormat="1" ht="16.5" hidden="1" thickTop="1">
      <c r="B78" s="6"/>
      <c r="C78" s="254">
        <v>10899981</v>
      </c>
      <c r="D78" s="66" t="s">
        <v>161</v>
      </c>
      <c r="E78" s="325">
        <v>0</v>
      </c>
      <c r="F78" s="383"/>
      <c r="G78" s="65" t="s">
        <v>158</v>
      </c>
      <c r="H78" s="7"/>
      <c r="I78" s="12"/>
      <c r="J78" s="12"/>
    </row>
    <row r="79" spans="1:10" s="382" customFormat="1" ht="15.75" hidden="1">
      <c r="C79" s="315">
        <f>C77-C78</f>
        <v>0</v>
      </c>
      <c r="D79" s="66" t="s">
        <v>87</v>
      </c>
      <c r="E79" s="324">
        <f>E77+E78+E63</f>
        <v>-839437.32409602916</v>
      </c>
      <c r="F79" s="383"/>
      <c r="G79" s="8">
        <f>(E63*(D80/12))+(E77*(D80/24))</f>
        <v>-780.28179598835766</v>
      </c>
      <c r="H79" s="7"/>
      <c r="I79" s="8"/>
      <c r="J79" s="10"/>
    </row>
    <row r="80" spans="1:10" s="382" customFormat="1" ht="15.75" hidden="1">
      <c r="C80" s="50"/>
      <c r="D80" s="225">
        <v>0.01</v>
      </c>
      <c r="E80" s="326">
        <f>ROUND(((E63)+(E77)/2)*(D80/12),2)</f>
        <v>-780.28</v>
      </c>
      <c r="F80" s="383"/>
      <c r="G80" s="65"/>
      <c r="H80" s="7"/>
      <c r="I80" s="10"/>
      <c r="J80" s="10"/>
    </row>
    <row r="81" spans="1:10" s="382" customFormat="1" ht="16.5" hidden="1" thickBot="1">
      <c r="A81" s="5"/>
      <c r="B81" s="5"/>
      <c r="C81" s="50" t="s">
        <v>1</v>
      </c>
      <c r="D81" s="143">
        <f>A66</f>
        <v>41274</v>
      </c>
      <c r="E81" s="327">
        <f>SUM(E79:E80)</f>
        <v>-840217.60409602919</v>
      </c>
      <c r="F81" s="383"/>
      <c r="G81" s="7"/>
      <c r="H81" s="7"/>
      <c r="I81" s="8"/>
      <c r="J81" s="7"/>
    </row>
    <row r="82" spans="1:10" s="382" customFormat="1" ht="15.75" hidden="1" thickTop="1">
      <c r="E82" s="318"/>
    </row>
    <row r="83" spans="1:10" s="382" customFormat="1" ht="15.75" hidden="1">
      <c r="A83" s="73" t="s">
        <v>142</v>
      </c>
      <c r="B83" s="74"/>
      <c r="C83" s="75"/>
      <c r="D83" s="76"/>
      <c r="E83" s="319"/>
      <c r="G83" s="16"/>
      <c r="H83" s="5"/>
      <c r="I83" s="56"/>
      <c r="J83" s="56"/>
    </row>
    <row r="84" spans="1:10" s="382" customFormat="1" ht="15.75" hidden="1">
      <c r="A84" s="219">
        <v>41275</v>
      </c>
      <c r="B84" s="71"/>
      <c r="C84" s="16"/>
      <c r="D84" s="72" t="s">
        <v>23</v>
      </c>
      <c r="E84" s="320" t="s">
        <v>21</v>
      </c>
      <c r="G84" s="5"/>
      <c r="H84" s="5"/>
      <c r="I84" s="8"/>
      <c r="J84" s="10"/>
    </row>
    <row r="85" spans="1:10" s="382" customFormat="1" ht="16.5" hidden="1" thickBot="1">
      <c r="A85" s="14"/>
      <c r="B85" s="18"/>
      <c r="C85" s="131" t="s">
        <v>21</v>
      </c>
      <c r="D85" s="131" t="s">
        <v>22</v>
      </c>
      <c r="E85" s="321" t="s">
        <v>23</v>
      </c>
      <c r="F85" s="383"/>
      <c r="G85" s="7"/>
      <c r="H85" s="7"/>
      <c r="I85" s="10"/>
      <c r="J85" s="10"/>
    </row>
    <row r="86" spans="1:10" s="382" customFormat="1" ht="15.75" hidden="1">
      <c r="A86" s="2" t="s">
        <v>24</v>
      </c>
      <c r="B86" s="17">
        <v>101</v>
      </c>
      <c r="C86" s="251">
        <v>9764920</v>
      </c>
      <c r="D86" s="387">
        <v>1.7780000000000001E-2</v>
      </c>
      <c r="E86" s="322">
        <f>C86*D86</f>
        <v>173620.2776</v>
      </c>
      <c r="F86" s="383"/>
      <c r="G86" s="7"/>
      <c r="H86" s="7"/>
      <c r="I86" s="8"/>
      <c r="J86" s="7"/>
    </row>
    <row r="87" spans="1:10" s="382" customFormat="1" ht="16.5" hidden="1" thickBot="1">
      <c r="A87" s="2" t="s">
        <v>24</v>
      </c>
      <c r="B87" s="17">
        <v>111</v>
      </c>
      <c r="C87" s="251">
        <v>3069039</v>
      </c>
      <c r="D87" s="387">
        <v>1.7780000000000001E-2</v>
      </c>
      <c r="E87" s="322">
        <f>C87*D87</f>
        <v>54567.513420000003</v>
      </c>
      <c r="F87" s="383"/>
      <c r="G87" s="146">
        <f>A84</f>
        <v>41275</v>
      </c>
      <c r="H87" s="147"/>
      <c r="I87" s="147"/>
      <c r="J87" s="147"/>
    </row>
    <row r="88" spans="1:10" s="382" customFormat="1" ht="16.5" hidden="1" thickBot="1">
      <c r="A88" s="2" t="s">
        <v>24</v>
      </c>
      <c r="B88" s="17">
        <v>112</v>
      </c>
      <c r="C88" s="251"/>
      <c r="D88" s="387"/>
      <c r="E88" s="322">
        <f t="shared" ref="E88:E94" si="2">C88*D88</f>
        <v>0</v>
      </c>
      <c r="F88" s="383"/>
      <c r="G88" s="102" t="s">
        <v>25</v>
      </c>
      <c r="H88" s="148"/>
      <c r="I88" s="149" t="s">
        <v>18</v>
      </c>
      <c r="J88" s="150" t="s">
        <v>19</v>
      </c>
    </row>
    <row r="89" spans="1:10" s="382" customFormat="1" ht="15.75" hidden="1">
      <c r="A89" s="2" t="s">
        <v>24</v>
      </c>
      <c r="B89" s="17">
        <v>121</v>
      </c>
      <c r="C89" s="251"/>
      <c r="D89" s="220"/>
      <c r="E89" s="322">
        <f t="shared" si="2"/>
        <v>0</v>
      </c>
      <c r="F89" s="383"/>
      <c r="G89" s="151" t="s">
        <v>28</v>
      </c>
      <c r="H89" s="152" t="s">
        <v>77</v>
      </c>
      <c r="I89" s="108"/>
      <c r="J89" s="392">
        <v>0</v>
      </c>
    </row>
    <row r="90" spans="1:10" s="382" customFormat="1" ht="15.75" hidden="1">
      <c r="A90" s="2" t="s">
        <v>24</v>
      </c>
      <c r="B90" s="17">
        <v>122</v>
      </c>
      <c r="C90" s="252"/>
      <c r="D90" s="220"/>
      <c r="E90" s="322">
        <f t="shared" si="2"/>
        <v>0</v>
      </c>
      <c r="F90" s="383"/>
      <c r="G90" s="153" t="s">
        <v>29</v>
      </c>
      <c r="H90" s="7" t="s">
        <v>78</v>
      </c>
      <c r="I90" s="393">
        <f>-E98</f>
        <v>605.1</v>
      </c>
      <c r="J90" s="222"/>
    </row>
    <row r="91" spans="1:10" s="382" customFormat="1" ht="15.75" hidden="1">
      <c r="A91" s="2" t="s">
        <v>24</v>
      </c>
      <c r="B91" s="17">
        <v>131</v>
      </c>
      <c r="C91" s="251">
        <v>0</v>
      </c>
      <c r="D91" s="387">
        <v>1.6570000000000001E-2</v>
      </c>
      <c r="E91" s="322">
        <f>C91*D91</f>
        <v>0</v>
      </c>
      <c r="F91" s="383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2" customFormat="1" ht="15.75" hidden="1">
      <c r="A92" s="2" t="s">
        <v>24</v>
      </c>
      <c r="B92" s="17">
        <v>132</v>
      </c>
      <c r="C92" s="252"/>
      <c r="D92" s="121"/>
      <c r="E92" s="322">
        <f t="shared" si="2"/>
        <v>0</v>
      </c>
      <c r="F92" s="383"/>
      <c r="G92" s="153" t="s">
        <v>10</v>
      </c>
      <c r="H92" s="7" t="s">
        <v>58</v>
      </c>
      <c r="I92" s="7">
        <v>0</v>
      </c>
      <c r="J92" s="109"/>
    </row>
    <row r="93" spans="1:10" s="382" customFormat="1" ht="16.5" hidden="1" thickBot="1">
      <c r="A93" s="2" t="s">
        <v>24</v>
      </c>
      <c r="B93" s="17" t="s">
        <v>61</v>
      </c>
      <c r="C93" s="252"/>
      <c r="D93" s="121"/>
      <c r="E93" s="322">
        <f t="shared" si="2"/>
        <v>0</v>
      </c>
      <c r="F93" s="383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2" customFormat="1" ht="15.75" hidden="1">
      <c r="A94" s="2" t="s">
        <v>156</v>
      </c>
      <c r="B94" s="70"/>
      <c r="C94" s="250"/>
      <c r="D94" s="136"/>
      <c r="E94" s="323">
        <f t="shared" si="2"/>
        <v>0</v>
      </c>
      <c r="F94" s="383"/>
      <c r="G94" s="7"/>
      <c r="H94" s="7"/>
      <c r="I94" s="8"/>
      <c r="J94" s="259">
        <f>ROUND(SUM(I89:J93),2)</f>
        <v>0</v>
      </c>
    </row>
    <row r="95" spans="1:10" s="382" customFormat="1" ht="16.5" hidden="1" thickBot="1">
      <c r="B95" s="6"/>
      <c r="C95" s="253">
        <f>SUM(C86:C94)</f>
        <v>12833959</v>
      </c>
      <c r="D95" s="155"/>
      <c r="E95" s="324">
        <f>SUM(E86:E94)</f>
        <v>228187.79102</v>
      </c>
      <c r="F95" s="383"/>
      <c r="G95" s="7"/>
      <c r="H95" s="7"/>
      <c r="I95" s="7"/>
      <c r="J95" s="7"/>
    </row>
    <row r="96" spans="1:10" s="382" customFormat="1" ht="16.5" hidden="1" thickTop="1">
      <c r="B96" s="6"/>
      <c r="C96" s="254">
        <v>12833959</v>
      </c>
      <c r="D96" s="66" t="s">
        <v>161</v>
      </c>
      <c r="E96" s="325">
        <v>0</v>
      </c>
      <c r="F96" s="383"/>
      <c r="G96" s="65" t="s">
        <v>158</v>
      </c>
      <c r="H96" s="7"/>
      <c r="I96" s="12"/>
      <c r="J96" s="12"/>
    </row>
    <row r="97" spans="1:10" s="382" customFormat="1" ht="15.75" hidden="1">
      <c r="C97" s="315">
        <f>C95-C96</f>
        <v>0</v>
      </c>
      <c r="D97" s="66" t="s">
        <v>87</v>
      </c>
      <c r="E97" s="324">
        <f>E95+E96+E81</f>
        <v>-612029.81307602918</v>
      </c>
      <c r="F97" s="383"/>
      <c r="G97" s="8">
        <f>(E81*(D98/12))+(E95*(D98/24))</f>
        <v>-605.10309048835768</v>
      </c>
      <c r="H97" s="7"/>
      <c r="I97" s="8"/>
      <c r="J97" s="10"/>
    </row>
    <row r="98" spans="1:10" s="382" customFormat="1" ht="15.75" hidden="1">
      <c r="C98" s="50"/>
      <c r="D98" s="225">
        <v>0.01</v>
      </c>
      <c r="E98" s="326">
        <f>ROUND(((E81)+(E95)/2)*(D98/12),2)</f>
        <v>-605.1</v>
      </c>
      <c r="F98" s="383"/>
      <c r="G98" s="65"/>
      <c r="H98" s="7"/>
      <c r="I98" s="10"/>
      <c r="J98" s="10"/>
    </row>
    <row r="99" spans="1:10" s="382" customFormat="1" ht="16.5" hidden="1" thickBot="1">
      <c r="A99" s="5"/>
      <c r="B99" s="5"/>
      <c r="C99" s="50" t="s">
        <v>1</v>
      </c>
      <c r="D99" s="143">
        <f>A84</f>
        <v>41275</v>
      </c>
      <c r="E99" s="327">
        <f>SUM(E97:E98)</f>
        <v>-612634.91307602916</v>
      </c>
      <c r="F99" s="383"/>
      <c r="G99" s="7"/>
      <c r="H99" s="7"/>
      <c r="I99" s="8"/>
      <c r="J99" s="7"/>
    </row>
    <row r="100" spans="1:10" s="382" customFormat="1" ht="16.5" hidden="1" thickTop="1" thickBot="1">
      <c r="E100" s="318"/>
    </row>
    <row r="101" spans="1:10" s="382" customFormat="1" ht="15.75" hidden="1">
      <c r="A101" s="73" t="s">
        <v>142</v>
      </c>
      <c r="B101" s="74"/>
      <c r="C101" s="75"/>
      <c r="D101" s="76"/>
      <c r="E101" s="319"/>
      <c r="G101" s="16"/>
      <c r="H101" s="5"/>
      <c r="I101" s="56"/>
      <c r="J101" s="56"/>
    </row>
    <row r="102" spans="1:10" s="382" customFormat="1" ht="15.75" hidden="1">
      <c r="A102" s="219">
        <v>41333</v>
      </c>
      <c r="B102" s="71"/>
      <c r="C102" s="16"/>
      <c r="D102" s="72" t="s">
        <v>23</v>
      </c>
      <c r="E102" s="320" t="s">
        <v>21</v>
      </c>
      <c r="G102" s="5"/>
      <c r="H102" s="5"/>
      <c r="I102" s="8"/>
      <c r="J102" s="10"/>
    </row>
    <row r="103" spans="1:10" s="382" customFormat="1" ht="16.5" hidden="1" thickBot="1">
      <c r="A103" s="14"/>
      <c r="B103" s="18"/>
      <c r="C103" s="131" t="s">
        <v>21</v>
      </c>
      <c r="D103" s="131" t="s">
        <v>22</v>
      </c>
      <c r="E103" s="321" t="s">
        <v>23</v>
      </c>
      <c r="F103" s="383"/>
      <c r="G103" s="7"/>
      <c r="H103" s="7"/>
      <c r="I103" s="10"/>
      <c r="J103" s="10"/>
    </row>
    <row r="104" spans="1:10" s="382" customFormat="1" ht="15.75" hidden="1">
      <c r="A104" s="2" t="s">
        <v>24</v>
      </c>
      <c r="B104" s="17">
        <v>101</v>
      </c>
      <c r="C104" s="251">
        <v>6162035</v>
      </c>
      <c r="D104" s="387">
        <v>1.7780000000000001E-2</v>
      </c>
      <c r="E104" s="322">
        <f>C104*D104</f>
        <v>109560.9823</v>
      </c>
      <c r="F104" s="383"/>
      <c r="G104" s="7"/>
      <c r="H104" s="7"/>
      <c r="I104" s="8"/>
      <c r="J104" s="7"/>
    </row>
    <row r="105" spans="1:10" s="382" customFormat="1" ht="16.5" hidden="1" thickBot="1">
      <c r="A105" s="2" t="s">
        <v>24</v>
      </c>
      <c r="B105" s="17">
        <v>111</v>
      </c>
      <c r="C105" s="251">
        <v>2375460</v>
      </c>
      <c r="D105" s="387">
        <v>1.7780000000000001E-2</v>
      </c>
      <c r="E105" s="322">
        <f>C105*D105</f>
        <v>42235.678800000002</v>
      </c>
      <c r="F105" s="383"/>
      <c r="G105" s="146">
        <f>A102</f>
        <v>41333</v>
      </c>
      <c r="H105" s="147"/>
      <c r="I105" s="147"/>
      <c r="J105" s="147"/>
    </row>
    <row r="106" spans="1:10" s="382" customFormat="1" ht="16.5" hidden="1" thickBot="1">
      <c r="A106" s="2" t="s">
        <v>24</v>
      </c>
      <c r="B106" s="17">
        <v>112</v>
      </c>
      <c r="C106" s="251"/>
      <c r="D106" s="387"/>
      <c r="E106" s="322">
        <f t="shared" ref="E106:E108" si="3">C106*D106</f>
        <v>0</v>
      </c>
      <c r="F106" s="383"/>
      <c r="G106" s="102" t="s">
        <v>25</v>
      </c>
      <c r="H106" s="148"/>
      <c r="I106" s="149" t="s">
        <v>18</v>
      </c>
      <c r="J106" s="150" t="s">
        <v>19</v>
      </c>
    </row>
    <row r="107" spans="1:10" s="382" customFormat="1" ht="15.75" hidden="1">
      <c r="A107" s="2" t="s">
        <v>24</v>
      </c>
      <c r="B107" s="17">
        <v>121</v>
      </c>
      <c r="C107" s="251"/>
      <c r="D107" s="220"/>
      <c r="E107" s="322">
        <f t="shared" si="3"/>
        <v>0</v>
      </c>
      <c r="F107" s="383"/>
      <c r="G107" s="151" t="s">
        <v>28</v>
      </c>
      <c r="H107" s="152" t="s">
        <v>77</v>
      </c>
      <c r="I107" s="108"/>
      <c r="J107" s="392">
        <v>0</v>
      </c>
    </row>
    <row r="108" spans="1:10" s="382" customFormat="1" ht="15.75" hidden="1">
      <c r="A108" s="2" t="s">
        <v>24</v>
      </c>
      <c r="B108" s="17">
        <v>122</v>
      </c>
      <c r="C108" s="252"/>
      <c r="D108" s="220"/>
      <c r="E108" s="322">
        <f t="shared" si="3"/>
        <v>0</v>
      </c>
      <c r="F108" s="383"/>
      <c r="G108" s="153" t="s">
        <v>29</v>
      </c>
      <c r="H108" s="7" t="s">
        <v>78</v>
      </c>
      <c r="I108" s="393">
        <f>-E116</f>
        <v>447.28</v>
      </c>
      <c r="J108" s="222"/>
    </row>
    <row r="109" spans="1:10" s="382" customFormat="1" ht="15.75" hidden="1">
      <c r="A109" s="2" t="s">
        <v>24</v>
      </c>
      <c r="B109" s="17">
        <v>131</v>
      </c>
      <c r="C109" s="251">
        <v>0</v>
      </c>
      <c r="D109" s="387">
        <v>1.6570000000000001E-2</v>
      </c>
      <c r="E109" s="322">
        <f>C109*D109</f>
        <v>0</v>
      </c>
      <c r="F109" s="383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2" customFormat="1" ht="15.75" hidden="1">
      <c r="A110" s="2" t="s">
        <v>24</v>
      </c>
      <c r="B110" s="17">
        <v>132</v>
      </c>
      <c r="C110" s="252"/>
      <c r="D110" s="121"/>
      <c r="E110" s="322">
        <f t="shared" ref="E110:E112" si="4">C110*D110</f>
        <v>0</v>
      </c>
      <c r="F110" s="383"/>
      <c r="G110" s="153" t="s">
        <v>10</v>
      </c>
      <c r="H110" s="7" t="s">
        <v>58</v>
      </c>
      <c r="I110" s="7">
        <v>0</v>
      </c>
      <c r="J110" s="109"/>
    </row>
    <row r="111" spans="1:10" s="382" customFormat="1" ht="16.5" hidden="1" thickBot="1">
      <c r="A111" s="2" t="s">
        <v>24</v>
      </c>
      <c r="B111" s="17" t="s">
        <v>61</v>
      </c>
      <c r="C111" s="252"/>
      <c r="D111" s="121"/>
      <c r="E111" s="322">
        <f t="shared" si="4"/>
        <v>0</v>
      </c>
      <c r="F111" s="383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2" customFormat="1" ht="15.75" hidden="1">
      <c r="A112" s="2" t="s">
        <v>156</v>
      </c>
      <c r="B112" s="70"/>
      <c r="C112" s="250"/>
      <c r="D112" s="136"/>
      <c r="E112" s="323">
        <f t="shared" si="4"/>
        <v>0</v>
      </c>
      <c r="F112" s="383"/>
      <c r="G112" s="7"/>
      <c r="H112" s="7"/>
      <c r="I112" s="8"/>
      <c r="J112" s="259">
        <f>ROUND(SUM(I107:J111),2)</f>
        <v>0</v>
      </c>
    </row>
    <row r="113" spans="1:10" s="382" customFormat="1" ht="16.5" hidden="1" thickBot="1">
      <c r="B113" s="6"/>
      <c r="C113" s="253">
        <f>SUM(C104:C112)</f>
        <v>8537495</v>
      </c>
      <c r="D113" s="155"/>
      <c r="E113" s="324">
        <f>SUM(E104:E112)</f>
        <v>151796.6611</v>
      </c>
      <c r="F113" s="383"/>
      <c r="G113" s="7"/>
      <c r="H113" s="7"/>
      <c r="I113" s="7"/>
      <c r="J113" s="7"/>
    </row>
    <row r="114" spans="1:10" s="382" customFormat="1" ht="16.5" hidden="1" thickTop="1">
      <c r="B114" s="6"/>
      <c r="C114" s="254">
        <v>8537495</v>
      </c>
      <c r="D114" s="66" t="s">
        <v>161</v>
      </c>
      <c r="E114" s="325">
        <v>0</v>
      </c>
      <c r="F114" s="383"/>
      <c r="G114" s="65" t="s">
        <v>158</v>
      </c>
      <c r="H114" s="7"/>
      <c r="I114" s="12"/>
      <c r="J114" s="12"/>
    </row>
    <row r="115" spans="1:10" s="382" customFormat="1" ht="15.75" hidden="1">
      <c r="C115" s="315">
        <f>C113-C114</f>
        <v>0</v>
      </c>
      <c r="D115" s="66" t="s">
        <v>87</v>
      </c>
      <c r="E115" s="324">
        <f>E113+E114+E99</f>
        <v>-460838.25197602913</v>
      </c>
      <c r="F115" s="383"/>
      <c r="G115" s="8">
        <f>(E99*(D116/12))+(E113*(D116/24))</f>
        <v>-447.28048543835769</v>
      </c>
      <c r="H115" s="7"/>
      <c r="I115" s="8"/>
      <c r="J115" s="10"/>
    </row>
    <row r="116" spans="1:10" s="382" customFormat="1" ht="15.75" hidden="1">
      <c r="C116" s="50"/>
      <c r="D116" s="225">
        <v>0.01</v>
      </c>
      <c r="E116" s="326">
        <f>ROUND(((E99)+(E113)/2)*(D116/12),2)</f>
        <v>-447.28</v>
      </c>
      <c r="F116" s="383"/>
      <c r="G116" s="65"/>
      <c r="H116" s="7"/>
      <c r="I116" s="10"/>
      <c r="J116" s="10"/>
    </row>
    <row r="117" spans="1:10" s="382" customFormat="1" ht="16.5" hidden="1" thickBot="1">
      <c r="A117" s="5"/>
      <c r="B117" s="5"/>
      <c r="C117" s="50" t="s">
        <v>1</v>
      </c>
      <c r="D117" s="143">
        <f>A102</f>
        <v>41333</v>
      </c>
      <c r="E117" s="327">
        <f>SUM(E115:E116)</f>
        <v>-461285.53197602916</v>
      </c>
      <c r="F117" s="383"/>
      <c r="G117" s="7"/>
      <c r="H117" s="7"/>
      <c r="I117" s="8"/>
      <c r="J117" s="7"/>
    </row>
    <row r="118" spans="1:10" s="382" customFormat="1" ht="16.5" hidden="1" thickTop="1" thickBot="1">
      <c r="E118" s="318"/>
    </row>
    <row r="119" spans="1:10" s="382" customFormat="1" ht="15.75" hidden="1">
      <c r="A119" s="73" t="s">
        <v>142</v>
      </c>
      <c r="B119" s="74"/>
      <c r="C119" s="75"/>
      <c r="D119" s="76"/>
      <c r="E119" s="319"/>
      <c r="G119" s="16"/>
      <c r="H119" s="5"/>
      <c r="I119" s="56"/>
      <c r="J119" s="56"/>
    </row>
    <row r="120" spans="1:10" s="382" customFormat="1" ht="15.75" hidden="1">
      <c r="A120" s="219">
        <v>41364</v>
      </c>
      <c r="B120" s="71"/>
      <c r="C120" s="16"/>
      <c r="D120" s="72" t="s">
        <v>23</v>
      </c>
      <c r="E120" s="320" t="s">
        <v>21</v>
      </c>
      <c r="G120" s="5"/>
      <c r="H120" s="5"/>
      <c r="I120" s="8"/>
      <c r="J120" s="10"/>
    </row>
    <row r="121" spans="1:10" s="382" customFormat="1" ht="16.5" hidden="1" thickBot="1">
      <c r="A121" s="14"/>
      <c r="B121" s="18"/>
      <c r="C121" s="131" t="s">
        <v>21</v>
      </c>
      <c r="D121" s="131" t="s">
        <v>22</v>
      </c>
      <c r="E121" s="321" t="s">
        <v>23</v>
      </c>
      <c r="F121" s="383"/>
      <c r="G121" s="7"/>
      <c r="H121" s="7"/>
      <c r="I121" s="10"/>
      <c r="J121" s="10"/>
    </row>
    <row r="122" spans="1:10" s="382" customFormat="1" ht="15.75" hidden="1">
      <c r="A122" s="2" t="s">
        <v>24</v>
      </c>
      <c r="B122" s="17">
        <v>101</v>
      </c>
      <c r="C122" s="251">
        <v>6046642</v>
      </c>
      <c r="D122" s="387">
        <v>1.7780000000000001E-2</v>
      </c>
      <c r="E122" s="322">
        <v>107509.29476</v>
      </c>
      <c r="F122" s="383"/>
      <c r="G122" s="7"/>
      <c r="H122" s="7"/>
      <c r="I122" s="8"/>
      <c r="J122" s="7"/>
    </row>
    <row r="123" spans="1:10" s="382" customFormat="1" ht="16.5" hidden="1" thickBot="1">
      <c r="A123" s="2" t="s">
        <v>24</v>
      </c>
      <c r="B123" s="17">
        <v>111</v>
      </c>
      <c r="C123" s="251">
        <v>2214620</v>
      </c>
      <c r="D123" s="387">
        <v>1.7780000000000001E-2</v>
      </c>
      <c r="E123" s="322">
        <v>39375.943599999999</v>
      </c>
      <c r="F123" s="383"/>
      <c r="G123" s="146">
        <f>A120</f>
        <v>41364</v>
      </c>
      <c r="H123" s="147"/>
      <c r="I123" s="147"/>
      <c r="J123" s="147"/>
    </row>
    <row r="124" spans="1:10" s="382" customFormat="1" ht="16.5" hidden="1" thickBot="1">
      <c r="A124" s="2" t="s">
        <v>24</v>
      </c>
      <c r="B124" s="17">
        <v>112</v>
      </c>
      <c r="C124" s="251"/>
      <c r="D124" s="387"/>
      <c r="E124" s="322">
        <v>0</v>
      </c>
      <c r="F124" s="383"/>
      <c r="G124" s="102" t="s">
        <v>25</v>
      </c>
      <c r="H124" s="148"/>
      <c r="I124" s="149" t="s">
        <v>18</v>
      </c>
      <c r="J124" s="150" t="s">
        <v>19</v>
      </c>
    </row>
    <row r="125" spans="1:10" s="382" customFormat="1" ht="15.75" hidden="1">
      <c r="A125" s="2" t="s">
        <v>24</v>
      </c>
      <c r="B125" s="17">
        <v>121</v>
      </c>
      <c r="C125" s="251"/>
      <c r="D125" s="220"/>
      <c r="E125" s="322">
        <v>0</v>
      </c>
      <c r="F125" s="383"/>
      <c r="G125" s="151" t="s">
        <v>28</v>
      </c>
      <c r="H125" s="152" t="s">
        <v>77</v>
      </c>
      <c r="I125" s="108"/>
      <c r="J125" s="392">
        <v>0</v>
      </c>
    </row>
    <row r="126" spans="1:10" s="382" customFormat="1" ht="15.75" hidden="1">
      <c r="A126" s="2" t="s">
        <v>24</v>
      </c>
      <c r="B126" s="17">
        <v>122</v>
      </c>
      <c r="C126" s="252"/>
      <c r="D126" s="220"/>
      <c r="E126" s="322">
        <v>0</v>
      </c>
      <c r="F126" s="383"/>
      <c r="G126" s="153" t="s">
        <v>29</v>
      </c>
      <c r="H126" s="7" t="s">
        <v>78</v>
      </c>
      <c r="I126" s="393">
        <f>-E134</f>
        <v>323.2</v>
      </c>
      <c r="J126" s="222"/>
    </row>
    <row r="127" spans="1:10" s="382" customFormat="1" ht="15.75" hidden="1">
      <c r="A127" s="2" t="s">
        <v>24</v>
      </c>
      <c r="B127" s="17">
        <v>131</v>
      </c>
      <c r="C127" s="251">
        <v>0</v>
      </c>
      <c r="D127" s="387">
        <v>1.6570000000000001E-2</v>
      </c>
      <c r="E127" s="322">
        <v>0</v>
      </c>
      <c r="F127" s="383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2" customFormat="1" ht="15.75" hidden="1">
      <c r="A128" s="2" t="s">
        <v>24</v>
      </c>
      <c r="B128" s="17">
        <v>132</v>
      </c>
      <c r="C128" s="252"/>
      <c r="D128" s="121"/>
      <c r="E128" s="322">
        <v>0</v>
      </c>
      <c r="F128" s="383"/>
      <c r="G128" s="153" t="s">
        <v>10</v>
      </c>
      <c r="H128" s="7" t="s">
        <v>58</v>
      </c>
      <c r="I128" s="7">
        <v>0</v>
      </c>
      <c r="J128" s="109"/>
    </row>
    <row r="129" spans="1:10" s="382" customFormat="1" ht="16.5" hidden="1" thickBot="1">
      <c r="A129" s="2" t="s">
        <v>24</v>
      </c>
      <c r="B129" s="17" t="s">
        <v>61</v>
      </c>
      <c r="C129" s="252"/>
      <c r="D129" s="121"/>
      <c r="E129" s="322">
        <v>0</v>
      </c>
      <c r="F129" s="383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2" customFormat="1" ht="15.75" hidden="1">
      <c r="A130" s="2" t="s">
        <v>156</v>
      </c>
      <c r="B130" s="70"/>
      <c r="C130" s="250"/>
      <c r="D130" s="136"/>
      <c r="E130" s="323">
        <v>0</v>
      </c>
      <c r="F130" s="383"/>
      <c r="G130" s="7"/>
      <c r="H130" s="7"/>
      <c r="I130" s="8"/>
      <c r="J130" s="259">
        <f>ROUND(SUM(I125:J129),2)</f>
        <v>0</v>
      </c>
    </row>
    <row r="131" spans="1:10" s="382" customFormat="1" ht="16.5" hidden="1" thickBot="1">
      <c r="B131" s="6"/>
      <c r="C131" s="253">
        <f>SUM(C122:C130)</f>
        <v>8261262</v>
      </c>
      <c r="D131" s="155"/>
      <c r="E131" s="324">
        <f>SUM(E122:E130)</f>
        <v>146885.23836000002</v>
      </c>
      <c r="F131" s="383"/>
      <c r="G131" s="7"/>
      <c r="H131" s="7"/>
      <c r="I131" s="7"/>
      <c r="J131" s="7"/>
    </row>
    <row r="132" spans="1:10" s="382" customFormat="1" ht="16.5" hidden="1" thickTop="1">
      <c r="B132" s="6"/>
      <c r="C132" s="254">
        <v>8261262</v>
      </c>
      <c r="D132" s="66" t="s">
        <v>161</v>
      </c>
      <c r="E132" s="325">
        <v>0</v>
      </c>
      <c r="F132" s="383"/>
      <c r="G132" s="65" t="s">
        <v>158</v>
      </c>
      <c r="H132" s="7"/>
      <c r="I132" s="12"/>
      <c r="J132" s="12"/>
    </row>
    <row r="133" spans="1:10" s="382" customFormat="1" ht="15.75" hidden="1">
      <c r="C133" s="315">
        <f>C131-C132</f>
        <v>0</v>
      </c>
      <c r="D133" s="66" t="s">
        <v>87</v>
      </c>
      <c r="E133" s="324">
        <f>E131+E132+E117</f>
        <v>-314400.29361602914</v>
      </c>
      <c r="F133" s="383"/>
      <c r="G133" s="8">
        <f>(E117*(D134/12))+(E131*(D134/24))</f>
        <v>-323.20242733002431</v>
      </c>
      <c r="H133" s="7"/>
      <c r="I133" s="8"/>
      <c r="J133" s="10"/>
    </row>
    <row r="134" spans="1:10" s="382" customFormat="1" ht="15.75" hidden="1">
      <c r="C134" s="50"/>
      <c r="D134" s="225">
        <v>0.01</v>
      </c>
      <c r="E134" s="326">
        <f>ROUND(((E117)+(E131)/2)*(D134/12),2)</f>
        <v>-323.2</v>
      </c>
      <c r="F134" s="383"/>
      <c r="G134" s="65"/>
      <c r="H134" s="7"/>
      <c r="I134" s="10"/>
      <c r="J134" s="10"/>
    </row>
    <row r="135" spans="1:10" s="382" customFormat="1" ht="16.5" hidden="1" thickBot="1">
      <c r="A135" s="5"/>
      <c r="B135" s="5"/>
      <c r="C135" s="50" t="s">
        <v>1</v>
      </c>
      <c r="D135" s="143">
        <f>A120</f>
        <v>41364</v>
      </c>
      <c r="E135" s="327">
        <f>SUM(E133:E134)</f>
        <v>-314723.49361602915</v>
      </c>
      <c r="F135" s="383"/>
      <c r="G135" s="7"/>
      <c r="H135" s="7"/>
      <c r="I135" s="8"/>
      <c r="J135" s="7"/>
    </row>
    <row r="136" spans="1:10" ht="16.5" hidden="1" thickTop="1" thickBot="1">
      <c r="A136" s="382"/>
      <c r="B136" s="382"/>
      <c r="C136" s="382"/>
      <c r="D136" s="382"/>
      <c r="F136" s="382"/>
      <c r="G136" s="382"/>
      <c r="H136" s="382"/>
      <c r="I136" s="382"/>
      <c r="J136" s="382"/>
    </row>
    <row r="137" spans="1:10" ht="15.75" hidden="1">
      <c r="A137" s="73" t="s">
        <v>142</v>
      </c>
      <c r="B137" s="74"/>
      <c r="C137" s="75"/>
      <c r="D137" s="76"/>
      <c r="E137" s="319"/>
      <c r="F137" s="382"/>
      <c r="G137" s="16"/>
      <c r="H137" s="5"/>
      <c r="I137" s="56"/>
      <c r="J137" s="56"/>
    </row>
    <row r="138" spans="1:10" ht="15.75" hidden="1">
      <c r="A138" s="219">
        <v>41394</v>
      </c>
      <c r="B138" s="71"/>
      <c r="C138" s="16"/>
      <c r="D138" s="72" t="s">
        <v>23</v>
      </c>
      <c r="E138" s="320" t="s">
        <v>21</v>
      </c>
      <c r="F138" s="382"/>
      <c r="G138" s="5"/>
      <c r="H138" s="5"/>
      <c r="I138" s="8"/>
      <c r="J138" s="10"/>
    </row>
    <row r="139" spans="1:10" ht="16.5" hidden="1" thickBot="1">
      <c r="A139" s="14"/>
      <c r="B139" s="18"/>
      <c r="C139" s="131" t="s">
        <v>21</v>
      </c>
      <c r="D139" s="131" t="s">
        <v>22</v>
      </c>
      <c r="E139" s="321" t="s">
        <v>23</v>
      </c>
      <c r="F139" s="383"/>
      <c r="G139" s="7"/>
      <c r="H139" s="7"/>
      <c r="I139" s="10"/>
      <c r="J139" s="10"/>
    </row>
    <row r="140" spans="1:10" ht="15.75" hidden="1">
      <c r="A140" s="2" t="s">
        <v>24</v>
      </c>
      <c r="B140" s="17">
        <v>101</v>
      </c>
      <c r="C140" s="251">
        <v>4076497</v>
      </c>
      <c r="D140" s="387">
        <v>1.7780000000000001E-2</v>
      </c>
      <c r="E140" s="322">
        <v>72480.11666</v>
      </c>
      <c r="F140" s="383"/>
      <c r="G140" s="7"/>
      <c r="H140" s="7"/>
      <c r="I140" s="8"/>
      <c r="J140" s="7"/>
    </row>
    <row r="141" spans="1:10" ht="16.5" hidden="1" thickBot="1">
      <c r="A141" s="2" t="s">
        <v>24</v>
      </c>
      <c r="B141" s="17">
        <v>111</v>
      </c>
      <c r="C141" s="251">
        <v>1757142</v>
      </c>
      <c r="D141" s="387">
        <v>1.7780000000000001E-2</v>
      </c>
      <c r="E141" s="322">
        <v>31241.984759999999</v>
      </c>
      <c r="F141" s="383"/>
      <c r="G141" s="146">
        <f>A138</f>
        <v>41394</v>
      </c>
      <c r="H141" s="147"/>
      <c r="I141" s="147"/>
      <c r="J141" s="147"/>
    </row>
    <row r="142" spans="1:10" ht="16.5" hidden="1" thickBot="1">
      <c r="A142" s="2" t="s">
        <v>24</v>
      </c>
      <c r="B142" s="17">
        <v>112</v>
      </c>
      <c r="C142" s="251"/>
      <c r="D142" s="387"/>
      <c r="E142" s="322">
        <v>0</v>
      </c>
      <c r="F142" s="383"/>
      <c r="G142" s="102" t="s">
        <v>25</v>
      </c>
      <c r="H142" s="148"/>
      <c r="I142" s="149" t="s">
        <v>18</v>
      </c>
      <c r="J142" s="150" t="s">
        <v>19</v>
      </c>
    </row>
    <row r="143" spans="1:10" ht="15.75" hidden="1">
      <c r="A143" s="2" t="s">
        <v>24</v>
      </c>
      <c r="B143" s="17">
        <v>121</v>
      </c>
      <c r="C143" s="251"/>
      <c r="D143" s="220"/>
      <c r="E143" s="322">
        <v>0</v>
      </c>
      <c r="F143" s="383"/>
      <c r="G143" s="151" t="s">
        <v>28</v>
      </c>
      <c r="H143" s="152" t="s">
        <v>77</v>
      </c>
      <c r="I143" s="108"/>
      <c r="J143" s="392">
        <v>0</v>
      </c>
    </row>
    <row r="144" spans="1:10" ht="15.75" hidden="1">
      <c r="A144" s="2" t="s">
        <v>24</v>
      </c>
      <c r="B144" s="17">
        <v>122</v>
      </c>
      <c r="C144" s="252"/>
      <c r="D144" s="220"/>
      <c r="E144" s="322">
        <v>0</v>
      </c>
      <c r="F144" s="383"/>
      <c r="G144" s="153" t="s">
        <v>29</v>
      </c>
      <c r="H144" s="7" t="s">
        <v>78</v>
      </c>
      <c r="I144" s="393">
        <f>-E152</f>
        <v>219.05</v>
      </c>
      <c r="J144" s="222"/>
    </row>
    <row r="145" spans="1:10" ht="15.75" hidden="1">
      <c r="A145" s="2" t="s">
        <v>24</v>
      </c>
      <c r="B145" s="17">
        <v>131</v>
      </c>
      <c r="C145" s="251">
        <v>0</v>
      </c>
      <c r="D145" s="387">
        <v>1.6570000000000001E-2</v>
      </c>
      <c r="E145" s="322">
        <v>0</v>
      </c>
      <c r="F145" s="383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75" hidden="1">
      <c r="A146" s="2" t="s">
        <v>24</v>
      </c>
      <c r="B146" s="17">
        <v>132</v>
      </c>
      <c r="C146" s="252"/>
      <c r="D146" s="121"/>
      <c r="E146" s="322">
        <v>0</v>
      </c>
      <c r="F146" s="383"/>
      <c r="G146" s="153" t="s">
        <v>10</v>
      </c>
      <c r="H146" s="7" t="s">
        <v>58</v>
      </c>
      <c r="I146" s="7">
        <v>0</v>
      </c>
      <c r="J146" s="109"/>
    </row>
    <row r="147" spans="1:10" ht="16.5" hidden="1" thickBot="1">
      <c r="A147" s="2" t="s">
        <v>24</v>
      </c>
      <c r="B147" s="17" t="s">
        <v>61</v>
      </c>
      <c r="C147" s="252"/>
      <c r="D147" s="121"/>
      <c r="E147" s="322">
        <v>0</v>
      </c>
      <c r="F147" s="383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75" hidden="1">
      <c r="A148" s="2" t="s">
        <v>156</v>
      </c>
      <c r="B148" s="70"/>
      <c r="C148" s="250"/>
      <c r="D148" s="136"/>
      <c r="E148" s="323">
        <v>0</v>
      </c>
      <c r="F148" s="383"/>
      <c r="G148" s="7"/>
      <c r="H148" s="7"/>
      <c r="I148" s="8"/>
      <c r="J148" s="259">
        <f>ROUND(SUM(I143:J147),2)</f>
        <v>0</v>
      </c>
    </row>
    <row r="149" spans="1:10" ht="16.5" hidden="1" thickBot="1">
      <c r="A149" s="382"/>
      <c r="B149" s="6"/>
      <c r="C149" s="253">
        <f>SUM(C140:C148)</f>
        <v>5833639</v>
      </c>
      <c r="D149" s="155"/>
      <c r="E149" s="324">
        <f>SUM(E140:E148)</f>
        <v>103722.10141999999</v>
      </c>
      <c r="F149" s="383"/>
      <c r="G149" s="7"/>
      <c r="H149" s="7"/>
      <c r="I149" s="7"/>
      <c r="J149" s="7"/>
    </row>
    <row r="150" spans="1:10" ht="16.5" hidden="1" thickTop="1">
      <c r="A150" s="382"/>
      <c r="B150" s="6"/>
      <c r="C150" s="254">
        <v>5833639</v>
      </c>
      <c r="D150" s="66" t="s">
        <v>161</v>
      </c>
      <c r="E150" s="325">
        <v>0</v>
      </c>
      <c r="F150" s="383"/>
      <c r="G150" s="65" t="s">
        <v>158</v>
      </c>
      <c r="H150" s="7"/>
      <c r="I150" s="12"/>
      <c r="J150" s="12"/>
    </row>
    <row r="151" spans="1:10" ht="15.75" hidden="1">
      <c r="A151" s="382"/>
      <c r="B151" s="382"/>
      <c r="C151" s="315">
        <f>C149-C150</f>
        <v>0</v>
      </c>
      <c r="D151" s="66" t="s">
        <v>87</v>
      </c>
      <c r="E151" s="324">
        <f>E149+E150+E135</f>
        <v>-211001.39219602916</v>
      </c>
      <c r="F151" s="383"/>
      <c r="G151" s="8">
        <f>(E135*(D152/12))+(E149*(D152/24))</f>
        <v>-219.05203575502432</v>
      </c>
      <c r="H151" s="7"/>
      <c r="I151" s="8"/>
      <c r="J151" s="10"/>
    </row>
    <row r="152" spans="1:10" ht="15.75" hidden="1">
      <c r="A152" s="382"/>
      <c r="B152" s="382"/>
      <c r="C152" s="50"/>
      <c r="D152" s="225">
        <v>0.01</v>
      </c>
      <c r="E152" s="326">
        <f>ROUND(((E135)+(E149)/2)*(D152/12),2)</f>
        <v>-219.05</v>
      </c>
      <c r="F152" s="383"/>
      <c r="G152" s="65"/>
      <c r="H152" s="7"/>
      <c r="I152" s="10"/>
      <c r="J152" s="10"/>
    </row>
    <row r="153" spans="1:10" ht="16.5" hidden="1" thickBot="1">
      <c r="A153" s="5"/>
      <c r="B153" s="5"/>
      <c r="C153" s="50" t="s">
        <v>1</v>
      </c>
      <c r="D153" s="143">
        <f>A138</f>
        <v>41394</v>
      </c>
      <c r="E153" s="327">
        <f>SUM(E151:E152)</f>
        <v>-211220.44219602915</v>
      </c>
      <c r="F153" s="383"/>
      <c r="G153" s="7"/>
      <c r="H153" s="7"/>
      <c r="I153" s="8"/>
      <c r="J153" s="7"/>
    </row>
    <row r="154" spans="1:10" s="382" customFormat="1" ht="16.5" hidden="1" thickTop="1" thickBot="1">
      <c r="E154" s="318"/>
    </row>
    <row r="155" spans="1:10" s="382" customFormat="1" ht="15.75" hidden="1">
      <c r="A155" s="73" t="s">
        <v>142</v>
      </c>
      <c r="B155" s="74"/>
      <c r="C155" s="75"/>
      <c r="D155" s="76"/>
      <c r="E155" s="319"/>
      <c r="G155" s="16"/>
      <c r="H155" s="5"/>
      <c r="I155" s="56"/>
      <c r="J155" s="56"/>
    </row>
    <row r="156" spans="1:10" s="382" customFormat="1" ht="15.75" hidden="1">
      <c r="A156" s="219">
        <v>41425</v>
      </c>
      <c r="B156" s="71"/>
      <c r="C156" s="16"/>
      <c r="D156" s="72" t="s">
        <v>23</v>
      </c>
      <c r="E156" s="320" t="s">
        <v>21</v>
      </c>
      <c r="G156" s="5"/>
      <c r="H156" s="5"/>
      <c r="I156" s="8"/>
      <c r="J156" s="10"/>
    </row>
    <row r="157" spans="1:10" s="382" customFormat="1" ht="16.5" hidden="1" thickBot="1">
      <c r="A157" s="14"/>
      <c r="B157" s="18"/>
      <c r="C157" s="131" t="s">
        <v>21</v>
      </c>
      <c r="D157" s="131" t="s">
        <v>22</v>
      </c>
      <c r="E157" s="321" t="s">
        <v>23</v>
      </c>
      <c r="F157" s="383"/>
      <c r="G157" s="7"/>
      <c r="H157" s="7"/>
      <c r="I157" s="10"/>
      <c r="J157" s="10"/>
    </row>
    <row r="158" spans="1:10" s="382" customFormat="1" ht="15.75" hidden="1">
      <c r="A158" s="2" t="s">
        <v>24</v>
      </c>
      <c r="B158" s="17">
        <v>101</v>
      </c>
      <c r="C158" s="251">
        <v>1886293</v>
      </c>
      <c r="D158" s="387">
        <v>1.7780000000000001E-2</v>
      </c>
      <c r="E158" s="322">
        <v>33538.289539999998</v>
      </c>
      <c r="F158" s="383"/>
      <c r="G158" s="7"/>
      <c r="H158" s="7"/>
      <c r="I158" s="8"/>
      <c r="J158" s="7"/>
    </row>
    <row r="159" spans="1:10" s="382" customFormat="1" ht="16.5" hidden="1" thickBot="1">
      <c r="A159" s="2" t="s">
        <v>24</v>
      </c>
      <c r="B159" s="17">
        <v>111</v>
      </c>
      <c r="C159" s="251">
        <v>1075171</v>
      </c>
      <c r="D159" s="387">
        <v>1.7780000000000001E-2</v>
      </c>
      <c r="E159" s="322">
        <v>19116.540380000002</v>
      </c>
      <c r="F159" s="383"/>
      <c r="G159" s="146">
        <f>A156</f>
        <v>41425</v>
      </c>
      <c r="H159" s="147"/>
      <c r="I159" s="147"/>
      <c r="J159" s="147"/>
    </row>
    <row r="160" spans="1:10" s="382" customFormat="1" ht="16.5" hidden="1" thickBot="1">
      <c r="A160" s="2" t="s">
        <v>24</v>
      </c>
      <c r="B160" s="17">
        <v>112</v>
      </c>
      <c r="C160" s="251"/>
      <c r="D160" s="387"/>
      <c r="E160" s="322">
        <v>0</v>
      </c>
      <c r="F160" s="383"/>
      <c r="G160" s="102" t="s">
        <v>25</v>
      </c>
      <c r="H160" s="148"/>
      <c r="I160" s="149" t="s">
        <v>18</v>
      </c>
      <c r="J160" s="150" t="s">
        <v>19</v>
      </c>
    </row>
    <row r="161" spans="1:10" s="382" customFormat="1" ht="15.75" hidden="1">
      <c r="A161" s="2" t="s">
        <v>24</v>
      </c>
      <c r="B161" s="17">
        <v>121</v>
      </c>
      <c r="C161" s="251"/>
      <c r="D161" s="220"/>
      <c r="E161" s="322">
        <v>0</v>
      </c>
      <c r="F161" s="383"/>
      <c r="G161" s="151" t="s">
        <v>28</v>
      </c>
      <c r="H161" s="152" t="s">
        <v>77</v>
      </c>
      <c r="I161" s="108"/>
      <c r="J161" s="392">
        <v>0</v>
      </c>
    </row>
    <row r="162" spans="1:10" s="382" customFormat="1" ht="15.75" hidden="1">
      <c r="A162" s="2" t="s">
        <v>24</v>
      </c>
      <c r="B162" s="17">
        <v>122</v>
      </c>
      <c r="C162" s="252"/>
      <c r="D162" s="220"/>
      <c r="E162" s="322">
        <v>0</v>
      </c>
      <c r="F162" s="383"/>
      <c r="G162" s="153" t="s">
        <v>29</v>
      </c>
      <c r="H162" s="7" t="s">
        <v>78</v>
      </c>
      <c r="I162" s="393">
        <f>-E170</f>
        <v>154.08000000000001</v>
      </c>
      <c r="J162" s="222"/>
    </row>
    <row r="163" spans="1:10" s="382" customFormat="1" ht="15.75" hidden="1">
      <c r="A163" s="2" t="s">
        <v>24</v>
      </c>
      <c r="B163" s="17">
        <v>131</v>
      </c>
      <c r="C163" s="251">
        <v>0</v>
      </c>
      <c r="D163" s="387">
        <v>1.6570000000000001E-2</v>
      </c>
      <c r="E163" s="322">
        <v>0</v>
      </c>
      <c r="F163" s="383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2" customFormat="1" ht="15.75" hidden="1">
      <c r="A164" s="2" t="s">
        <v>24</v>
      </c>
      <c r="B164" s="17">
        <v>132</v>
      </c>
      <c r="C164" s="252"/>
      <c r="D164" s="121"/>
      <c r="E164" s="322">
        <v>0</v>
      </c>
      <c r="F164" s="383"/>
      <c r="G164" s="153" t="s">
        <v>10</v>
      </c>
      <c r="H164" s="7" t="s">
        <v>58</v>
      </c>
      <c r="I164" s="7">
        <v>0</v>
      </c>
      <c r="J164" s="109"/>
    </row>
    <row r="165" spans="1:10" s="382" customFormat="1" ht="16.5" hidden="1" thickBot="1">
      <c r="A165" s="2" t="s">
        <v>24</v>
      </c>
      <c r="B165" s="17" t="s">
        <v>61</v>
      </c>
      <c r="C165" s="252"/>
      <c r="D165" s="121"/>
      <c r="E165" s="322">
        <v>0</v>
      </c>
      <c r="F165" s="383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2" customFormat="1" ht="15.75" hidden="1">
      <c r="A166" s="2" t="s">
        <v>156</v>
      </c>
      <c r="B166" s="70"/>
      <c r="C166" s="250"/>
      <c r="D166" s="136"/>
      <c r="E166" s="323">
        <v>0</v>
      </c>
      <c r="F166" s="383"/>
      <c r="G166" s="7"/>
      <c r="H166" s="7"/>
      <c r="I166" s="8"/>
      <c r="J166" s="259">
        <f>ROUND(SUM(I161:J165),2)</f>
        <v>0</v>
      </c>
    </row>
    <row r="167" spans="1:10" s="382" customFormat="1" ht="16.5" hidden="1" thickBot="1">
      <c r="B167" s="6"/>
      <c r="C167" s="253">
        <f>SUM(C158:C166)</f>
        <v>2961464</v>
      </c>
      <c r="D167" s="155"/>
      <c r="E167" s="324">
        <f>SUM(E158:E166)</f>
        <v>52654.829920000004</v>
      </c>
      <c r="F167" s="383"/>
      <c r="G167" s="7"/>
      <c r="H167" s="7"/>
      <c r="I167" s="7"/>
      <c r="J167" s="7"/>
    </row>
    <row r="168" spans="1:10" s="382" customFormat="1" ht="16.5" hidden="1" thickTop="1">
      <c r="B168" s="6"/>
      <c r="C168" s="254">
        <v>2961464</v>
      </c>
      <c r="D168" s="66" t="s">
        <v>161</v>
      </c>
      <c r="E168" s="325">
        <v>0</v>
      </c>
      <c r="F168" s="383"/>
      <c r="G168" s="65" t="s">
        <v>158</v>
      </c>
      <c r="H168" s="7"/>
      <c r="I168" s="12"/>
      <c r="J168" s="12"/>
    </row>
    <row r="169" spans="1:10" s="382" customFormat="1" ht="15.75" hidden="1">
      <c r="C169" s="315">
        <f>C167-C168</f>
        <v>0</v>
      </c>
      <c r="D169" s="66" t="s">
        <v>87</v>
      </c>
      <c r="E169" s="324">
        <f>E167+E168+E153</f>
        <v>-158565.61227602913</v>
      </c>
      <c r="F169" s="383"/>
      <c r="G169" s="8">
        <f>(E153*(D170/12))+(E167*(D170/24))</f>
        <v>-154.07752269669095</v>
      </c>
      <c r="H169" s="7"/>
      <c r="I169" s="8"/>
      <c r="J169" s="10"/>
    </row>
    <row r="170" spans="1:10" s="382" customFormat="1" ht="15.75" hidden="1">
      <c r="C170" s="50"/>
      <c r="D170" s="225">
        <v>0.01</v>
      </c>
      <c r="E170" s="326">
        <f>ROUND(((E153)+(E167)/2)*(D170/12),2)</f>
        <v>-154.08000000000001</v>
      </c>
      <c r="F170" s="383"/>
      <c r="G170" s="65"/>
      <c r="H170" s="7"/>
      <c r="I170" s="10"/>
      <c r="J170" s="10"/>
    </row>
    <row r="171" spans="1:10" s="382" customFormat="1" ht="16.5" hidden="1" thickBot="1">
      <c r="A171" s="5"/>
      <c r="B171" s="5"/>
      <c r="C171" s="50" t="s">
        <v>1</v>
      </c>
      <c r="D171" s="143">
        <f>A156</f>
        <v>41425</v>
      </c>
      <c r="E171" s="327">
        <f>SUM(E169:E170)</f>
        <v>-158719.69227602912</v>
      </c>
      <c r="F171" s="383"/>
      <c r="G171" s="7"/>
      <c r="H171" s="7"/>
      <c r="I171" s="8"/>
      <c r="J171" s="7"/>
    </row>
    <row r="172" spans="1:10" s="382" customFormat="1" ht="16.5" hidden="1" thickTop="1" thickBot="1">
      <c r="E172" s="318"/>
    </row>
    <row r="173" spans="1:10" s="382" customFormat="1" ht="15.75" hidden="1">
      <c r="A173" s="73" t="s">
        <v>142</v>
      </c>
      <c r="B173" s="74"/>
      <c r="C173" s="75"/>
      <c r="D173" s="76"/>
      <c r="E173" s="319"/>
      <c r="G173" s="16"/>
      <c r="H173" s="5"/>
      <c r="I173" s="56"/>
      <c r="J173" s="56"/>
    </row>
    <row r="174" spans="1:10" s="382" customFormat="1" ht="15.75" hidden="1">
      <c r="A174" s="219">
        <v>41426</v>
      </c>
      <c r="B174" s="71"/>
      <c r="C174" s="16"/>
      <c r="D174" s="72" t="s">
        <v>23</v>
      </c>
      <c r="E174" s="320" t="s">
        <v>21</v>
      </c>
      <c r="G174" s="5"/>
      <c r="H174" s="5"/>
      <c r="I174" s="8"/>
      <c r="J174" s="10"/>
    </row>
    <row r="175" spans="1:10" s="382" customFormat="1" ht="16.5" hidden="1" thickBot="1">
      <c r="A175" s="14"/>
      <c r="B175" s="18"/>
      <c r="C175" s="131" t="s">
        <v>21</v>
      </c>
      <c r="D175" s="131" t="s">
        <v>22</v>
      </c>
      <c r="E175" s="321" t="s">
        <v>23</v>
      </c>
      <c r="F175" s="383"/>
      <c r="G175" s="7"/>
      <c r="H175" s="7"/>
      <c r="I175" s="10"/>
      <c r="J175" s="10"/>
    </row>
    <row r="176" spans="1:10" s="382" customFormat="1" ht="15.75" hidden="1">
      <c r="A176" s="2" t="s">
        <v>24</v>
      </c>
      <c r="B176" s="17">
        <v>101</v>
      </c>
      <c r="C176" s="251">
        <v>1322327</v>
      </c>
      <c r="D176" s="387">
        <v>1.7780000000000001E-2</v>
      </c>
      <c r="E176" s="322">
        <v>23510.97406</v>
      </c>
      <c r="F176" s="383"/>
      <c r="G176" s="7"/>
      <c r="H176" s="7"/>
      <c r="I176" s="8"/>
      <c r="J176" s="7"/>
    </row>
    <row r="177" spans="1:10" s="382" customFormat="1" ht="16.5" hidden="1" thickBot="1">
      <c r="A177" s="2" t="s">
        <v>24</v>
      </c>
      <c r="B177" s="17">
        <v>111</v>
      </c>
      <c r="C177" s="251">
        <v>1044472</v>
      </c>
      <c r="D177" s="387">
        <v>1.7780000000000001E-2</v>
      </c>
      <c r="E177" s="322">
        <v>18570.712159999999</v>
      </c>
      <c r="F177" s="383"/>
      <c r="G177" s="146">
        <f>A174</f>
        <v>41426</v>
      </c>
      <c r="H177" s="147"/>
      <c r="I177" s="147"/>
      <c r="J177" s="147"/>
    </row>
    <row r="178" spans="1:10" s="382" customFormat="1" ht="16.5" hidden="1" thickBot="1">
      <c r="A178" s="2" t="s">
        <v>24</v>
      </c>
      <c r="B178" s="17">
        <v>112</v>
      </c>
      <c r="C178" s="251"/>
      <c r="D178" s="387"/>
      <c r="E178" s="322">
        <v>0</v>
      </c>
      <c r="F178" s="383"/>
      <c r="G178" s="102" t="s">
        <v>25</v>
      </c>
      <c r="H178" s="148"/>
      <c r="I178" s="149" t="s">
        <v>18</v>
      </c>
      <c r="J178" s="150" t="s">
        <v>19</v>
      </c>
    </row>
    <row r="179" spans="1:10" s="382" customFormat="1" ht="15.75" hidden="1">
      <c r="A179" s="2" t="s">
        <v>24</v>
      </c>
      <c r="B179" s="17">
        <v>121</v>
      </c>
      <c r="C179" s="251"/>
      <c r="D179" s="220"/>
      <c r="E179" s="322">
        <v>0</v>
      </c>
      <c r="F179" s="383"/>
      <c r="G179" s="151" t="s">
        <v>28</v>
      </c>
      <c r="H179" s="152" t="s">
        <v>77</v>
      </c>
      <c r="I179" s="108"/>
      <c r="J179" s="392">
        <v>0</v>
      </c>
    </row>
    <row r="180" spans="1:10" s="382" customFormat="1" ht="15.75" hidden="1">
      <c r="A180" s="2" t="s">
        <v>24</v>
      </c>
      <c r="B180" s="17">
        <v>122</v>
      </c>
      <c r="C180" s="252"/>
      <c r="D180" s="220"/>
      <c r="E180" s="322">
        <v>0</v>
      </c>
      <c r="F180" s="383"/>
      <c r="G180" s="153" t="s">
        <v>29</v>
      </c>
      <c r="H180" s="7" t="s">
        <v>78</v>
      </c>
      <c r="I180" s="393">
        <f>-E188</f>
        <v>114.73</v>
      </c>
      <c r="J180" s="222"/>
    </row>
    <row r="181" spans="1:10" s="382" customFormat="1" ht="15.75" hidden="1">
      <c r="A181" s="2" t="s">
        <v>24</v>
      </c>
      <c r="B181" s="17">
        <v>131</v>
      </c>
      <c r="C181" s="251">
        <v>0</v>
      </c>
      <c r="D181" s="387">
        <v>1.6570000000000001E-2</v>
      </c>
      <c r="E181" s="322">
        <v>0</v>
      </c>
      <c r="F181" s="383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2" customFormat="1" ht="15.75" hidden="1">
      <c r="A182" s="2" t="s">
        <v>24</v>
      </c>
      <c r="B182" s="17">
        <v>132</v>
      </c>
      <c r="C182" s="252"/>
      <c r="D182" s="121"/>
      <c r="E182" s="322">
        <v>0</v>
      </c>
      <c r="F182" s="383"/>
      <c r="G182" s="153" t="s">
        <v>10</v>
      </c>
      <c r="H182" s="7" t="s">
        <v>58</v>
      </c>
      <c r="I182" s="7">
        <v>0</v>
      </c>
      <c r="J182" s="109"/>
    </row>
    <row r="183" spans="1:10" s="382" customFormat="1" ht="16.5" hidden="1" thickBot="1">
      <c r="A183" s="2" t="s">
        <v>24</v>
      </c>
      <c r="B183" s="17" t="s">
        <v>61</v>
      </c>
      <c r="C183" s="252"/>
      <c r="D183" s="121"/>
      <c r="E183" s="322">
        <v>0</v>
      </c>
      <c r="F183" s="383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2" customFormat="1" ht="15.75" hidden="1">
      <c r="A184" s="2" t="s">
        <v>156</v>
      </c>
      <c r="B184" s="70"/>
      <c r="C184" s="250"/>
      <c r="D184" s="136"/>
      <c r="E184" s="323">
        <v>0</v>
      </c>
      <c r="F184" s="383"/>
      <c r="G184" s="7"/>
      <c r="H184" s="7"/>
      <c r="I184" s="8"/>
      <c r="J184" s="259">
        <f>ROUND(SUM(I179:J183),2)</f>
        <v>0</v>
      </c>
    </row>
    <row r="185" spans="1:10" s="382" customFormat="1" ht="16.5" hidden="1" thickBot="1">
      <c r="B185" s="6"/>
      <c r="C185" s="253">
        <f>SUM(C176:C184)</f>
        <v>2366799</v>
      </c>
      <c r="D185" s="155"/>
      <c r="E185" s="324">
        <f>SUM(E176:E184)</f>
        <v>42081.686220000003</v>
      </c>
      <c r="F185" s="383"/>
      <c r="G185" s="7"/>
      <c r="H185" s="7"/>
      <c r="I185" s="7"/>
      <c r="J185" s="7"/>
    </row>
    <row r="186" spans="1:10" s="382" customFormat="1" ht="16.5" hidden="1" thickTop="1">
      <c r="B186" s="6"/>
      <c r="C186" s="254">
        <v>2366799</v>
      </c>
      <c r="D186" s="66" t="s">
        <v>161</v>
      </c>
      <c r="E186" s="325">
        <v>0</v>
      </c>
      <c r="F186" s="383"/>
      <c r="G186" s="65" t="s">
        <v>158</v>
      </c>
      <c r="H186" s="7"/>
      <c r="I186" s="12"/>
      <c r="J186" s="12"/>
    </row>
    <row r="187" spans="1:10" s="382" customFormat="1" ht="15.75" hidden="1">
      <c r="C187" s="315">
        <f>C185-C186</f>
        <v>0</v>
      </c>
      <c r="D187" s="66" t="s">
        <v>87</v>
      </c>
      <c r="E187" s="324">
        <f>E185+E186+E171</f>
        <v>-116638.00605602912</v>
      </c>
      <c r="F187" s="383"/>
      <c r="G187" s="8">
        <f>(E171*(D188/12))+(E185*(D188/24))</f>
        <v>-114.73237430502427</v>
      </c>
      <c r="H187" s="7"/>
      <c r="I187" s="8"/>
      <c r="J187" s="10"/>
    </row>
    <row r="188" spans="1:10" s="382" customFormat="1" ht="15.75" hidden="1">
      <c r="C188" s="50"/>
      <c r="D188" s="225">
        <v>0.01</v>
      </c>
      <c r="E188" s="326">
        <f>ROUND(((E171)+(E185)/2)*(D188/12),2)</f>
        <v>-114.73</v>
      </c>
      <c r="F188" s="383"/>
      <c r="G188" s="65"/>
      <c r="H188" s="7"/>
      <c r="I188" s="10"/>
      <c r="J188" s="10"/>
    </row>
    <row r="189" spans="1:10" s="382" customFormat="1" ht="16.5" thickBot="1">
      <c r="A189" s="5"/>
      <c r="B189" s="5"/>
      <c r="C189" s="50" t="s">
        <v>1</v>
      </c>
      <c r="D189" s="143">
        <f>A174</f>
        <v>41426</v>
      </c>
      <c r="E189" s="327">
        <f>SUM(E187:E188)</f>
        <v>-116752.73605602911</v>
      </c>
      <c r="F189" s="383"/>
      <c r="G189" s="7"/>
      <c r="H189" s="7"/>
      <c r="I189" s="8"/>
      <c r="J189" s="7"/>
    </row>
    <row r="190" spans="1:10" s="382" customFormat="1" ht="16.5" thickTop="1" thickBot="1">
      <c r="E190" s="318"/>
    </row>
    <row r="191" spans="1:10" s="382" customFormat="1" ht="15.75">
      <c r="A191" s="73" t="s">
        <v>142</v>
      </c>
      <c r="B191" s="74"/>
      <c r="C191" s="75"/>
      <c r="D191" s="76"/>
      <c r="E191" s="319"/>
      <c r="G191" s="16"/>
      <c r="H191" s="5"/>
      <c r="I191" s="56"/>
      <c r="J191" s="56"/>
    </row>
    <row r="192" spans="1:10" s="382" customFormat="1" ht="15.75">
      <c r="A192" s="219">
        <v>41456</v>
      </c>
      <c r="B192" s="71"/>
      <c r="C192" s="16"/>
      <c r="D192" s="72" t="s">
        <v>23</v>
      </c>
      <c r="E192" s="320" t="s">
        <v>21</v>
      </c>
      <c r="G192" s="5"/>
      <c r="H192" s="5"/>
      <c r="I192" s="8"/>
      <c r="J192" s="10"/>
    </row>
    <row r="193" spans="1:10" s="382" customFormat="1" ht="16.5" thickBot="1">
      <c r="A193" s="14"/>
      <c r="B193" s="18"/>
      <c r="C193" s="131" t="s">
        <v>21</v>
      </c>
      <c r="D193" s="131" t="s">
        <v>22</v>
      </c>
      <c r="E193" s="321" t="s">
        <v>23</v>
      </c>
      <c r="F193" s="383"/>
      <c r="G193" s="7"/>
      <c r="H193" s="7"/>
      <c r="I193" s="10"/>
      <c r="J193" s="10"/>
    </row>
    <row r="194" spans="1:10" s="382" customFormat="1" ht="15.75">
      <c r="A194" s="2" t="s">
        <v>24</v>
      </c>
      <c r="B194" s="17">
        <v>101</v>
      </c>
      <c r="C194" s="251">
        <v>970543</v>
      </c>
      <c r="D194" s="387">
        <v>1.7780000000000001E-2</v>
      </c>
      <c r="E194" s="322">
        <v>17256.254540000002</v>
      </c>
      <c r="F194" s="383"/>
      <c r="G194" s="7"/>
      <c r="H194" s="7"/>
      <c r="I194" s="8"/>
      <c r="J194" s="7"/>
    </row>
    <row r="195" spans="1:10" s="382" customFormat="1" ht="16.5" thickBot="1">
      <c r="A195" s="2" t="s">
        <v>24</v>
      </c>
      <c r="B195" s="17">
        <v>111</v>
      </c>
      <c r="C195" s="251">
        <v>805059</v>
      </c>
      <c r="D195" s="387">
        <v>1.7780000000000001E-2</v>
      </c>
      <c r="E195" s="322">
        <v>14313.94902</v>
      </c>
      <c r="F195" s="383"/>
      <c r="G195" s="146">
        <f>A192</f>
        <v>41456</v>
      </c>
      <c r="H195" s="147"/>
      <c r="I195" s="147"/>
      <c r="J195" s="147"/>
    </row>
    <row r="196" spans="1:10" s="382" customFormat="1" ht="16.5" thickBot="1">
      <c r="A196" s="2" t="s">
        <v>24</v>
      </c>
      <c r="B196" s="17">
        <v>112</v>
      </c>
      <c r="C196" s="251"/>
      <c r="D196" s="387"/>
      <c r="E196" s="322">
        <v>0</v>
      </c>
      <c r="F196" s="383"/>
      <c r="G196" s="102" t="s">
        <v>25</v>
      </c>
      <c r="H196" s="148"/>
      <c r="I196" s="149" t="s">
        <v>18</v>
      </c>
      <c r="J196" s="150" t="s">
        <v>19</v>
      </c>
    </row>
    <row r="197" spans="1:10" s="382" customFormat="1" ht="15.75">
      <c r="A197" s="2" t="s">
        <v>24</v>
      </c>
      <c r="B197" s="17">
        <v>121</v>
      </c>
      <c r="C197" s="251"/>
      <c r="D197" s="220"/>
      <c r="E197" s="322">
        <v>0</v>
      </c>
      <c r="F197" s="383"/>
      <c r="G197" s="151" t="s">
        <v>28</v>
      </c>
      <c r="H197" s="152" t="s">
        <v>77</v>
      </c>
      <c r="I197" s="108"/>
      <c r="J197" s="392">
        <v>0</v>
      </c>
    </row>
    <row r="198" spans="1:10" s="382" customFormat="1" ht="15.75">
      <c r="A198" s="2" t="s">
        <v>24</v>
      </c>
      <c r="B198" s="17">
        <v>122</v>
      </c>
      <c r="C198" s="252"/>
      <c r="D198" s="220"/>
      <c r="E198" s="322">
        <v>0</v>
      </c>
      <c r="F198" s="383"/>
      <c r="G198" s="153" t="s">
        <v>29</v>
      </c>
      <c r="H198" s="7" t="s">
        <v>78</v>
      </c>
      <c r="I198" s="393">
        <f>-E206</f>
        <v>84.14</v>
      </c>
      <c r="J198" s="222"/>
    </row>
    <row r="199" spans="1:10" s="382" customFormat="1" ht="15.75">
      <c r="A199" s="2" t="s">
        <v>24</v>
      </c>
      <c r="B199" s="17">
        <v>131</v>
      </c>
      <c r="C199" s="251">
        <v>0</v>
      </c>
      <c r="D199" s="387">
        <v>1.6570000000000001E-2</v>
      </c>
      <c r="E199" s="322">
        <v>0</v>
      </c>
      <c r="F199" s="383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2" customFormat="1" ht="15.75">
      <c r="A200" s="2" t="s">
        <v>24</v>
      </c>
      <c r="B200" s="17">
        <v>132</v>
      </c>
      <c r="C200" s="252"/>
      <c r="D200" s="121"/>
      <c r="E200" s="322">
        <v>0</v>
      </c>
      <c r="F200" s="383"/>
      <c r="G200" s="153" t="s">
        <v>10</v>
      </c>
      <c r="H200" s="7" t="s">
        <v>58</v>
      </c>
      <c r="I200" s="7">
        <v>0</v>
      </c>
      <c r="J200" s="109"/>
    </row>
    <row r="201" spans="1:10" s="382" customFormat="1" ht="16.5" thickBot="1">
      <c r="A201" s="2" t="s">
        <v>24</v>
      </c>
      <c r="B201" s="17" t="s">
        <v>61</v>
      </c>
      <c r="C201" s="252"/>
      <c r="D201" s="121"/>
      <c r="E201" s="322">
        <v>0</v>
      </c>
      <c r="F201" s="383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2" customFormat="1" ht="15.75">
      <c r="A202" s="2" t="s">
        <v>156</v>
      </c>
      <c r="B202" s="70"/>
      <c r="C202" s="250"/>
      <c r="D202" s="136"/>
      <c r="E202" s="323">
        <v>0</v>
      </c>
      <c r="F202" s="383"/>
      <c r="G202" s="7"/>
      <c r="H202" s="7"/>
      <c r="I202" s="8"/>
      <c r="J202" s="259">
        <f>ROUND(SUM(I197:J201),2)</f>
        <v>0</v>
      </c>
    </row>
    <row r="203" spans="1:10" s="382" customFormat="1" ht="16.5" thickBot="1">
      <c r="B203" s="6"/>
      <c r="C203" s="253">
        <f>SUM(C194:C202)</f>
        <v>1775602</v>
      </c>
      <c r="D203" s="155"/>
      <c r="E203" s="324">
        <f>SUM(E194:E202)</f>
        <v>31570.203560000002</v>
      </c>
      <c r="F203" s="383"/>
      <c r="G203" s="7"/>
      <c r="H203" s="7"/>
      <c r="I203" s="7"/>
      <c r="J203" s="7"/>
    </row>
    <row r="204" spans="1:10" s="382" customFormat="1" ht="16.5" thickTop="1">
      <c r="B204" s="6"/>
      <c r="C204" s="254">
        <v>1775602</v>
      </c>
      <c r="D204" s="66" t="s">
        <v>161</v>
      </c>
      <c r="E204" s="325">
        <v>0</v>
      </c>
      <c r="F204" s="383"/>
      <c r="G204" s="65" t="s">
        <v>158</v>
      </c>
      <c r="H204" s="7"/>
      <c r="I204" s="12"/>
      <c r="J204" s="12"/>
    </row>
    <row r="205" spans="1:10" s="382" customFormat="1" ht="15.75">
      <c r="C205" s="315">
        <f>C203-C204</f>
        <v>0</v>
      </c>
      <c r="D205" s="66" t="s">
        <v>87</v>
      </c>
      <c r="E205" s="324">
        <f>E203+E204+E189</f>
        <v>-85182.532496029104</v>
      </c>
      <c r="F205" s="383"/>
      <c r="G205" s="8">
        <f>(E189*(D206/12))+(E203*(D206/24))</f>
        <v>-84.139695230024259</v>
      </c>
      <c r="H205" s="7"/>
      <c r="I205" s="8"/>
      <c r="J205" s="10"/>
    </row>
    <row r="206" spans="1:10" s="382" customFormat="1" ht="15.75">
      <c r="C206" s="50"/>
      <c r="D206" s="225">
        <v>0.01</v>
      </c>
      <c r="E206" s="326">
        <f>ROUND(((E189)+(E203)/2)*(D206/12),2)</f>
        <v>-84.14</v>
      </c>
      <c r="F206" s="383"/>
      <c r="G206" s="65"/>
      <c r="H206" s="7"/>
      <c r="I206" s="10"/>
      <c r="J206" s="10"/>
    </row>
    <row r="207" spans="1:10" s="382" customFormat="1" ht="16.5" thickBot="1">
      <c r="A207" s="5"/>
      <c r="B207" s="5"/>
      <c r="C207" s="50" t="s">
        <v>1</v>
      </c>
      <c r="D207" s="143">
        <f>A192</f>
        <v>41456</v>
      </c>
      <c r="E207" s="327">
        <f>SUM(E205:E206)</f>
        <v>-85266.672496029103</v>
      </c>
      <c r="F207" s="383"/>
      <c r="G207" s="7"/>
      <c r="H207" s="7"/>
      <c r="I207" s="8"/>
      <c r="J207" s="7"/>
    </row>
    <row r="208" spans="1:10" ht="16.5" thickTop="1" thickBot="1"/>
    <row r="209" spans="1:10" s="382" customFormat="1" ht="15.75">
      <c r="A209" s="73" t="s">
        <v>142</v>
      </c>
      <c r="B209" s="74"/>
      <c r="C209" s="75"/>
      <c r="D209" s="76"/>
      <c r="E209" s="319"/>
      <c r="G209" s="16"/>
      <c r="H209" s="5"/>
      <c r="I209" s="56"/>
      <c r="J209" s="56"/>
    </row>
    <row r="210" spans="1:10" s="382" customFormat="1" ht="15.75">
      <c r="A210" s="219">
        <v>41487</v>
      </c>
      <c r="B210" s="71"/>
      <c r="C210" s="16"/>
      <c r="D210" s="72" t="s">
        <v>23</v>
      </c>
      <c r="E210" s="320" t="s">
        <v>21</v>
      </c>
      <c r="G210" s="5"/>
      <c r="H210" s="5"/>
      <c r="I210" s="8"/>
      <c r="J210" s="10"/>
    </row>
    <row r="211" spans="1:10" s="382" customFormat="1" ht="16.5" thickBot="1">
      <c r="A211" s="14"/>
      <c r="B211" s="18"/>
      <c r="C211" s="131" t="s">
        <v>21</v>
      </c>
      <c r="D211" s="131" t="s">
        <v>22</v>
      </c>
      <c r="E211" s="321" t="s">
        <v>23</v>
      </c>
      <c r="F211" s="383"/>
      <c r="G211" s="7"/>
      <c r="H211" s="7"/>
      <c r="I211" s="10"/>
      <c r="J211" s="10"/>
    </row>
    <row r="212" spans="1:10" s="382" customFormat="1" ht="15.75">
      <c r="A212" s="2" t="s">
        <v>24</v>
      </c>
      <c r="B212" s="17">
        <v>101</v>
      </c>
      <c r="C212" s="251">
        <v>985214</v>
      </c>
      <c r="D212" s="387">
        <v>1.7780000000000001E-2</v>
      </c>
      <c r="E212" s="322">
        <v>17517.104920000002</v>
      </c>
      <c r="F212" s="383"/>
      <c r="G212" s="7"/>
      <c r="H212" s="7"/>
      <c r="I212" s="8"/>
      <c r="J212" s="7"/>
    </row>
    <row r="213" spans="1:10" s="382" customFormat="1" ht="16.5" thickBot="1">
      <c r="A213" s="2" t="s">
        <v>24</v>
      </c>
      <c r="B213" s="17">
        <v>111</v>
      </c>
      <c r="C213" s="251">
        <v>994287</v>
      </c>
      <c r="D213" s="387">
        <v>1.7780000000000001E-2</v>
      </c>
      <c r="E213" s="322">
        <v>17678.422860000002</v>
      </c>
      <c r="F213" s="383"/>
      <c r="G213" s="146">
        <f>A210</f>
        <v>41487</v>
      </c>
      <c r="H213" s="147"/>
      <c r="I213" s="147"/>
      <c r="J213" s="147"/>
    </row>
    <row r="214" spans="1:10" s="382" customFormat="1" ht="16.5" thickBot="1">
      <c r="A214" s="2" t="s">
        <v>24</v>
      </c>
      <c r="B214" s="17">
        <v>112</v>
      </c>
      <c r="C214" s="251"/>
      <c r="D214" s="387"/>
      <c r="E214" s="322">
        <v>0</v>
      </c>
      <c r="F214" s="383"/>
      <c r="G214" s="102" t="s">
        <v>25</v>
      </c>
      <c r="H214" s="148"/>
      <c r="I214" s="149" t="s">
        <v>18</v>
      </c>
      <c r="J214" s="150" t="s">
        <v>19</v>
      </c>
    </row>
    <row r="215" spans="1:10" s="382" customFormat="1" ht="15.75">
      <c r="A215" s="2" t="s">
        <v>24</v>
      </c>
      <c r="B215" s="17">
        <v>121</v>
      </c>
      <c r="C215" s="251"/>
      <c r="D215" s="220"/>
      <c r="E215" s="322">
        <v>0</v>
      </c>
      <c r="F215" s="383"/>
      <c r="G215" s="151" t="s">
        <v>28</v>
      </c>
      <c r="H215" s="152" t="s">
        <v>77</v>
      </c>
      <c r="I215" s="108"/>
      <c r="J215" s="392">
        <v>0</v>
      </c>
    </row>
    <row r="216" spans="1:10" s="382" customFormat="1" ht="15.75">
      <c r="A216" s="2" t="s">
        <v>24</v>
      </c>
      <c r="B216" s="17">
        <v>122</v>
      </c>
      <c r="C216" s="252"/>
      <c r="D216" s="220"/>
      <c r="E216" s="322">
        <v>0</v>
      </c>
      <c r="F216" s="383"/>
      <c r="G216" s="153" t="s">
        <v>29</v>
      </c>
      <c r="H216" s="7" t="s">
        <v>78</v>
      </c>
      <c r="I216" s="393">
        <f>-E224</f>
        <v>56.39</v>
      </c>
      <c r="J216" s="222"/>
    </row>
    <row r="217" spans="1:10" s="382" customFormat="1" ht="15.75">
      <c r="A217" s="2" t="s">
        <v>24</v>
      </c>
      <c r="B217" s="17">
        <v>131</v>
      </c>
      <c r="C217" s="251">
        <v>0</v>
      </c>
      <c r="D217" s="387">
        <v>1.6570000000000001E-2</v>
      </c>
      <c r="E217" s="322">
        <v>0</v>
      </c>
      <c r="F217" s="383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2" customFormat="1" ht="15.75">
      <c r="A218" s="2" t="s">
        <v>24</v>
      </c>
      <c r="B218" s="17">
        <v>132</v>
      </c>
      <c r="C218" s="252"/>
      <c r="D218" s="121"/>
      <c r="E218" s="322">
        <v>0</v>
      </c>
      <c r="F218" s="383"/>
      <c r="G218" s="153" t="s">
        <v>10</v>
      </c>
      <c r="H218" s="7" t="s">
        <v>58</v>
      </c>
      <c r="I218" s="7">
        <v>0</v>
      </c>
      <c r="J218" s="109"/>
    </row>
    <row r="219" spans="1:10" s="382" customFormat="1" ht="16.5" thickBot="1">
      <c r="A219" s="2" t="s">
        <v>24</v>
      </c>
      <c r="B219" s="17" t="s">
        <v>61</v>
      </c>
      <c r="C219" s="252"/>
      <c r="D219" s="121"/>
      <c r="E219" s="322">
        <v>0</v>
      </c>
      <c r="F219" s="383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2" customFormat="1" ht="15.75">
      <c r="A220" s="2" t="s">
        <v>156</v>
      </c>
      <c r="B220" s="70"/>
      <c r="C220" s="250"/>
      <c r="D220" s="136"/>
      <c r="E220" s="323">
        <v>0</v>
      </c>
      <c r="F220" s="383"/>
      <c r="G220" s="7"/>
      <c r="H220" s="7"/>
      <c r="I220" s="8"/>
      <c r="J220" s="259">
        <f>ROUND(SUM(I215:J219),2)</f>
        <v>0</v>
      </c>
    </row>
    <row r="221" spans="1:10" s="382" customFormat="1" ht="16.5" thickBot="1">
      <c r="B221" s="6"/>
      <c r="C221" s="253">
        <f>SUM(C212:C220)</f>
        <v>1979501</v>
      </c>
      <c r="D221" s="155"/>
      <c r="E221" s="324">
        <f>SUM(E212:E220)</f>
        <v>35195.527780000004</v>
      </c>
      <c r="F221" s="383"/>
      <c r="G221" s="7"/>
      <c r="H221" s="7"/>
      <c r="I221" s="7"/>
      <c r="J221" s="7"/>
    </row>
    <row r="222" spans="1:10" s="382" customFormat="1" ht="16.5" thickTop="1">
      <c r="B222" s="6"/>
      <c r="C222" s="254">
        <v>1979501</v>
      </c>
      <c r="D222" s="66" t="s">
        <v>161</v>
      </c>
      <c r="E222" s="325">
        <v>0</v>
      </c>
      <c r="F222" s="383"/>
      <c r="G222" s="65" t="s">
        <v>158</v>
      </c>
      <c r="H222" s="7"/>
      <c r="I222" s="12"/>
      <c r="J222" s="12"/>
    </row>
    <row r="223" spans="1:10" s="382" customFormat="1" ht="15.75">
      <c r="C223" s="315">
        <f>C221-C222</f>
        <v>0</v>
      </c>
      <c r="D223" s="66" t="s">
        <v>87</v>
      </c>
      <c r="E223" s="324">
        <f>E221+E222+E207</f>
        <v>-50071.144716029099</v>
      </c>
      <c r="F223" s="383"/>
      <c r="G223" s="8">
        <f>(E207*(D224/12))+(E221*(D224/24))</f>
        <v>-56.390757171690929</v>
      </c>
      <c r="H223" s="7"/>
      <c r="I223" s="8"/>
      <c r="J223" s="10"/>
    </row>
    <row r="224" spans="1:10" s="382" customFormat="1" ht="15.75">
      <c r="C224" s="50"/>
      <c r="D224" s="225">
        <v>0.01</v>
      </c>
      <c r="E224" s="326">
        <f>ROUND(((E207)+(E221)/2)*(D224/12),2)</f>
        <v>-56.39</v>
      </c>
      <c r="F224" s="383"/>
      <c r="G224" s="65"/>
      <c r="H224" s="7"/>
      <c r="I224" s="10"/>
      <c r="J224" s="10"/>
    </row>
    <row r="225" spans="1:10" s="382" customFormat="1" ht="16.5" thickBot="1">
      <c r="A225" s="5"/>
      <c r="B225" s="5"/>
      <c r="C225" s="50" t="s">
        <v>1</v>
      </c>
      <c r="D225" s="143">
        <f>A210</f>
        <v>41487</v>
      </c>
      <c r="E225" s="327">
        <f>SUM(E223:E224)</f>
        <v>-50127.534716029098</v>
      </c>
      <c r="F225" s="383"/>
      <c r="G225" s="7"/>
      <c r="H225" s="7"/>
      <c r="I225" s="8"/>
      <c r="J225" s="7"/>
    </row>
    <row r="226" spans="1:10" ht="16.5" thickTop="1" thickBot="1"/>
    <row r="227" spans="1:10" s="382" customFormat="1" ht="15.75">
      <c r="A227" s="73" t="s">
        <v>142</v>
      </c>
      <c r="B227" s="74"/>
      <c r="C227" s="75"/>
      <c r="D227" s="76"/>
      <c r="E227" s="319"/>
      <c r="G227" s="16"/>
      <c r="H227" s="5"/>
      <c r="I227" s="56"/>
      <c r="J227" s="56"/>
    </row>
    <row r="228" spans="1:10" s="382" customFormat="1" ht="15.75">
      <c r="A228" s="219">
        <v>41518</v>
      </c>
      <c r="B228" s="71"/>
      <c r="C228" s="16"/>
      <c r="D228" s="72" t="s">
        <v>23</v>
      </c>
      <c r="E228" s="320" t="s">
        <v>21</v>
      </c>
      <c r="G228" s="5"/>
      <c r="H228" s="5"/>
      <c r="I228" s="8"/>
      <c r="J228" s="10"/>
    </row>
    <row r="229" spans="1:10" s="382" customFormat="1" ht="16.5" thickBot="1">
      <c r="A229" s="14"/>
      <c r="B229" s="18"/>
      <c r="C229" s="131" t="s">
        <v>21</v>
      </c>
      <c r="D229" s="131" t="s">
        <v>22</v>
      </c>
      <c r="E229" s="321" t="s">
        <v>23</v>
      </c>
      <c r="F229" s="383"/>
      <c r="G229" s="7"/>
      <c r="H229" s="7"/>
      <c r="I229" s="10"/>
      <c r="J229" s="10"/>
    </row>
    <row r="230" spans="1:10" s="382" customFormat="1" ht="15.75">
      <c r="A230" s="2" t="s">
        <v>24</v>
      </c>
      <c r="B230" s="17">
        <v>101</v>
      </c>
      <c r="C230" s="251">
        <v>1338764</v>
      </c>
      <c r="D230" s="387">
        <v>1.7780000000000001E-2</v>
      </c>
      <c r="E230" s="322">
        <v>23803.22392</v>
      </c>
      <c r="F230" s="383"/>
      <c r="G230" s="7"/>
      <c r="H230" s="7"/>
      <c r="I230" s="8"/>
      <c r="J230" s="7"/>
    </row>
    <row r="231" spans="1:10" s="382" customFormat="1" ht="16.5" thickBot="1">
      <c r="A231" s="2" t="s">
        <v>24</v>
      </c>
      <c r="B231" s="17">
        <v>111</v>
      </c>
      <c r="C231" s="251">
        <v>1168974</v>
      </c>
      <c r="D231" s="387">
        <v>1.7780000000000001E-2</v>
      </c>
      <c r="E231" s="322">
        <v>20784.35772</v>
      </c>
      <c r="F231" s="383"/>
      <c r="G231" s="146">
        <f>A228</f>
        <v>41518</v>
      </c>
      <c r="H231" s="147"/>
      <c r="I231" s="147"/>
      <c r="J231" s="147"/>
    </row>
    <row r="232" spans="1:10" s="382" customFormat="1" ht="16.5" thickBot="1">
      <c r="A232" s="2" t="s">
        <v>24</v>
      </c>
      <c r="B232" s="17">
        <v>112</v>
      </c>
      <c r="C232" s="251"/>
      <c r="D232" s="387"/>
      <c r="E232" s="322">
        <v>0</v>
      </c>
      <c r="F232" s="383"/>
      <c r="G232" s="102" t="s">
        <v>25</v>
      </c>
      <c r="H232" s="148"/>
      <c r="I232" s="149" t="s">
        <v>18</v>
      </c>
      <c r="J232" s="150" t="s">
        <v>19</v>
      </c>
    </row>
    <row r="233" spans="1:10" s="382" customFormat="1" ht="15.75">
      <c r="A233" s="2" t="s">
        <v>24</v>
      </c>
      <c r="B233" s="17">
        <v>121</v>
      </c>
      <c r="C233" s="251"/>
      <c r="D233" s="220"/>
      <c r="E233" s="322">
        <v>0</v>
      </c>
      <c r="F233" s="383"/>
      <c r="G233" s="151" t="s">
        <v>28</v>
      </c>
      <c r="H233" s="152" t="s">
        <v>77</v>
      </c>
      <c r="I233" s="108"/>
      <c r="J233" s="392">
        <v>0</v>
      </c>
    </row>
    <row r="234" spans="1:10" s="382" customFormat="1" ht="15.75">
      <c r="A234" s="2" t="s">
        <v>24</v>
      </c>
      <c r="B234" s="17">
        <v>122</v>
      </c>
      <c r="C234" s="252"/>
      <c r="D234" s="220"/>
      <c r="E234" s="322">
        <v>0</v>
      </c>
      <c r="F234" s="383"/>
      <c r="G234" s="153" t="s">
        <v>29</v>
      </c>
      <c r="H234" s="7" t="s">
        <v>78</v>
      </c>
      <c r="I234" s="393">
        <f>-E242</f>
        <v>23.19</v>
      </c>
      <c r="J234" s="222"/>
    </row>
    <row r="235" spans="1:10" s="382" customFormat="1" ht="15.75">
      <c r="A235" s="2" t="s">
        <v>24</v>
      </c>
      <c r="B235" s="17">
        <v>131</v>
      </c>
      <c r="C235" s="251">
        <v>0</v>
      </c>
      <c r="D235" s="387">
        <v>1.6570000000000001E-2</v>
      </c>
      <c r="E235" s="322">
        <v>0</v>
      </c>
      <c r="F235" s="383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2" customFormat="1" ht="15.75">
      <c r="A236" s="2" t="s">
        <v>24</v>
      </c>
      <c r="B236" s="17">
        <v>132</v>
      </c>
      <c r="C236" s="252"/>
      <c r="D236" s="121"/>
      <c r="E236" s="322">
        <v>0</v>
      </c>
      <c r="F236" s="383"/>
      <c r="G236" s="153" t="s">
        <v>10</v>
      </c>
      <c r="H236" s="7" t="s">
        <v>58</v>
      </c>
      <c r="I236" s="7">
        <v>0</v>
      </c>
      <c r="J236" s="109"/>
    </row>
    <row r="237" spans="1:10" s="382" customFormat="1" ht="16.5" thickBot="1">
      <c r="A237" s="2" t="s">
        <v>24</v>
      </c>
      <c r="B237" s="17" t="s">
        <v>61</v>
      </c>
      <c r="C237" s="252"/>
      <c r="D237" s="121"/>
      <c r="E237" s="322">
        <v>0</v>
      </c>
      <c r="F237" s="383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2" customFormat="1" ht="15.75">
      <c r="A238" s="2" t="s">
        <v>156</v>
      </c>
      <c r="B238" s="70"/>
      <c r="C238" s="250"/>
      <c r="D238" s="136"/>
      <c r="E238" s="323">
        <v>0</v>
      </c>
      <c r="F238" s="383"/>
      <c r="G238" s="7"/>
      <c r="H238" s="7"/>
      <c r="I238" s="8"/>
      <c r="J238" s="259">
        <f>ROUND(SUM(I233:J237),2)</f>
        <v>0</v>
      </c>
    </row>
    <row r="239" spans="1:10" s="382" customFormat="1" ht="16.5" thickBot="1">
      <c r="B239" s="6"/>
      <c r="C239" s="253">
        <f>SUM(C230:C238)</f>
        <v>2507738</v>
      </c>
      <c r="D239" s="155"/>
      <c r="E239" s="324">
        <f>SUM(E230:E238)</f>
        <v>44587.581640000004</v>
      </c>
      <c r="F239" s="383"/>
      <c r="G239" s="7"/>
      <c r="H239" s="7"/>
      <c r="I239" s="7"/>
      <c r="J239" s="7"/>
    </row>
    <row r="240" spans="1:10" s="382" customFormat="1" ht="16.5" thickTop="1">
      <c r="B240" s="6"/>
      <c r="C240" s="254">
        <v>2507738</v>
      </c>
      <c r="D240" s="66" t="s">
        <v>161</v>
      </c>
      <c r="E240" s="325">
        <v>0</v>
      </c>
      <c r="F240" s="383"/>
      <c r="G240" s="65" t="s">
        <v>158</v>
      </c>
      <c r="H240" s="7"/>
      <c r="I240" s="12"/>
      <c r="J240" s="12"/>
    </row>
    <row r="241" spans="1:10" s="382" customFormat="1" ht="15.75">
      <c r="C241" s="315">
        <f>C239-C240</f>
        <v>0</v>
      </c>
      <c r="D241" s="66" t="s">
        <v>87</v>
      </c>
      <c r="E241" s="324">
        <f>E239+E240+E225</f>
        <v>-5539.9530760290945</v>
      </c>
      <c r="F241" s="383"/>
      <c r="G241" s="8">
        <f>(E225*(D242/12))+(E239*(D242/24))</f>
        <v>-23.194786580024246</v>
      </c>
      <c r="H241" s="7"/>
      <c r="I241" s="8"/>
      <c r="J241" s="10"/>
    </row>
    <row r="242" spans="1:10" s="382" customFormat="1" ht="15.75">
      <c r="C242" s="50"/>
      <c r="D242" s="225">
        <v>0.01</v>
      </c>
      <c r="E242" s="326">
        <f>ROUND(((E225)+(E239)/2)*(D242/12),2)</f>
        <v>-23.19</v>
      </c>
      <c r="F242" s="383"/>
      <c r="G242" s="65"/>
      <c r="H242" s="7"/>
      <c r="I242" s="10"/>
      <c r="J242" s="10"/>
    </row>
    <row r="243" spans="1:10" s="382" customFormat="1" ht="15.75">
      <c r="A243" s="5"/>
      <c r="B243" s="5"/>
      <c r="C243" s="50" t="s">
        <v>1</v>
      </c>
      <c r="D243" s="143">
        <f>A228</f>
        <v>41518</v>
      </c>
      <c r="E243" s="326">
        <f>SUM(E241:E242)</f>
        <v>-5563.1430760290941</v>
      </c>
      <c r="F243" s="383"/>
      <c r="G243" s="7"/>
      <c r="H243" s="7"/>
      <c r="I243" s="8"/>
      <c r="J243" s="7"/>
    </row>
    <row r="244" spans="1:10" s="382" customFormat="1" ht="15.75">
      <c r="A244" s="5"/>
      <c r="B244" s="5"/>
      <c r="C244" s="50"/>
      <c r="D244" s="459" t="s">
        <v>225</v>
      </c>
      <c r="E244" s="461">
        <f>'ID Def 191010'!C131*-1</f>
        <v>108659.43754694135</v>
      </c>
      <c r="F244" s="383"/>
      <c r="G244" s="7"/>
      <c r="H244" s="7"/>
      <c r="I244" s="8"/>
      <c r="J244" s="7"/>
    </row>
    <row r="245" spans="1:10" s="382" customFormat="1" ht="16.5" thickBot="1">
      <c r="A245" s="5"/>
      <c r="B245" s="5"/>
      <c r="C245" s="50"/>
      <c r="D245" s="459" t="s">
        <v>226</v>
      </c>
      <c r="E245" s="462">
        <f>SUM(E243:E244)</f>
        <v>103096.29447091225</v>
      </c>
      <c r="F245" s="383"/>
      <c r="G245" s="7"/>
      <c r="H245" s="7"/>
      <c r="I245" s="8"/>
      <c r="J245" s="7"/>
    </row>
    <row r="246" spans="1:10" ht="16.5" thickTop="1" thickBot="1"/>
    <row r="247" spans="1:10" s="382" customFormat="1" ht="15.75">
      <c r="A247" s="73" t="s">
        <v>142</v>
      </c>
      <c r="B247" s="74"/>
      <c r="C247" s="75"/>
      <c r="D247" s="76"/>
      <c r="E247" s="319"/>
      <c r="G247" s="16"/>
      <c r="H247" s="5"/>
      <c r="I247" s="56"/>
      <c r="J247" s="56"/>
    </row>
    <row r="248" spans="1:10" s="382" customFormat="1" ht="15.75">
      <c r="A248" s="219">
        <v>41578</v>
      </c>
      <c r="B248" s="71"/>
      <c r="C248" s="16"/>
      <c r="D248" s="72" t="s">
        <v>23</v>
      </c>
      <c r="E248" s="320" t="s">
        <v>21</v>
      </c>
      <c r="G248" s="5"/>
      <c r="H248" s="5"/>
      <c r="I248" s="8"/>
      <c r="J248" s="10"/>
    </row>
    <row r="249" spans="1:10" s="382" customFormat="1" ht="16.5" thickBot="1">
      <c r="A249" s="14"/>
      <c r="B249" s="18"/>
      <c r="C249" s="131" t="s">
        <v>21</v>
      </c>
      <c r="D249" s="131" t="s">
        <v>22</v>
      </c>
      <c r="E249" s="321" t="s">
        <v>23</v>
      </c>
      <c r="F249" s="383"/>
      <c r="G249" s="7"/>
      <c r="H249" s="7"/>
      <c r="I249" s="10"/>
      <c r="J249" s="10"/>
    </row>
    <row r="250" spans="1:10" s="382" customFormat="1" ht="15.75">
      <c r="A250" s="2" t="s">
        <v>24</v>
      </c>
      <c r="B250" s="17">
        <v>101</v>
      </c>
      <c r="C250" s="251">
        <v>4291264</v>
      </c>
      <c r="D250" s="387" t="s">
        <v>187</v>
      </c>
      <c r="E250" s="322">
        <v>2709.04</v>
      </c>
      <c r="F250" s="383"/>
      <c r="G250" s="7"/>
      <c r="H250" s="7"/>
      <c r="I250" s="8"/>
      <c r="J250" s="7"/>
    </row>
    <row r="251" spans="1:10" s="382" customFormat="1" ht="16.5" thickBot="1">
      <c r="A251" s="2" t="s">
        <v>24</v>
      </c>
      <c r="B251" s="17">
        <v>111</v>
      </c>
      <c r="C251" s="251">
        <v>1602282</v>
      </c>
      <c r="D251" s="387" t="s">
        <v>187</v>
      </c>
      <c r="E251" s="322">
        <v>-3558.27</v>
      </c>
      <c r="F251" s="383"/>
      <c r="G251" s="146">
        <f>A248</f>
        <v>41578</v>
      </c>
      <c r="H251" s="147"/>
      <c r="I251" s="147"/>
      <c r="J251" s="147"/>
    </row>
    <row r="252" spans="1:10" s="382" customFormat="1" ht="16.5" thickBot="1">
      <c r="A252" s="2" t="s">
        <v>24</v>
      </c>
      <c r="B252" s="17">
        <v>112</v>
      </c>
      <c r="C252" s="251"/>
      <c r="D252" s="387"/>
      <c r="E252" s="322">
        <v>0</v>
      </c>
      <c r="F252" s="383"/>
      <c r="G252" s="102" t="s">
        <v>25</v>
      </c>
      <c r="H252" s="148"/>
      <c r="I252" s="149" t="s">
        <v>18</v>
      </c>
      <c r="J252" s="150" t="s">
        <v>19</v>
      </c>
    </row>
    <row r="253" spans="1:10" s="382" customFormat="1" ht="15.75">
      <c r="A253" s="2" t="s">
        <v>24</v>
      </c>
      <c r="B253" s="17">
        <v>121</v>
      </c>
      <c r="C253" s="251"/>
      <c r="D253" s="220"/>
      <c r="E253" s="322">
        <v>0</v>
      </c>
      <c r="F253" s="383"/>
      <c r="G253" s="151" t="s">
        <v>28</v>
      </c>
      <c r="H253" s="152" t="s">
        <v>77</v>
      </c>
      <c r="I253" s="108"/>
      <c r="J253" s="392">
        <f>IF(E262&gt;0,-E262,0)</f>
        <v>-93.84</v>
      </c>
    </row>
    <row r="254" spans="1:10" s="382" customFormat="1" ht="15.75">
      <c r="A254" s="2" t="s">
        <v>24</v>
      </c>
      <c r="B254" s="17">
        <v>122</v>
      </c>
      <c r="C254" s="252"/>
      <c r="D254" s="220"/>
      <c r="E254" s="322">
        <v>0</v>
      </c>
      <c r="F254" s="383"/>
      <c r="G254" s="153" t="s">
        <v>29</v>
      </c>
      <c r="H254" s="7" t="s">
        <v>78</v>
      </c>
      <c r="I254" s="393">
        <f>IF(E262&lt;0,-E262,0)</f>
        <v>0</v>
      </c>
      <c r="J254" s="222"/>
    </row>
    <row r="255" spans="1:10" s="382" customFormat="1" ht="15.75">
      <c r="A255" s="2" t="s">
        <v>24</v>
      </c>
      <c r="B255" s="17">
        <v>131</v>
      </c>
      <c r="C255" s="251">
        <v>0</v>
      </c>
      <c r="D255" s="387" t="s">
        <v>187</v>
      </c>
      <c r="E255" s="322">
        <v>0</v>
      </c>
      <c r="F255" s="383"/>
      <c r="G255" s="153" t="s">
        <v>99</v>
      </c>
      <c r="H255" s="7" t="s">
        <v>60</v>
      </c>
      <c r="I255" s="393">
        <f>IF((E245-E261)&gt;0,E245-E261,0)</f>
        <v>0</v>
      </c>
      <c r="J255" s="393">
        <f>IF((E245-E261)&lt;0,E245-E261,0)</f>
        <v>-19013.619999999995</v>
      </c>
    </row>
    <row r="256" spans="1:10" s="382" customFormat="1" ht="15.75">
      <c r="A256" s="2" t="s">
        <v>24</v>
      </c>
      <c r="B256" s="17">
        <v>132</v>
      </c>
      <c r="C256" s="252"/>
      <c r="D256" s="121"/>
      <c r="E256" s="322">
        <v>0</v>
      </c>
      <c r="F256" s="383"/>
      <c r="G256" s="153" t="s">
        <v>10</v>
      </c>
      <c r="H256" s="7" t="s">
        <v>58</v>
      </c>
      <c r="I256" s="7"/>
      <c r="J256" s="458"/>
    </row>
    <row r="257" spans="1:10" s="382" customFormat="1" ht="16.5" thickBot="1">
      <c r="A257" s="2" t="s">
        <v>24</v>
      </c>
      <c r="B257" s="17" t="s">
        <v>61</v>
      </c>
      <c r="C257" s="252"/>
      <c r="D257" s="121"/>
      <c r="E257" s="322">
        <v>0</v>
      </c>
      <c r="F257" s="383"/>
      <c r="G257" s="154" t="s">
        <v>100</v>
      </c>
      <c r="H257" s="147" t="s">
        <v>62</v>
      </c>
      <c r="I257" s="460">
        <f>IF((E263-E245)&gt;0,E263-E245,0)</f>
        <v>19107.459999999992</v>
      </c>
      <c r="J257" s="107">
        <f>IF((E263-E245)&lt;0,E263-E245,0)</f>
        <v>0</v>
      </c>
    </row>
    <row r="258" spans="1:10" s="382" customFormat="1" ht="15.75">
      <c r="A258" s="2" t="s">
        <v>156</v>
      </c>
      <c r="B258" s="70"/>
      <c r="C258" s="250"/>
      <c r="D258" s="136"/>
      <c r="E258" s="323">
        <v>19862.850000000002</v>
      </c>
      <c r="F258" s="383"/>
      <c r="G258" s="7"/>
      <c r="H258" s="7"/>
      <c r="I258" s="8"/>
      <c r="J258" s="259">
        <f>ROUND(SUM(I253:J257),2)</f>
        <v>0</v>
      </c>
    </row>
    <row r="259" spans="1:10" s="382" customFormat="1" ht="16.5" thickBot="1">
      <c r="B259" s="6"/>
      <c r="C259" s="253">
        <f>SUM(C250:C258)</f>
        <v>5893546</v>
      </c>
      <c r="D259" s="155"/>
      <c r="E259" s="324">
        <f>SUM(E250:E258)</f>
        <v>19013.620000000003</v>
      </c>
      <c r="F259" s="383"/>
      <c r="G259" s="7"/>
      <c r="H259" s="7"/>
      <c r="I259" s="7"/>
      <c r="J259" s="7"/>
    </row>
    <row r="260" spans="1:10" s="382" customFormat="1" ht="16.5" thickTop="1">
      <c r="B260" s="6"/>
      <c r="C260" s="254"/>
      <c r="D260" s="66" t="s">
        <v>161</v>
      </c>
      <c r="E260" s="325">
        <v>0</v>
      </c>
      <c r="F260" s="383">
        <f>E251+E250</f>
        <v>-849.23</v>
      </c>
      <c r="G260" s="65" t="s">
        <v>158</v>
      </c>
      <c r="H260" s="7"/>
      <c r="I260" s="12"/>
      <c r="J260" s="12"/>
    </row>
    <row r="261" spans="1:10" s="382" customFormat="1" ht="15.75">
      <c r="C261" s="315">
        <f>C259-C260</f>
        <v>5893546</v>
      </c>
      <c r="D261" s="66" t="s">
        <v>87</v>
      </c>
      <c r="E261" s="324">
        <f>E259+E260+E245</f>
        <v>122109.91447091225</v>
      </c>
      <c r="F261" s="383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2" customFormat="1" ht="15.75">
      <c r="C262" s="50"/>
      <c r="D262" s="225">
        <v>0.01</v>
      </c>
      <c r="E262" s="326">
        <f>ROUND(((E245)+(E259)/2)*(D262/12),2)</f>
        <v>93.84</v>
      </c>
      <c r="F262" s="383"/>
      <c r="G262" s="65"/>
      <c r="H262" s="7"/>
      <c r="I262" s="10"/>
      <c r="J262" s="10"/>
    </row>
    <row r="263" spans="1:10" s="382" customFormat="1" ht="16.5" thickBot="1">
      <c r="A263" s="5"/>
      <c r="B263" s="5"/>
      <c r="C263" s="50" t="s">
        <v>1</v>
      </c>
      <c r="D263" s="143">
        <f>A248</f>
        <v>41578</v>
      </c>
      <c r="E263" s="327">
        <f>SUM(E261:E262)</f>
        <v>122203.75447091224</v>
      </c>
      <c r="F263" s="383"/>
      <c r="G263" s="7"/>
      <c r="H263" s="7"/>
      <c r="I263" s="8"/>
      <c r="J263" s="7"/>
    </row>
    <row r="264" spans="1:10" s="382" customFormat="1" ht="16.5" thickTop="1" thickBot="1">
      <c r="E264" s="318"/>
    </row>
    <row r="265" spans="1:10" s="382" customFormat="1" ht="15.75">
      <c r="A265" s="73" t="s">
        <v>142</v>
      </c>
      <c r="B265" s="74"/>
      <c r="C265" s="75"/>
      <c r="D265" s="76"/>
      <c r="E265" s="319"/>
      <c r="G265" s="16"/>
      <c r="H265" s="5"/>
      <c r="I265" s="56"/>
      <c r="J265" s="56"/>
    </row>
    <row r="266" spans="1:10" s="382" customFormat="1" ht="15.75">
      <c r="A266" s="219">
        <f>EOMONTH(A248,1)</f>
        <v>41608</v>
      </c>
      <c r="B266" s="71"/>
      <c r="C266" s="16"/>
      <c r="D266" s="72" t="s">
        <v>23</v>
      </c>
      <c r="E266" s="320" t="s">
        <v>21</v>
      </c>
      <c r="G266" s="5"/>
      <c r="H266" s="5"/>
      <c r="I266" s="8"/>
      <c r="J266" s="10"/>
    </row>
    <row r="267" spans="1:10" s="382" customFormat="1" ht="16.5" thickBot="1">
      <c r="A267" s="14"/>
      <c r="B267" s="18"/>
      <c r="C267" s="131" t="s">
        <v>21</v>
      </c>
      <c r="D267" s="131" t="s">
        <v>22</v>
      </c>
      <c r="E267" s="321" t="s">
        <v>23</v>
      </c>
      <c r="F267" s="383"/>
      <c r="G267" s="7"/>
      <c r="H267" s="7"/>
      <c r="I267" s="10"/>
      <c r="J267" s="10"/>
    </row>
    <row r="268" spans="1:10" s="382" customFormat="1" ht="15.75">
      <c r="A268" s="2" t="s">
        <v>24</v>
      </c>
      <c r="B268" s="17">
        <v>101</v>
      </c>
      <c r="C268" s="251">
        <v>7085932</v>
      </c>
      <c r="D268" s="387" t="s">
        <v>187</v>
      </c>
      <c r="E268" s="322">
        <v>-478.93</v>
      </c>
      <c r="F268" s="383"/>
      <c r="G268" s="7"/>
      <c r="H268" s="7"/>
      <c r="I268" s="8"/>
      <c r="J268" s="7"/>
    </row>
    <row r="269" spans="1:10" s="382" customFormat="1" ht="16.5" thickBot="1">
      <c r="A269" s="2" t="s">
        <v>24</v>
      </c>
      <c r="B269" s="17">
        <v>111</v>
      </c>
      <c r="C269" s="251">
        <v>2422167</v>
      </c>
      <c r="D269" s="387" t="s">
        <v>187</v>
      </c>
      <c r="E269" s="322">
        <v>80.569999999999993</v>
      </c>
      <c r="F269" s="383"/>
      <c r="G269" s="146">
        <f>A266</f>
        <v>41608</v>
      </c>
      <c r="H269" s="147"/>
      <c r="I269" s="147"/>
      <c r="J269" s="147"/>
    </row>
    <row r="270" spans="1:10" s="382" customFormat="1" ht="16.5" thickBot="1">
      <c r="A270" s="2" t="s">
        <v>24</v>
      </c>
      <c r="B270" s="17">
        <v>112</v>
      </c>
      <c r="C270" s="251"/>
      <c r="D270" s="387"/>
      <c r="E270" s="322">
        <v>0</v>
      </c>
      <c r="F270" s="383"/>
      <c r="G270" s="102" t="s">
        <v>25</v>
      </c>
      <c r="H270" s="148"/>
      <c r="I270" s="149" t="s">
        <v>18</v>
      </c>
      <c r="J270" s="150" t="s">
        <v>19</v>
      </c>
    </row>
    <row r="271" spans="1:10" s="382" customFormat="1" ht="15.75">
      <c r="A271" s="2" t="s">
        <v>24</v>
      </c>
      <c r="B271" s="17">
        <v>121</v>
      </c>
      <c r="C271" s="251"/>
      <c r="D271" s="220"/>
      <c r="E271" s="322">
        <v>0</v>
      </c>
      <c r="F271" s="383"/>
      <c r="G271" s="151" t="s">
        <v>28</v>
      </c>
      <c r="H271" s="152" t="s">
        <v>77</v>
      </c>
      <c r="I271" s="108"/>
      <c r="J271" s="392">
        <f>IF(E280&gt;0,-E280,0)</f>
        <v>-101.67</v>
      </c>
    </row>
    <row r="272" spans="1:10" s="382" customFormat="1" ht="15.75">
      <c r="A272" s="2" t="s">
        <v>24</v>
      </c>
      <c r="B272" s="17">
        <v>122</v>
      </c>
      <c r="C272" s="252"/>
      <c r="D272" s="220"/>
      <c r="E272" s="322">
        <v>0</v>
      </c>
      <c r="F272" s="383"/>
      <c r="G272" s="153" t="s">
        <v>29</v>
      </c>
      <c r="H272" s="7" t="s">
        <v>78</v>
      </c>
      <c r="I272" s="393">
        <f>IF(E280&lt;0,-E280,0)</f>
        <v>0</v>
      </c>
      <c r="J272" s="222"/>
    </row>
    <row r="273" spans="1:10" s="382" customFormat="1" ht="15.75">
      <c r="A273" s="2" t="s">
        <v>24</v>
      </c>
      <c r="B273" s="17">
        <v>131</v>
      </c>
      <c r="C273" s="251">
        <v>0</v>
      </c>
      <c r="D273" s="387" t="s">
        <v>187</v>
      </c>
      <c r="E273" s="322">
        <v>0</v>
      </c>
      <c r="F273" s="383"/>
      <c r="G273" s="153" t="s">
        <v>99</v>
      </c>
      <c r="H273" s="7" t="s">
        <v>60</v>
      </c>
      <c r="I273" s="393">
        <f>IF((E263-E279)&gt;0,E263-E279,0)</f>
        <v>398.36000000000058</v>
      </c>
      <c r="J273" s="393">
        <f>IF((E263-E279)&lt;0,E263-E279,0)</f>
        <v>0</v>
      </c>
    </row>
    <row r="274" spans="1:10" s="382" customFormat="1" ht="15.75">
      <c r="A274" s="2" t="s">
        <v>24</v>
      </c>
      <c r="B274" s="17">
        <v>132</v>
      </c>
      <c r="C274" s="252"/>
      <c r="D274" s="121"/>
      <c r="E274" s="322">
        <v>0</v>
      </c>
      <c r="F274" s="383"/>
      <c r="G274" s="153" t="s">
        <v>10</v>
      </c>
      <c r="H274" s="7" t="s">
        <v>58</v>
      </c>
      <c r="I274" s="7"/>
      <c r="J274" s="458"/>
    </row>
    <row r="275" spans="1:10" s="382" customFormat="1" ht="16.5" thickBot="1">
      <c r="A275" s="2" t="s">
        <v>24</v>
      </c>
      <c r="B275" s="17" t="s">
        <v>61</v>
      </c>
      <c r="C275" s="252"/>
      <c r="D275" s="121"/>
      <c r="E275" s="322">
        <v>0</v>
      </c>
      <c r="F275" s="383"/>
      <c r="G275" s="154" t="s">
        <v>100</v>
      </c>
      <c r="H275" s="147" t="s">
        <v>62</v>
      </c>
      <c r="I275" s="460">
        <f>IF((E281-E263)&gt;0,E281-E263,0)</f>
        <v>0</v>
      </c>
      <c r="J275" s="107">
        <f>IF((E281-E263)&lt;0,E281-E263,0)</f>
        <v>-296.69000000000233</v>
      </c>
    </row>
    <row r="276" spans="1:10" s="382" customFormat="1" ht="15.75">
      <c r="A276" s="2" t="s">
        <v>156</v>
      </c>
      <c r="B276" s="70"/>
      <c r="C276" s="250"/>
      <c r="D276" s="136"/>
      <c r="E276" s="323">
        <v>0</v>
      </c>
      <c r="F276" s="383"/>
      <c r="G276" s="7"/>
      <c r="H276" s="7"/>
      <c r="I276" s="8"/>
      <c r="J276" s="259">
        <f>ROUND(SUM(I271:J275),2)</f>
        <v>0</v>
      </c>
    </row>
    <row r="277" spans="1:10" s="382" customFormat="1" ht="16.5" thickBot="1">
      <c r="B277" s="6"/>
      <c r="C277" s="253">
        <f>SUM(C268:C276)</f>
        <v>9508099</v>
      </c>
      <c r="D277" s="155"/>
      <c r="E277" s="324">
        <f>SUM(E268:E276)</f>
        <v>-398.36</v>
      </c>
      <c r="F277" s="383"/>
      <c r="G277" s="7"/>
      <c r="H277" s="7"/>
      <c r="I277" s="7"/>
      <c r="J277" s="7"/>
    </row>
    <row r="278" spans="1:10" s="382" customFormat="1" ht="16.5" thickTop="1">
      <c r="B278" s="6"/>
      <c r="C278" s="254">
        <v>9508099</v>
      </c>
      <c r="D278" s="66" t="s">
        <v>161</v>
      </c>
      <c r="E278" s="325">
        <v>0</v>
      </c>
      <c r="F278" s="383"/>
      <c r="G278" s="65" t="s">
        <v>158</v>
      </c>
      <c r="H278" s="7"/>
      <c r="I278" s="12"/>
      <c r="J278" s="12"/>
    </row>
    <row r="279" spans="1:10" s="382" customFormat="1" ht="15.75">
      <c r="C279" s="315">
        <f>C277-C278</f>
        <v>0</v>
      </c>
      <c r="D279" s="66" t="s">
        <v>87</v>
      </c>
      <c r="E279" s="324">
        <f>E277+E278+E263</f>
        <v>121805.39447091224</v>
      </c>
      <c r="F279" s="383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2" customFormat="1" ht="15.75">
      <c r="C280" s="50"/>
      <c r="D280" s="225">
        <v>0.01</v>
      </c>
      <c r="E280" s="326">
        <f>ROUND(((E263)+(E277)/2)*(D280/12),2)</f>
        <v>101.67</v>
      </c>
      <c r="F280" s="383"/>
      <c r="G280" s="65"/>
      <c r="H280" s="7"/>
      <c r="I280" s="10"/>
      <c r="J280" s="10"/>
    </row>
    <row r="281" spans="1:10" s="382" customFormat="1" ht="16.5" thickBot="1">
      <c r="A281" s="5"/>
      <c r="B281" s="5"/>
      <c r="C281" s="50" t="s">
        <v>1</v>
      </c>
      <c r="D281" s="143">
        <f>A266</f>
        <v>41608</v>
      </c>
      <c r="E281" s="327">
        <f>SUM(E279:E280)</f>
        <v>121907.06447091224</v>
      </c>
      <c r="F281" s="383"/>
      <c r="G281" s="7"/>
      <c r="H281" s="7"/>
      <c r="I281" s="8"/>
      <c r="J281" s="7"/>
    </row>
    <row r="282" spans="1:10" s="382" customFormat="1" ht="16.5" thickTop="1" thickBot="1">
      <c r="E282" s="318"/>
    </row>
    <row r="283" spans="1:10" s="382" customFormat="1" ht="15.75">
      <c r="A283" s="73" t="s">
        <v>142</v>
      </c>
      <c r="B283" s="74"/>
      <c r="C283" s="75"/>
      <c r="D283" s="76"/>
      <c r="E283" s="319"/>
      <c r="G283" s="16"/>
      <c r="H283" s="5"/>
      <c r="I283" s="56"/>
      <c r="J283" s="56"/>
    </row>
    <row r="284" spans="1:10" s="382" customFormat="1" ht="15.75">
      <c r="A284" s="219">
        <f>EOMONTH(A266,1)</f>
        <v>41639</v>
      </c>
      <c r="B284" s="71"/>
      <c r="C284" s="16"/>
      <c r="D284" s="72" t="s">
        <v>23</v>
      </c>
      <c r="E284" s="320" t="s">
        <v>21</v>
      </c>
      <c r="G284" s="5"/>
      <c r="H284" s="5"/>
      <c r="I284" s="8"/>
      <c r="J284" s="10"/>
    </row>
    <row r="285" spans="1:10" s="382" customFormat="1" ht="16.5" thickBot="1">
      <c r="A285" s="14"/>
      <c r="B285" s="18"/>
      <c r="C285" s="131" t="s">
        <v>21</v>
      </c>
      <c r="D285" s="131" t="s">
        <v>22</v>
      </c>
      <c r="E285" s="321" t="s">
        <v>23</v>
      </c>
      <c r="F285" s="383"/>
      <c r="G285" s="7"/>
      <c r="H285" s="7"/>
      <c r="I285" s="10"/>
      <c r="J285" s="10"/>
    </row>
    <row r="286" spans="1:10" s="382" customFormat="1" ht="15.75">
      <c r="A286" s="2" t="s">
        <v>24</v>
      </c>
      <c r="B286" s="17">
        <v>101</v>
      </c>
      <c r="C286" s="251">
        <f>Jan!$K$23</f>
        <v>8822773</v>
      </c>
      <c r="D286" s="387">
        <v>-1.4999999999999999E-4</v>
      </c>
      <c r="E286" s="322">
        <f>C286*D286</f>
        <v>-1323.4159499999998</v>
      </c>
      <c r="F286" s="383"/>
      <c r="G286" s="7"/>
      <c r="H286" s="7"/>
      <c r="I286" s="8"/>
      <c r="J286" s="7"/>
    </row>
    <row r="287" spans="1:10" s="382" customFormat="1" ht="16.5" thickBot="1">
      <c r="A287" s="2" t="s">
        <v>24</v>
      </c>
      <c r="B287" s="17">
        <v>111</v>
      </c>
      <c r="C287" s="251">
        <f>Jan!$K$24</f>
        <v>2761366</v>
      </c>
      <c r="D287" s="387">
        <v>-1.4999999999999999E-4</v>
      </c>
      <c r="E287" s="322">
        <f t="shared" ref="E287:E293" si="5">C287*D287</f>
        <v>-414.20489999999995</v>
      </c>
      <c r="F287" s="383"/>
      <c r="G287" s="146">
        <f>A284</f>
        <v>41639</v>
      </c>
      <c r="H287" s="147"/>
      <c r="I287" s="147"/>
      <c r="J287" s="147"/>
    </row>
    <row r="288" spans="1:10" s="382" customFormat="1" ht="16.5" thickBot="1">
      <c r="A288" s="2" t="s">
        <v>24</v>
      </c>
      <c r="B288" s="17">
        <v>112</v>
      </c>
      <c r="C288" s="251"/>
      <c r="D288" s="387"/>
      <c r="E288" s="322">
        <f t="shared" si="5"/>
        <v>0</v>
      </c>
      <c r="F288" s="383"/>
      <c r="G288" s="102" t="s">
        <v>25</v>
      </c>
      <c r="H288" s="148"/>
      <c r="I288" s="149" t="s">
        <v>18</v>
      </c>
      <c r="J288" s="150" t="s">
        <v>19</v>
      </c>
    </row>
    <row r="289" spans="1:10" s="382" customFormat="1" ht="15.75">
      <c r="A289" s="2" t="s">
        <v>24</v>
      </c>
      <c r="B289" s="17">
        <v>121</v>
      </c>
      <c r="C289" s="251"/>
      <c r="D289" s="220"/>
      <c r="E289" s="322">
        <f t="shared" si="5"/>
        <v>0</v>
      </c>
      <c r="F289" s="383"/>
      <c r="G289" s="151" t="s">
        <v>28</v>
      </c>
      <c r="H289" s="152" t="s">
        <v>77</v>
      </c>
      <c r="I289" s="108"/>
      <c r="J289" s="392">
        <f>IF(E298&gt;0,-E298,0)</f>
        <v>-100.87</v>
      </c>
    </row>
    <row r="290" spans="1:10" s="382" customFormat="1" ht="15.75">
      <c r="A290" s="2" t="s">
        <v>24</v>
      </c>
      <c r="B290" s="17">
        <v>122</v>
      </c>
      <c r="C290" s="252"/>
      <c r="D290" s="220"/>
      <c r="E290" s="322">
        <f t="shared" si="5"/>
        <v>0</v>
      </c>
      <c r="F290" s="383"/>
      <c r="G290" s="153" t="s">
        <v>29</v>
      </c>
      <c r="H290" s="7" t="s">
        <v>78</v>
      </c>
      <c r="I290" s="393">
        <f>IF(E298&lt;0,-E298,0)</f>
        <v>0</v>
      </c>
      <c r="J290" s="222"/>
    </row>
    <row r="291" spans="1:10" s="382" customFormat="1" ht="15.75">
      <c r="A291" s="2" t="s">
        <v>24</v>
      </c>
      <c r="B291" s="17">
        <v>131</v>
      </c>
      <c r="C291" s="251">
        <f>Jan!$K$41</f>
        <v>0</v>
      </c>
      <c r="D291" s="387">
        <v>1.042E-2</v>
      </c>
      <c r="E291" s="322">
        <f t="shared" si="5"/>
        <v>0</v>
      </c>
      <c r="F291" s="383"/>
      <c r="G291" s="153" t="s">
        <v>99</v>
      </c>
      <c r="H291" s="7" t="s">
        <v>60</v>
      </c>
      <c r="I291" s="393">
        <f>IF((E281-E297)&gt;0,E281-E297,0)</f>
        <v>1737.6208500000066</v>
      </c>
      <c r="J291" s="393">
        <f>IF((E281-E297)&lt;0,E281-E297,0)</f>
        <v>0</v>
      </c>
    </row>
    <row r="292" spans="1:10" s="382" customFormat="1" ht="15.75">
      <c r="A292" s="2" t="s">
        <v>24</v>
      </c>
      <c r="B292" s="17">
        <v>132</v>
      </c>
      <c r="C292" s="252"/>
      <c r="D292" s="121"/>
      <c r="E292" s="322">
        <f t="shared" si="5"/>
        <v>0</v>
      </c>
      <c r="F292" s="383"/>
      <c r="G292" s="153" t="s">
        <v>10</v>
      </c>
      <c r="H292" s="7" t="s">
        <v>58</v>
      </c>
      <c r="I292" s="7"/>
      <c r="J292" s="458"/>
    </row>
    <row r="293" spans="1:10" s="382" customFormat="1" ht="16.5" thickBot="1">
      <c r="A293" s="2" t="s">
        <v>24</v>
      </c>
      <c r="B293" s="17" t="s">
        <v>61</v>
      </c>
      <c r="C293" s="252"/>
      <c r="D293" s="121"/>
      <c r="E293" s="322">
        <f t="shared" si="5"/>
        <v>0</v>
      </c>
      <c r="F293" s="383"/>
      <c r="G293" s="154" t="s">
        <v>100</v>
      </c>
      <c r="H293" s="147" t="s">
        <v>62</v>
      </c>
      <c r="I293" s="460">
        <f>IF((E299-E281)&gt;0,E299-E281,0)</f>
        <v>0</v>
      </c>
      <c r="J293" s="107">
        <f>IF((E299-E281)&lt;0,E299-E281,0)</f>
        <v>-1636.7508500000113</v>
      </c>
    </row>
    <row r="294" spans="1:10" s="382" customFormat="1" ht="15.75">
      <c r="A294" s="2" t="s">
        <v>156</v>
      </c>
      <c r="B294" s="70"/>
      <c r="C294" s="250"/>
      <c r="D294" s="136"/>
      <c r="E294" s="323">
        <v>0</v>
      </c>
      <c r="F294" s="383"/>
      <c r="G294" s="7"/>
      <c r="H294" s="7"/>
      <c r="I294" s="8"/>
      <c r="J294" s="259">
        <f>ROUND(SUM(I289:J293),2)</f>
        <v>0</v>
      </c>
    </row>
    <row r="295" spans="1:10" s="382" customFormat="1" ht="16.5" thickBot="1">
      <c r="B295" s="6"/>
      <c r="C295" s="253">
        <f>SUM(C286:C294)</f>
        <v>11584139</v>
      </c>
      <c r="D295" s="155"/>
      <c r="E295" s="324">
        <f>SUM(E286:E294)</f>
        <v>-1737.6208499999998</v>
      </c>
      <c r="F295" s="383"/>
      <c r="G295" s="7"/>
      <c r="H295" s="7"/>
      <c r="I295" s="7"/>
      <c r="J295" s="7"/>
    </row>
    <row r="296" spans="1:10" s="382" customFormat="1" ht="16.5" thickTop="1">
      <c r="B296" s="6"/>
      <c r="C296" s="254">
        <v>13760186</v>
      </c>
      <c r="D296" s="66" t="s">
        <v>161</v>
      </c>
      <c r="E296" s="325">
        <v>0</v>
      </c>
      <c r="F296" s="383"/>
      <c r="G296" s="65" t="s">
        <v>158</v>
      </c>
      <c r="H296" s="7"/>
      <c r="I296" s="12"/>
      <c r="J296" s="12"/>
    </row>
    <row r="297" spans="1:10" s="382" customFormat="1" ht="15.75">
      <c r="C297" s="315">
        <f>C295-C296</f>
        <v>-2176047</v>
      </c>
      <c r="D297" s="66" t="s">
        <v>87</v>
      </c>
      <c r="E297" s="324">
        <f>E295+E296+E281</f>
        <v>120169.44362091224</v>
      </c>
      <c r="F297" s="383"/>
      <c r="G297" s="8">
        <f>(E279*(D298/12))+(E295*(D298/24))</f>
        <v>100.78048670492687</v>
      </c>
      <c r="H297" s="7">
        <f>E298-G297</f>
        <v>8.9513295073132326E-2</v>
      </c>
      <c r="I297" s="8"/>
      <c r="J297" s="10"/>
    </row>
    <row r="298" spans="1:10" s="382" customFormat="1" ht="15.75">
      <c r="C298" s="50"/>
      <c r="D298" s="225">
        <v>0.01</v>
      </c>
      <c r="E298" s="326">
        <f>ROUND(((E281)+(E295)/2)*(D298/12),2)</f>
        <v>100.87</v>
      </c>
      <c r="F298" s="383"/>
      <c r="G298" s="65"/>
      <c r="H298" s="7"/>
      <c r="I298" s="10"/>
      <c r="J298" s="10"/>
    </row>
    <row r="299" spans="1:10" s="382" customFormat="1" ht="16.5" thickBot="1">
      <c r="A299" s="5"/>
      <c r="B299" s="5"/>
      <c r="C299" s="50" t="s">
        <v>1</v>
      </c>
      <c r="D299" s="143">
        <f>A284</f>
        <v>41639</v>
      </c>
      <c r="E299" s="327">
        <f>SUM(E297:E298)</f>
        <v>120270.31362091223</v>
      </c>
      <c r="F299" s="383"/>
      <c r="G299" s="473" t="s">
        <v>244</v>
      </c>
      <c r="H299" s="474" t="e">
        <f>_xll.Get_Balance(I299,"YTD","USD","Total","A","","001","191000","GD","ID","DL")-E299</f>
        <v>#VALUE!</v>
      </c>
      <c r="I299" s="475">
        <v>201312</v>
      </c>
      <c r="J299" s="7"/>
    </row>
    <row r="300" spans="1:10" ht="15.75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6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5546875" defaultRowHeight="15"/>
  <cols>
    <col min="1" max="1" width="12.42578125" style="53" customWidth="1"/>
    <col min="2" max="2" width="39.85546875" style="1" customWidth="1"/>
    <col min="3" max="3" width="24.85546875" style="1" customWidth="1"/>
    <col min="4" max="4" width="20.140625" style="1" bestFit="1" customWidth="1"/>
    <col min="5" max="5" width="19.7109375" style="1" customWidth="1"/>
    <col min="6" max="6" width="16.7109375" style="1" customWidth="1"/>
    <col min="7" max="7" width="16.7109375" style="1" hidden="1" customWidth="1"/>
    <col min="8" max="8" width="13.140625" style="1" hidden="1" customWidth="1"/>
    <col min="9" max="9" width="14.28515625" style="1" hidden="1" customWidth="1"/>
    <col min="10" max="10" width="16" style="1" hidden="1" customWidth="1"/>
    <col min="11" max="11" width="11.28515625" style="1" hidden="1" customWidth="1"/>
    <col min="12" max="12" width="25.7109375" style="1" bestFit="1" customWidth="1"/>
    <col min="13" max="13" width="18" style="52" customWidth="1"/>
    <col min="14" max="14" width="3.140625" style="1" customWidth="1"/>
    <col min="15" max="15" width="25.85546875" style="1" customWidth="1"/>
    <col min="16" max="16" width="20.28515625" style="1" customWidth="1"/>
    <col min="17" max="17" width="19.85546875" style="1" customWidth="1"/>
    <col min="18" max="18" width="20" style="1" customWidth="1"/>
    <col min="19" max="16384" width="9.85546875" style="1"/>
  </cols>
  <sheetData>
    <row r="1" spans="1:18" ht="18.75" customHeight="1">
      <c r="A1" s="51" t="s">
        <v>13</v>
      </c>
    </row>
    <row r="2" spans="1:18" ht="15.75">
      <c r="A2" s="51" t="s">
        <v>0</v>
      </c>
    </row>
    <row r="3" spans="1:18" ht="15.75">
      <c r="A3" s="51" t="s">
        <v>15</v>
      </c>
    </row>
    <row r="4" spans="1:18" ht="15.75">
      <c r="A4" s="51" t="s">
        <v>104</v>
      </c>
    </row>
    <row r="5" spans="1:18" ht="15.75">
      <c r="C5" s="55" t="s">
        <v>21</v>
      </c>
      <c r="D5" s="55" t="s">
        <v>2</v>
      </c>
      <c r="E5" s="55" t="s">
        <v>3</v>
      </c>
      <c r="F5" s="55"/>
      <c r="J5" s="46"/>
    </row>
    <row r="6" spans="1:18" ht="15.75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75">
      <c r="A7" s="62"/>
      <c r="B7" s="69"/>
      <c r="C7" s="55"/>
      <c r="D7" s="55"/>
      <c r="E7" s="55"/>
      <c r="O7" s="92"/>
      <c r="P7" s="91"/>
      <c r="Q7" s="19"/>
      <c r="R7" s="19"/>
    </row>
    <row r="8" spans="1:18" s="329" customFormat="1" ht="16.5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1"/>
      <c r="O8" s="331"/>
      <c r="P8" s="331"/>
      <c r="Q8" s="331"/>
      <c r="R8" s="19"/>
    </row>
    <row r="9" spans="1:18" s="382" customFormat="1" ht="16.5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3"/>
      <c r="O9" s="383"/>
      <c r="P9" s="383"/>
      <c r="Q9" s="383"/>
      <c r="R9" s="383"/>
    </row>
    <row r="10" spans="1:18" s="382" customFormat="1" ht="15.75">
      <c r="A10" s="255"/>
      <c r="B10" s="161" t="s">
        <v>11</v>
      </c>
      <c r="C10" s="203">
        <v>7340824.0093394704</v>
      </c>
      <c r="D10" s="203">
        <v>4103157.0665184702</v>
      </c>
      <c r="E10" s="203">
        <v>3134193.9628209998</v>
      </c>
      <c r="F10" s="203">
        <v>103472.98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/>
      <c r="N10" s="203"/>
      <c r="O10" s="202"/>
      <c r="P10" s="202"/>
      <c r="Q10" s="202"/>
      <c r="R10" s="202"/>
    </row>
    <row r="11" spans="1:18" s="382" customFormat="1" ht="16.5" thickBot="1">
      <c r="A11" s="255"/>
      <c r="B11" s="161" t="s">
        <v>210</v>
      </c>
      <c r="C11" s="388">
        <f>SUM(C8:C10)</f>
        <v>1284248.2439077934</v>
      </c>
      <c r="D11" s="388">
        <f>SUM(D8:D10)</f>
        <v>-2588095.0262362086</v>
      </c>
      <c r="E11" s="388">
        <f>SUM(E8:E10)</f>
        <v>3943363.3301439993</v>
      </c>
      <c r="F11" s="388">
        <f>SUM(F8:F10)</f>
        <v>-71020.060000000012</v>
      </c>
      <c r="G11" s="388">
        <v>0</v>
      </c>
      <c r="H11" s="388">
        <v>0</v>
      </c>
      <c r="I11" s="388">
        <v>0</v>
      </c>
      <c r="J11" s="388">
        <v>0</v>
      </c>
      <c r="K11" s="388">
        <v>0</v>
      </c>
      <c r="L11" s="388">
        <f>SUM(L8:L10)</f>
        <v>0</v>
      </c>
      <c r="M11" s="388"/>
      <c r="N11" s="388"/>
      <c r="O11" s="202"/>
      <c r="P11" s="202"/>
      <c r="Q11" s="202"/>
      <c r="R11" s="202"/>
    </row>
    <row r="12" spans="1:18" ht="16.5" thickTop="1" thickBot="1"/>
    <row r="13" spans="1:18" s="382" customFormat="1" ht="16.5" thickBot="1">
      <c r="A13" s="58">
        <v>41243</v>
      </c>
      <c r="B13" s="59" t="s">
        <v>84</v>
      </c>
      <c r="C13" s="50">
        <f>SUM(D13:L13)</f>
        <v>1615352.97</v>
      </c>
      <c r="D13" s="243">
        <v>1685691.83</v>
      </c>
      <c r="E13" s="243">
        <v>-70338.86</v>
      </c>
      <c r="F13" s="161">
        <v>0</v>
      </c>
      <c r="G13" s="161"/>
      <c r="H13" s="161"/>
      <c r="I13" s="161"/>
      <c r="J13" s="386"/>
      <c r="K13" s="161"/>
      <c r="L13" s="161">
        <v>0</v>
      </c>
      <c r="M13" s="133"/>
      <c r="N13" s="50"/>
      <c r="O13" s="334" t="s">
        <v>106</v>
      </c>
      <c r="P13" s="93"/>
      <c r="Q13" s="93"/>
      <c r="R13" s="94"/>
    </row>
    <row r="14" spans="1:18" s="382" customFormat="1" ht="15.75">
      <c r="A14" s="58"/>
      <c r="B14" s="59" t="s">
        <v>148</v>
      </c>
      <c r="C14" s="50">
        <f>SUM(D14:F14)</f>
        <v>0</v>
      </c>
      <c r="D14" s="240"/>
      <c r="E14" s="240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5" t="s">
        <v>211</v>
      </c>
      <c r="P14" s="337" t="s">
        <v>27</v>
      </c>
      <c r="Q14" s="333">
        <v>0</v>
      </c>
      <c r="R14" s="335">
        <f>-C10</f>
        <v>-7340824.0093394704</v>
      </c>
    </row>
    <row r="15" spans="1:18" s="382" customFormat="1" ht="15.75">
      <c r="A15" s="58"/>
      <c r="B15" s="20" t="s">
        <v>157</v>
      </c>
      <c r="C15" s="50">
        <f>SUM(D15:L15)</f>
        <v>0</v>
      </c>
      <c r="D15" s="241">
        <v>0</v>
      </c>
      <c r="E15" s="240"/>
      <c r="F15" s="161"/>
      <c r="G15" s="161"/>
      <c r="H15" s="161"/>
      <c r="I15" s="161"/>
      <c r="J15" s="161"/>
      <c r="K15" s="161"/>
      <c r="L15" s="161"/>
      <c r="M15" s="133"/>
      <c r="N15" s="50"/>
      <c r="O15" s="332" t="s">
        <v>79</v>
      </c>
      <c r="P15" s="337" t="s">
        <v>17</v>
      </c>
      <c r="Q15" s="333">
        <f>IF((-C8+C19)&gt;0,(-C8+C19),0)</f>
        <v>8961842.60933947</v>
      </c>
      <c r="R15" s="335">
        <f>IF((-C8+C19)&lt;0,(-C8+C19),0)</f>
        <v>0</v>
      </c>
    </row>
    <row r="16" spans="1:18" s="382" customFormat="1" ht="15.75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2">
        <v>0</v>
      </c>
      <c r="M16" s="134"/>
      <c r="N16" s="50"/>
      <c r="O16" s="338" t="s">
        <v>80</v>
      </c>
      <c r="P16" s="337" t="s">
        <v>20</v>
      </c>
      <c r="Q16" s="112">
        <f>IF((C13+C14)&lt;0,(-C13-C14),0)</f>
        <v>0</v>
      </c>
      <c r="R16" s="335">
        <f>IF((C13+C14)&gt;0,(-C13-C14),0)</f>
        <v>-1615352.97</v>
      </c>
    </row>
    <row r="17" spans="1:18" s="382" customFormat="1" ht="15.75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2">
        <v>0</v>
      </c>
      <c r="M17" s="134"/>
      <c r="N17" s="50"/>
      <c r="O17" s="340" t="s">
        <v>82</v>
      </c>
      <c r="P17" s="337" t="s">
        <v>75</v>
      </c>
      <c r="Q17" s="342">
        <v>0</v>
      </c>
      <c r="R17" s="335">
        <f>IF(C18&gt;0,-C18,0)</f>
        <v>-5665.63</v>
      </c>
    </row>
    <row r="18" spans="1:18" s="382" customFormat="1" ht="16.5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4"/>
      <c r="M18" s="237">
        <v>3.2500000000000001E-2</v>
      </c>
      <c r="N18" s="50"/>
      <c r="O18" s="341" t="s">
        <v>83</v>
      </c>
      <c r="P18" s="339" t="s">
        <v>76</v>
      </c>
      <c r="Q18" s="116">
        <f>IF(-C18&gt;0,-C18,0)</f>
        <v>0</v>
      </c>
      <c r="R18" s="116">
        <f>IF(C18&gt;0,0,0)</f>
        <v>0</v>
      </c>
    </row>
    <row r="19" spans="1:18" s="382" customFormat="1" ht="16.5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3"/>
      <c r="O19" s="383"/>
      <c r="P19" s="383"/>
      <c r="Q19" s="383"/>
      <c r="R19" s="336">
        <f>ROUND(SUM(Q14:R18),2)</f>
        <v>0</v>
      </c>
    </row>
    <row r="20" spans="1:18" ht="16.5" thickTop="1" thickBot="1"/>
    <row r="21" spans="1:18" s="382" customFormat="1" ht="16.5" thickBot="1">
      <c r="A21" s="58">
        <v>41274</v>
      </c>
      <c r="B21" s="59" t="s">
        <v>84</v>
      </c>
      <c r="C21" s="50">
        <f>SUM(D21:L21)</f>
        <v>338391.8734309976</v>
      </c>
      <c r="D21" s="243">
        <v>1143938.5575779974</v>
      </c>
      <c r="E21" s="243">
        <v>-805546.68414699985</v>
      </c>
      <c r="F21" s="161">
        <v>0</v>
      </c>
      <c r="G21" s="161"/>
      <c r="H21" s="161"/>
      <c r="I21" s="161"/>
      <c r="J21" s="386"/>
      <c r="K21" s="161"/>
      <c r="L21" s="161">
        <v>0</v>
      </c>
      <c r="M21" s="133"/>
      <c r="N21" s="50"/>
      <c r="O21" s="334" t="s">
        <v>106</v>
      </c>
      <c r="P21" s="93"/>
      <c r="Q21" s="93"/>
      <c r="R21" s="94"/>
    </row>
    <row r="22" spans="1:18" s="382" customFormat="1" ht="15.75">
      <c r="A22" s="58"/>
      <c r="B22" s="59" t="s">
        <v>148</v>
      </c>
      <c r="C22" s="50">
        <f>SUM(D22:F22)</f>
        <v>0</v>
      </c>
      <c r="D22" s="240"/>
      <c r="E22" s="240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5" t="s">
        <v>211</v>
      </c>
      <c r="P22" s="337" t="s">
        <v>27</v>
      </c>
      <c r="Q22" s="333">
        <v>0</v>
      </c>
      <c r="R22" s="335">
        <v>0</v>
      </c>
    </row>
    <row r="23" spans="1:18" s="382" customFormat="1" ht="15.75">
      <c r="A23" s="58"/>
      <c r="B23" s="20" t="s">
        <v>157</v>
      </c>
      <c r="C23" s="50">
        <f>SUM(D23:L23)</f>
        <v>0</v>
      </c>
      <c r="D23" s="241">
        <v>0</v>
      </c>
      <c r="E23" s="240"/>
      <c r="F23" s="161"/>
      <c r="G23" s="161"/>
      <c r="H23" s="161"/>
      <c r="I23" s="161"/>
      <c r="J23" s="161"/>
      <c r="K23" s="161"/>
      <c r="L23" s="161"/>
      <c r="M23" s="133"/>
      <c r="N23" s="50"/>
      <c r="O23" s="332" t="s">
        <v>79</v>
      </c>
      <c r="P23" s="337" t="s">
        <v>17</v>
      </c>
      <c r="Q23" s="333">
        <f>IF((-C19+C27)&gt;0,(-C19+C27),0)</f>
        <v>346718.54343099752</v>
      </c>
      <c r="R23" s="335">
        <f>IF((-C16+C27)&lt;0,(-C16+C27),0)</f>
        <v>0</v>
      </c>
    </row>
    <row r="24" spans="1:18" s="382" customFormat="1" ht="15.75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2">
        <v>0</v>
      </c>
      <c r="M24" s="134"/>
      <c r="N24" s="50"/>
      <c r="O24" s="338" t="s">
        <v>80</v>
      </c>
      <c r="P24" s="337" t="s">
        <v>20</v>
      </c>
      <c r="Q24" s="112">
        <f>IF((C21+C22)&lt;0,(-C21-C22),0)</f>
        <v>0</v>
      </c>
      <c r="R24" s="335">
        <f>IF((C21+C22)&gt;0,(-C21-C22),0)</f>
        <v>-338391.8734309976</v>
      </c>
    </row>
    <row r="25" spans="1:18" s="382" customFormat="1" ht="15.75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2">
        <v>0</v>
      </c>
      <c r="M25" s="134"/>
      <c r="N25" s="50"/>
      <c r="O25" s="340" t="s">
        <v>82</v>
      </c>
      <c r="P25" s="337" t="s">
        <v>75</v>
      </c>
      <c r="Q25" s="342">
        <v>0</v>
      </c>
      <c r="R25" s="335">
        <f>IF(C26&gt;0,-C26,0)</f>
        <v>-8326.67</v>
      </c>
    </row>
    <row r="26" spans="1:18" s="382" customFormat="1" ht="16.5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4"/>
      <c r="M26" s="237">
        <v>3.2500000000000001E-2</v>
      </c>
      <c r="N26" s="50"/>
      <c r="O26" s="341" t="s">
        <v>83</v>
      </c>
      <c r="P26" s="339" t="s">
        <v>76</v>
      </c>
      <c r="Q26" s="116">
        <f>IF(-C26&gt;0,-C26,0)</f>
        <v>0</v>
      </c>
      <c r="R26" s="116">
        <f>IF(C26&gt;0,0,0)</f>
        <v>0</v>
      </c>
    </row>
    <row r="27" spans="1:18" s="382" customFormat="1" ht="16.5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3"/>
      <c r="O27" s="383"/>
      <c r="P27" s="383"/>
      <c r="Q27" s="383"/>
      <c r="R27" s="336">
        <f>ROUND(SUM(Q22:R26),2)</f>
        <v>0</v>
      </c>
    </row>
    <row r="28" spans="1:18" s="382" customFormat="1" ht="16.5" thickTop="1" thickBot="1">
      <c r="A28" s="53"/>
      <c r="M28" s="52"/>
    </row>
    <row r="29" spans="1:18" s="382" customFormat="1" ht="16.5" thickBot="1">
      <c r="A29" s="58">
        <v>41305</v>
      </c>
      <c r="B29" s="59" t="s">
        <v>84</v>
      </c>
      <c r="C29" s="50">
        <f>SUM(D29:L29)</f>
        <v>-3227933.8735419996</v>
      </c>
      <c r="D29" s="243">
        <v>-1853906.027032</v>
      </c>
      <c r="E29" s="243">
        <v>-1374027.8465099994</v>
      </c>
      <c r="F29" s="161">
        <v>0</v>
      </c>
      <c r="G29" s="161"/>
      <c r="H29" s="161"/>
      <c r="I29" s="161"/>
      <c r="J29" s="386"/>
      <c r="K29" s="161"/>
      <c r="L29" s="161">
        <v>0</v>
      </c>
      <c r="M29" s="133"/>
      <c r="N29" s="50"/>
      <c r="O29" s="334" t="s">
        <v>106</v>
      </c>
      <c r="P29" s="93"/>
      <c r="Q29" s="93"/>
      <c r="R29" s="94"/>
    </row>
    <row r="30" spans="1:18" s="382" customFormat="1" ht="15.75">
      <c r="A30" s="58"/>
      <c r="B30" s="59" t="s">
        <v>148</v>
      </c>
      <c r="C30" s="50">
        <f>SUM(D30:F30)</f>
        <v>0</v>
      </c>
      <c r="D30" s="240"/>
      <c r="E30" s="240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5" t="s">
        <v>211</v>
      </c>
      <c r="P30" s="337" t="s">
        <v>27</v>
      </c>
      <c r="Q30" s="333">
        <v>0</v>
      </c>
      <c r="R30" s="335">
        <v>0</v>
      </c>
    </row>
    <row r="31" spans="1:18" s="382" customFormat="1" ht="15.75">
      <c r="A31" s="58"/>
      <c r="B31" s="20" t="s">
        <v>157</v>
      </c>
      <c r="C31" s="50">
        <f>SUM(D31:L31)</f>
        <v>0</v>
      </c>
      <c r="D31" s="241">
        <v>0</v>
      </c>
      <c r="E31" s="240"/>
      <c r="F31" s="161"/>
      <c r="G31" s="161"/>
      <c r="H31" s="161"/>
      <c r="I31" s="161"/>
      <c r="J31" s="161"/>
      <c r="K31" s="161"/>
      <c r="L31" s="161"/>
      <c r="M31" s="133"/>
      <c r="N31" s="50"/>
      <c r="O31" s="332" t="s">
        <v>79</v>
      </c>
      <c r="P31" s="337" t="s">
        <v>17</v>
      </c>
      <c r="Q31" s="333">
        <f>IF((-C27+C35)&gt;0,(-C27+C35),0)</f>
        <v>0</v>
      </c>
      <c r="R31" s="335">
        <f>IF((-C27+C35)&lt;0,(-C27+C35),0)</f>
        <v>-3223497.5735419998</v>
      </c>
    </row>
    <row r="32" spans="1:18" s="382" customFormat="1" ht="15.75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2">
        <v>0</v>
      </c>
      <c r="M32" s="134"/>
      <c r="N32" s="50"/>
      <c r="O32" s="338" t="s">
        <v>80</v>
      </c>
      <c r="P32" s="337" t="s">
        <v>20</v>
      </c>
      <c r="Q32" s="112">
        <f>IF((C29+C30)&lt;0,(-C29-C30),0)</f>
        <v>3227933.8735419996</v>
      </c>
      <c r="R32" s="335">
        <f>IF((C29+C30)&gt;0,(-C29-C30),0)</f>
        <v>0</v>
      </c>
    </row>
    <row r="33" spans="1:18" s="382" customFormat="1" ht="15.75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2">
        <v>0</v>
      </c>
      <c r="M33" s="134"/>
      <c r="N33" s="50"/>
      <c r="O33" s="340" t="s">
        <v>82</v>
      </c>
      <c r="P33" s="337" t="s">
        <v>75</v>
      </c>
      <c r="Q33" s="342">
        <v>0</v>
      </c>
      <c r="R33" s="335">
        <f>IF(C34&gt;0,-C34,0)</f>
        <v>-4436.3</v>
      </c>
    </row>
    <row r="34" spans="1:18" s="382" customFormat="1" ht="16.5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4"/>
      <c r="M34" s="237">
        <v>3.2500000000000001E-2</v>
      </c>
      <c r="N34" s="50"/>
      <c r="O34" s="341" t="s">
        <v>83</v>
      </c>
      <c r="P34" s="339" t="s">
        <v>76</v>
      </c>
      <c r="Q34" s="116">
        <f>IF(-C34&gt;0,-C34,0)</f>
        <v>0</v>
      </c>
      <c r="R34" s="116">
        <f>IF(C34&gt;0,0,0)</f>
        <v>0</v>
      </c>
    </row>
    <row r="35" spans="1:18" s="382" customFormat="1" ht="16.5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3"/>
      <c r="O35" s="383"/>
      <c r="P35" s="383"/>
      <c r="Q35" s="383"/>
      <c r="R35" s="336">
        <f>ROUND(SUM(Q30:R34),2)</f>
        <v>0</v>
      </c>
    </row>
    <row r="36" spans="1:18" s="382" customFormat="1" ht="16.5" thickTop="1" thickBot="1">
      <c r="A36" s="53"/>
      <c r="M36" s="52"/>
    </row>
    <row r="37" spans="1:18" s="382" customFormat="1" ht="16.5" thickBot="1">
      <c r="A37" s="58">
        <v>41333</v>
      </c>
      <c r="B37" s="59" t="s">
        <v>84</v>
      </c>
      <c r="C37" s="50">
        <f>SUM(D37:L37)</f>
        <v>227268.08091399889</v>
      </c>
      <c r="D37" s="243">
        <v>964027.88181999885</v>
      </c>
      <c r="E37" s="243">
        <v>-736759.80090599996</v>
      </c>
      <c r="F37" s="161">
        <v>0</v>
      </c>
      <c r="G37" s="161"/>
      <c r="H37" s="161"/>
      <c r="I37" s="161"/>
      <c r="J37" s="386"/>
      <c r="K37" s="161"/>
      <c r="L37" s="161">
        <v>0</v>
      </c>
      <c r="M37" s="133"/>
      <c r="N37" s="50"/>
      <c r="O37" s="334" t="s">
        <v>106</v>
      </c>
      <c r="P37" s="93"/>
      <c r="Q37" s="93"/>
      <c r="R37" s="94"/>
    </row>
    <row r="38" spans="1:18" s="382" customFormat="1" ht="15.75">
      <c r="A38" s="58"/>
      <c r="B38" s="59" t="s">
        <v>148</v>
      </c>
      <c r="C38" s="50">
        <f>SUM(D38:F38)</f>
        <v>0</v>
      </c>
      <c r="D38" s="240"/>
      <c r="E38" s="240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5" t="s">
        <v>211</v>
      </c>
      <c r="P38" s="337" t="s">
        <v>27</v>
      </c>
      <c r="Q38" s="333">
        <v>0</v>
      </c>
      <c r="R38" s="335">
        <v>0</v>
      </c>
    </row>
    <row r="39" spans="1:18" s="382" customFormat="1" ht="15.75">
      <c r="A39" s="58"/>
      <c r="B39" s="20" t="s">
        <v>157</v>
      </c>
      <c r="C39" s="50">
        <f>SUM(D39:L39)</f>
        <v>0</v>
      </c>
      <c r="D39" s="241">
        <v>0</v>
      </c>
      <c r="E39" s="240"/>
      <c r="F39" s="161"/>
      <c r="G39" s="161"/>
      <c r="H39" s="161"/>
      <c r="I39" s="161"/>
      <c r="J39" s="161"/>
      <c r="K39" s="161"/>
      <c r="L39" s="161"/>
      <c r="M39" s="133"/>
      <c r="N39" s="50"/>
      <c r="O39" s="332" t="s">
        <v>79</v>
      </c>
      <c r="P39" s="337" t="s">
        <v>17</v>
      </c>
      <c r="Q39" s="333">
        <f>IF((-C35+C43)&gt;0,(-C35+C43),0)</f>
        <v>227652.99091399889</v>
      </c>
      <c r="R39" s="335">
        <f>IF((-C35+C43)&lt;0,(-C35+C43),0)</f>
        <v>0</v>
      </c>
    </row>
    <row r="40" spans="1:18" s="382" customFormat="1" ht="15.75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2">
        <v>0</v>
      </c>
      <c r="M40" s="134"/>
      <c r="N40" s="50"/>
      <c r="O40" s="338" t="s">
        <v>80</v>
      </c>
      <c r="P40" s="337" t="s">
        <v>20</v>
      </c>
      <c r="Q40" s="112">
        <f>IF((C37+C38)&lt;0,(-C37-C38),0)</f>
        <v>0</v>
      </c>
      <c r="R40" s="335">
        <f>IF((C37+C38)&gt;0,(-C37-C38),0)</f>
        <v>-227268.08091399889</v>
      </c>
    </row>
    <row r="41" spans="1:18" s="382" customFormat="1" ht="15.75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2">
        <v>0</v>
      </c>
      <c r="M41" s="134"/>
      <c r="N41" s="50"/>
      <c r="O41" s="340" t="s">
        <v>82</v>
      </c>
      <c r="P41" s="337" t="s">
        <v>75</v>
      </c>
      <c r="Q41" s="342">
        <v>0</v>
      </c>
      <c r="R41" s="335">
        <f>IF(C42&gt;0,-C42,0)</f>
        <v>-384.91</v>
      </c>
    </row>
    <row r="42" spans="1:18" s="382" customFormat="1" ht="16.5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4"/>
      <c r="M42" s="237">
        <v>3.2500000000000001E-2</v>
      </c>
      <c r="N42" s="50"/>
      <c r="O42" s="341" t="s">
        <v>83</v>
      </c>
      <c r="P42" s="339" t="s">
        <v>76</v>
      </c>
      <c r="Q42" s="116">
        <f>IF(-C42&gt;0,-C42,0)</f>
        <v>0</v>
      </c>
      <c r="R42" s="116">
        <f>IF(C42&gt;0,0,0)</f>
        <v>0</v>
      </c>
    </row>
    <row r="43" spans="1:18" s="382" customFormat="1" ht="16.5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3"/>
      <c r="O43" s="383"/>
      <c r="P43" s="383"/>
      <c r="Q43" s="383"/>
      <c r="R43" s="336">
        <f>ROUND(SUM(Q38:R42),2)</f>
        <v>0</v>
      </c>
    </row>
    <row r="44" spans="1:18" s="382" customFormat="1" ht="16.5" thickTop="1" thickBot="1">
      <c r="A44" s="53"/>
      <c r="M44" s="52"/>
    </row>
    <row r="45" spans="1:18" s="382" customFormat="1" ht="16.5" thickBot="1">
      <c r="A45" s="58">
        <v>41364</v>
      </c>
      <c r="B45" s="59" t="s">
        <v>84</v>
      </c>
      <c r="C45" s="50">
        <f>SUM(D45:L45)</f>
        <v>-83754.106502999784</v>
      </c>
      <c r="D45" s="243">
        <v>311623.77906699944</v>
      </c>
      <c r="E45" s="243">
        <v>-395377.88556999923</v>
      </c>
      <c r="F45" s="161">
        <v>0</v>
      </c>
      <c r="G45" s="161"/>
      <c r="H45" s="161"/>
      <c r="I45" s="161"/>
      <c r="J45" s="386"/>
      <c r="K45" s="161"/>
      <c r="L45" s="161">
        <v>0</v>
      </c>
      <c r="M45" s="133"/>
      <c r="N45" s="50"/>
      <c r="O45" s="334" t="s">
        <v>106</v>
      </c>
      <c r="P45" s="93"/>
      <c r="Q45" s="93"/>
      <c r="R45" s="94"/>
    </row>
    <row r="46" spans="1:18" s="382" customFormat="1" ht="15.75">
      <c r="A46" s="58"/>
      <c r="B46" s="59" t="s">
        <v>148</v>
      </c>
      <c r="C46" s="50">
        <f>SUM(D46:F46)</f>
        <v>0</v>
      </c>
      <c r="D46" s="240"/>
      <c r="E46" s="240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5" t="s">
        <v>211</v>
      </c>
      <c r="P46" s="337" t="s">
        <v>27</v>
      </c>
      <c r="Q46" s="333">
        <v>0</v>
      </c>
      <c r="R46" s="335">
        <v>0</v>
      </c>
    </row>
    <row r="47" spans="1:18" s="382" customFormat="1" ht="15.75">
      <c r="A47" s="58"/>
      <c r="B47" s="20" t="s">
        <v>157</v>
      </c>
      <c r="C47" s="50">
        <f>SUM(D47:L47)</f>
        <v>0</v>
      </c>
      <c r="D47" s="241">
        <v>0</v>
      </c>
      <c r="E47" s="240"/>
      <c r="F47" s="161"/>
      <c r="G47" s="161"/>
      <c r="H47" s="161"/>
      <c r="I47" s="161"/>
      <c r="J47" s="161"/>
      <c r="K47" s="161"/>
      <c r="L47" s="161"/>
      <c r="M47" s="133"/>
      <c r="N47" s="50"/>
      <c r="O47" s="332" t="s">
        <v>79</v>
      </c>
      <c r="P47" s="337" t="s">
        <v>17</v>
      </c>
      <c r="Q47" s="333">
        <f>IF((-C43+C51)&gt;0,(-C43+C51),0)</f>
        <v>0</v>
      </c>
      <c r="R47" s="335">
        <f>IF((-C43+C51)&lt;0,(-C43+C51),0)</f>
        <v>-83173.806502999796</v>
      </c>
    </row>
    <row r="48" spans="1:18" s="382" customFormat="1" ht="15.75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2">
        <v>0</v>
      </c>
      <c r="M48" s="134"/>
      <c r="N48" s="50"/>
      <c r="O48" s="338" t="s">
        <v>80</v>
      </c>
      <c r="P48" s="337" t="s">
        <v>20</v>
      </c>
      <c r="Q48" s="112">
        <f>IF((C45+C46)&lt;0,(-C45-C46),0)</f>
        <v>83754.106502999784</v>
      </c>
      <c r="R48" s="335">
        <f>IF((C45+C46)&gt;0,(-C45-C46),0)</f>
        <v>0</v>
      </c>
    </row>
    <row r="49" spans="1:18" s="382" customFormat="1" ht="15.75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2">
        <v>0</v>
      </c>
      <c r="M49" s="134"/>
      <c r="N49" s="50"/>
      <c r="O49" s="340" t="s">
        <v>82</v>
      </c>
      <c r="P49" s="337" t="s">
        <v>75</v>
      </c>
      <c r="Q49" s="342">
        <v>0</v>
      </c>
      <c r="R49" s="335">
        <f>IF(C50&gt;0,-C50,0)</f>
        <v>-580.29999999999995</v>
      </c>
    </row>
    <row r="50" spans="1:18" s="382" customFormat="1" ht="16.5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4"/>
      <c r="M50" s="237">
        <v>3.2500000000000001E-2</v>
      </c>
      <c r="N50" s="50"/>
      <c r="O50" s="341" t="s">
        <v>83</v>
      </c>
      <c r="P50" s="339" t="s">
        <v>76</v>
      </c>
      <c r="Q50" s="116">
        <f>IF(-C50&gt;0,-C50,0)</f>
        <v>0</v>
      </c>
      <c r="R50" s="116">
        <f>IF(C50&gt;0,0,0)</f>
        <v>0</v>
      </c>
    </row>
    <row r="51" spans="1:18" s="382" customFormat="1" ht="16.5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3"/>
      <c r="O51" s="383"/>
      <c r="P51" s="383"/>
      <c r="Q51" s="383"/>
      <c r="R51" s="336">
        <f>ROUND(SUM(Q46:R50),2)</f>
        <v>0</v>
      </c>
    </row>
    <row r="52" spans="1:18" ht="16.5" thickTop="1" thickBot="1"/>
    <row r="53" spans="1:18" s="382" customFormat="1" ht="16.5" thickBot="1">
      <c r="A53" s="58">
        <v>41365</v>
      </c>
      <c r="B53" s="59" t="s">
        <v>84</v>
      </c>
      <c r="C53" s="50">
        <f>SUM(D53:L53)</f>
        <v>-160377.30866600084</v>
      </c>
      <c r="D53" s="243">
        <v>-294475.16016600048</v>
      </c>
      <c r="E53" s="243">
        <v>134097.85149999964</v>
      </c>
      <c r="F53" s="161">
        <v>0</v>
      </c>
      <c r="G53" s="161"/>
      <c r="H53" s="161"/>
      <c r="I53" s="161"/>
      <c r="J53" s="386"/>
      <c r="K53" s="161"/>
      <c r="L53" s="161">
        <v>0</v>
      </c>
      <c r="M53" s="133"/>
      <c r="N53" s="50"/>
      <c r="O53" s="334" t="s">
        <v>106</v>
      </c>
      <c r="P53" s="93"/>
      <c r="Q53" s="93"/>
      <c r="R53" s="94"/>
    </row>
    <row r="54" spans="1:18" s="382" customFormat="1" ht="15.75">
      <c r="A54" s="58"/>
      <c r="B54" s="59" t="s">
        <v>148</v>
      </c>
      <c r="C54" s="50">
        <f>SUM(D54:F54)</f>
        <v>0</v>
      </c>
      <c r="D54" s="240"/>
      <c r="E54" s="240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5" t="s">
        <v>211</v>
      </c>
      <c r="P54" s="337" t="s">
        <v>27</v>
      </c>
      <c r="Q54" s="333">
        <v>0</v>
      </c>
      <c r="R54" s="335">
        <v>0</v>
      </c>
    </row>
    <row r="55" spans="1:18" s="382" customFormat="1" ht="15.75">
      <c r="A55" s="58"/>
      <c r="B55" s="20" t="s">
        <v>157</v>
      </c>
      <c r="C55" s="50">
        <f>SUM(D55:L55)</f>
        <v>0</v>
      </c>
      <c r="D55" s="241">
        <v>0</v>
      </c>
      <c r="E55" s="240"/>
      <c r="F55" s="161"/>
      <c r="G55" s="161"/>
      <c r="H55" s="161"/>
      <c r="I55" s="161"/>
      <c r="J55" s="161"/>
      <c r="K55" s="161"/>
      <c r="L55" s="161"/>
      <c r="M55" s="133"/>
      <c r="N55" s="50"/>
      <c r="O55" s="332" t="s">
        <v>79</v>
      </c>
      <c r="P55" s="337" t="s">
        <v>17</v>
      </c>
      <c r="Q55" s="333">
        <f>IF((-C51+C59)&gt;0,(-C51+C59),0)</f>
        <v>0</v>
      </c>
      <c r="R55" s="335">
        <f>IF((-C51+C59)&lt;0,(-C51+C59),0)</f>
        <v>-160126.03866600085</v>
      </c>
    </row>
    <row r="56" spans="1:18" s="382" customFormat="1" ht="15.75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2">
        <v>0</v>
      </c>
      <c r="M56" s="134"/>
      <c r="N56" s="50"/>
      <c r="O56" s="338" t="s">
        <v>80</v>
      </c>
      <c r="P56" s="337" t="s">
        <v>20</v>
      </c>
      <c r="Q56" s="112">
        <f>IF((C53+C54)&lt;0,(-C53-C54),0)</f>
        <v>160377.30866600084</v>
      </c>
      <c r="R56" s="335">
        <f>IF((C53+C54)&gt;0,(-C53-C54),0)</f>
        <v>0</v>
      </c>
    </row>
    <row r="57" spans="1:18" s="382" customFormat="1" ht="15.75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2">
        <v>0</v>
      </c>
      <c r="M57" s="134"/>
      <c r="N57" s="50"/>
      <c r="O57" s="340" t="s">
        <v>82</v>
      </c>
      <c r="P57" s="337" t="s">
        <v>75</v>
      </c>
      <c r="Q57" s="342">
        <v>0</v>
      </c>
      <c r="R57" s="335">
        <f>IF(C58&gt;0,-C58,0)</f>
        <v>-251.27</v>
      </c>
    </row>
    <row r="58" spans="1:18" s="382" customFormat="1" ht="16.5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4"/>
      <c r="M58" s="237">
        <v>3.2500000000000001E-2</v>
      </c>
      <c r="N58" s="50"/>
      <c r="O58" s="341" t="s">
        <v>83</v>
      </c>
      <c r="P58" s="339" t="s">
        <v>76</v>
      </c>
      <c r="Q58" s="116">
        <f>IF(-C58&gt;0,-C58,0)</f>
        <v>0</v>
      </c>
      <c r="R58" s="116">
        <f>IF(C58&gt;0,0,0)</f>
        <v>0</v>
      </c>
    </row>
    <row r="59" spans="1:18" s="382" customFormat="1" ht="16.5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3"/>
      <c r="O59" s="383"/>
      <c r="P59" s="383"/>
      <c r="Q59" s="383"/>
      <c r="R59" s="336">
        <f>ROUND(SUM(Q54:R58),2)</f>
        <v>0</v>
      </c>
    </row>
    <row r="60" spans="1:18" s="382" customFormat="1" ht="16.5" thickTop="1" thickBot="1">
      <c r="A60" s="53"/>
      <c r="C60" s="383"/>
      <c r="M60" s="52"/>
    </row>
    <row r="61" spans="1:18" s="382" customFormat="1" ht="16.5" thickBot="1">
      <c r="A61" s="58">
        <v>41425</v>
      </c>
      <c r="B61" s="59" t="s">
        <v>84</v>
      </c>
      <c r="C61" s="50">
        <f>SUM(D61:L61)</f>
        <v>291085.24359799817</v>
      </c>
      <c r="D61" s="243">
        <v>-577860.59273000155</v>
      </c>
      <c r="E61" s="243">
        <v>868945.83632799971</v>
      </c>
      <c r="F61" s="161">
        <v>0</v>
      </c>
      <c r="G61" s="161"/>
      <c r="H61" s="161"/>
      <c r="I61" s="161"/>
      <c r="J61" s="386"/>
      <c r="K61" s="161"/>
      <c r="L61" s="161">
        <v>0</v>
      </c>
      <c r="M61" s="133"/>
      <c r="N61" s="50"/>
      <c r="O61" s="334" t="s">
        <v>106</v>
      </c>
      <c r="P61" s="93"/>
      <c r="Q61" s="93"/>
      <c r="R61" s="94"/>
    </row>
    <row r="62" spans="1:18" s="382" customFormat="1" ht="15.75">
      <c r="A62" s="58"/>
      <c r="B62" s="59" t="s">
        <v>148</v>
      </c>
      <c r="C62" s="50">
        <f>SUM(D62:F62)</f>
        <v>0</v>
      </c>
      <c r="D62" s="240"/>
      <c r="E62" s="240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5" t="s">
        <v>211</v>
      </c>
      <c r="P62" s="337" t="s">
        <v>27</v>
      </c>
      <c r="Q62" s="333">
        <v>0</v>
      </c>
      <c r="R62" s="335">
        <v>0</v>
      </c>
    </row>
    <row r="63" spans="1:18" s="382" customFormat="1" ht="15.75">
      <c r="A63" s="58"/>
      <c r="B63" s="20" t="s">
        <v>157</v>
      </c>
      <c r="C63" s="50">
        <f>SUM(D63:L63)</f>
        <v>0</v>
      </c>
      <c r="D63" s="241">
        <v>0</v>
      </c>
      <c r="E63" s="240"/>
      <c r="F63" s="161"/>
      <c r="G63" s="161"/>
      <c r="H63" s="161"/>
      <c r="I63" s="161"/>
      <c r="J63" s="161"/>
      <c r="K63" s="161"/>
      <c r="L63" s="161"/>
      <c r="M63" s="133"/>
      <c r="N63" s="50"/>
      <c r="O63" s="332" t="s">
        <v>79</v>
      </c>
      <c r="P63" s="337" t="s">
        <v>17</v>
      </c>
      <c r="Q63" s="333">
        <f>IF((-C59+C67)&gt;0,(-C59+C67),0)</f>
        <v>291514.20359799819</v>
      </c>
      <c r="R63" s="335">
        <f>IF((-C59+C67)&lt;0,(-C59+C67),0)</f>
        <v>0</v>
      </c>
    </row>
    <row r="64" spans="1:18" s="382" customFormat="1" ht="15.75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2">
        <v>0</v>
      </c>
      <c r="M64" s="134"/>
      <c r="N64" s="50"/>
      <c r="O64" s="338" t="s">
        <v>80</v>
      </c>
      <c r="P64" s="337" t="s">
        <v>20</v>
      </c>
      <c r="Q64" s="112">
        <f>IF((C61+C62)&lt;0,(-C61-C62),0)</f>
        <v>0</v>
      </c>
      <c r="R64" s="335">
        <f>IF((C61+C62)&gt;0,(-C61-C62),0)</f>
        <v>-291085.24359799817</v>
      </c>
    </row>
    <row r="65" spans="1:18" s="382" customFormat="1" ht="15.75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2">
        <v>0</v>
      </c>
      <c r="M65" s="134"/>
      <c r="N65" s="50"/>
      <c r="O65" s="340" t="s">
        <v>82</v>
      </c>
      <c r="P65" s="337" t="s">
        <v>75</v>
      </c>
      <c r="Q65" s="342">
        <v>0</v>
      </c>
      <c r="R65" s="335">
        <f>IF(C66&gt;0,-C66,0)</f>
        <v>-428.96</v>
      </c>
    </row>
    <row r="66" spans="1:18" s="382" customFormat="1" ht="16.5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4"/>
      <c r="M66" s="237">
        <v>3.2500000000000001E-2</v>
      </c>
      <c r="N66" s="50"/>
      <c r="O66" s="341" t="s">
        <v>83</v>
      </c>
      <c r="P66" s="339" t="s">
        <v>76</v>
      </c>
      <c r="Q66" s="116">
        <f>IF(-C66&gt;0,-C66,0)</f>
        <v>0</v>
      </c>
      <c r="R66" s="116">
        <f>IF(C66&gt;0,0,0)</f>
        <v>0</v>
      </c>
    </row>
    <row r="67" spans="1:18" s="382" customFormat="1" ht="16.5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3"/>
      <c r="O67" s="383"/>
      <c r="P67" s="383"/>
      <c r="Q67" s="383"/>
      <c r="R67" s="336">
        <f>ROUND(SUM(Q62:R66),2)</f>
        <v>0</v>
      </c>
    </row>
    <row r="68" spans="1:18" s="382" customFormat="1" ht="16.5" thickTop="1" thickBot="1">
      <c r="A68" s="53"/>
      <c r="C68" s="383"/>
      <c r="M68" s="52"/>
    </row>
    <row r="69" spans="1:18" s="382" customFormat="1" ht="16.5" thickBot="1">
      <c r="A69" s="58">
        <v>41426</v>
      </c>
      <c r="B69" s="59" t="s">
        <v>84</v>
      </c>
      <c r="C69" s="50">
        <f>SUM(D69:L69)</f>
        <v>839471.48552700132</v>
      </c>
      <c r="D69" s="243">
        <v>-173993.23901399877</v>
      </c>
      <c r="E69" s="243">
        <v>1013464.7245410001</v>
      </c>
      <c r="F69" s="161">
        <v>0</v>
      </c>
      <c r="G69" s="161"/>
      <c r="H69" s="161"/>
      <c r="I69" s="161"/>
      <c r="J69" s="386"/>
      <c r="K69" s="161"/>
      <c r="L69" s="161">
        <v>0</v>
      </c>
      <c r="M69" s="133"/>
      <c r="N69" s="50"/>
      <c r="O69" s="334" t="s">
        <v>106</v>
      </c>
      <c r="P69" s="93"/>
      <c r="Q69" s="93"/>
      <c r="R69" s="94"/>
    </row>
    <row r="70" spans="1:18" s="382" customFormat="1" ht="15.75">
      <c r="A70" s="58"/>
      <c r="B70" s="59" t="s">
        <v>148</v>
      </c>
      <c r="C70" s="50">
        <f>SUM(D70:F70)</f>
        <v>0</v>
      </c>
      <c r="D70" s="240"/>
      <c r="E70" s="240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5" t="s">
        <v>211</v>
      </c>
      <c r="P70" s="337" t="s">
        <v>27</v>
      </c>
      <c r="Q70" s="333">
        <v>0</v>
      </c>
      <c r="R70" s="335">
        <v>0</v>
      </c>
    </row>
    <row r="71" spans="1:18" s="382" customFormat="1" ht="15.75">
      <c r="A71" s="58"/>
      <c r="B71" s="20" t="s">
        <v>157</v>
      </c>
      <c r="C71" s="50">
        <f>SUM(D71:L71)</f>
        <v>0</v>
      </c>
      <c r="D71" s="241">
        <v>0</v>
      </c>
      <c r="E71" s="240"/>
      <c r="F71" s="161"/>
      <c r="G71" s="161"/>
      <c r="H71" s="161"/>
      <c r="I71" s="161"/>
      <c r="J71" s="161"/>
      <c r="K71" s="161"/>
      <c r="L71" s="161"/>
      <c r="M71" s="133"/>
      <c r="N71" s="50"/>
      <c r="O71" s="332" t="s">
        <v>79</v>
      </c>
      <c r="P71" s="337" t="s">
        <v>17</v>
      </c>
      <c r="Q71" s="333">
        <f>IF((-C67+C75)&gt;0,(-C67+C75),0)</f>
        <v>841432.56552700151</v>
      </c>
      <c r="R71" s="335">
        <f>IF((-C67+C75)&lt;0,(-C67+C75),0)</f>
        <v>0</v>
      </c>
    </row>
    <row r="72" spans="1:18" s="382" customFormat="1" ht="15.75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2">
        <v>0</v>
      </c>
      <c r="M72" s="134"/>
      <c r="N72" s="50"/>
      <c r="O72" s="338" t="s">
        <v>80</v>
      </c>
      <c r="P72" s="337" t="s">
        <v>20</v>
      </c>
      <c r="Q72" s="112">
        <f>IF((C69+C70)&lt;0,(-C69-C70),0)</f>
        <v>0</v>
      </c>
      <c r="R72" s="335">
        <f>IF((C69+C70)&gt;0,(-C69-C70),0)</f>
        <v>-839471.48552700132</v>
      </c>
    </row>
    <row r="73" spans="1:18" s="382" customFormat="1" ht="15.75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2">
        <v>0</v>
      </c>
      <c r="M73" s="134"/>
      <c r="N73" s="50"/>
      <c r="O73" s="340" t="s">
        <v>82</v>
      </c>
      <c r="P73" s="337" t="s">
        <v>75</v>
      </c>
      <c r="Q73" s="342">
        <v>0</v>
      </c>
      <c r="R73" s="335">
        <f>IF(C74&gt;0,-C74,0)</f>
        <v>-1961.08</v>
      </c>
    </row>
    <row r="74" spans="1:18" s="382" customFormat="1" ht="16.5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4"/>
      <c r="M74" s="237">
        <v>3.2500000000000001E-2</v>
      </c>
      <c r="N74" s="50"/>
      <c r="O74" s="341" t="s">
        <v>83</v>
      </c>
      <c r="P74" s="339" t="s">
        <v>76</v>
      </c>
      <c r="Q74" s="116">
        <f>IF(-C74&gt;0,-C74,0)</f>
        <v>0</v>
      </c>
      <c r="R74" s="116">
        <f>IF(C74&gt;0,0,0)</f>
        <v>0</v>
      </c>
    </row>
    <row r="75" spans="1:18" s="382" customFormat="1" ht="16.5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3"/>
      <c r="O75" s="383"/>
      <c r="P75" s="383"/>
      <c r="Q75" s="383"/>
      <c r="R75" s="336">
        <f>ROUND(SUM(Q70:R74),2)</f>
        <v>0</v>
      </c>
    </row>
    <row r="76" spans="1:18" ht="16.5" thickTop="1" thickBot="1"/>
    <row r="77" spans="1:18" s="382" customFormat="1" ht="16.5" thickBot="1">
      <c r="A77" s="58">
        <v>41456</v>
      </c>
      <c r="B77" s="59" t="s">
        <v>84</v>
      </c>
      <c r="C77" s="50">
        <f>SUM(D77:L77)</f>
        <v>777094.91390700196</v>
      </c>
      <c r="D77" s="243">
        <v>-494523.11633399874</v>
      </c>
      <c r="E77" s="243">
        <v>1271618.0302410007</v>
      </c>
      <c r="F77" s="161">
        <v>0</v>
      </c>
      <c r="G77" s="161"/>
      <c r="H77" s="161"/>
      <c r="I77" s="161"/>
      <c r="J77" s="386"/>
      <c r="K77" s="161"/>
      <c r="L77" s="161">
        <v>0</v>
      </c>
      <c r="M77" s="133"/>
      <c r="N77" s="50"/>
      <c r="O77" s="334" t="s">
        <v>106</v>
      </c>
      <c r="P77" s="93"/>
      <c r="Q77" s="93"/>
      <c r="R77" s="94"/>
    </row>
    <row r="78" spans="1:18" s="382" customFormat="1" ht="15.75">
      <c r="A78" s="58"/>
      <c r="B78" s="59" t="s">
        <v>148</v>
      </c>
      <c r="C78" s="50">
        <f>SUM(D78:F78)</f>
        <v>0</v>
      </c>
      <c r="D78" s="240"/>
      <c r="E78" s="240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5" t="s">
        <v>211</v>
      </c>
      <c r="P78" s="337" t="s">
        <v>27</v>
      </c>
      <c r="Q78" s="333">
        <v>0</v>
      </c>
      <c r="R78" s="335">
        <v>0</v>
      </c>
    </row>
    <row r="79" spans="1:18" s="382" customFormat="1" ht="15.75">
      <c r="A79" s="58"/>
      <c r="B79" s="20" t="s">
        <v>157</v>
      </c>
      <c r="C79" s="50">
        <f>SUM(D79:L79)</f>
        <v>0</v>
      </c>
      <c r="D79" s="241">
        <v>0</v>
      </c>
      <c r="E79" s="240"/>
      <c r="F79" s="161"/>
      <c r="G79" s="161"/>
      <c r="H79" s="161"/>
      <c r="I79" s="161"/>
      <c r="J79" s="161"/>
      <c r="K79" s="161"/>
      <c r="L79" s="161"/>
      <c r="M79" s="133"/>
      <c r="N79" s="50"/>
      <c r="O79" s="332" t="s">
        <v>79</v>
      </c>
      <c r="P79" s="337" t="s">
        <v>17</v>
      </c>
      <c r="Q79" s="333">
        <f>IF((-C75+C83)&gt;0,(-C75+C83),0)</f>
        <v>781250.40390700195</v>
      </c>
      <c r="R79" s="335">
        <f>IF((-C75+C83)&lt;0,(-C75+C83),0)</f>
        <v>0</v>
      </c>
    </row>
    <row r="80" spans="1:18" s="382" customFormat="1" ht="15.75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2">
        <v>0</v>
      </c>
      <c r="M80" s="134"/>
      <c r="N80" s="50"/>
      <c r="O80" s="338" t="s">
        <v>80</v>
      </c>
      <c r="P80" s="337" t="s">
        <v>20</v>
      </c>
      <c r="Q80" s="112">
        <f>IF((C77+C78)&lt;0,(-C77-C78),0)</f>
        <v>0</v>
      </c>
      <c r="R80" s="335">
        <f>IF((C77+C78)&gt;0,(-C77-C78),0)</f>
        <v>-777094.91390700196</v>
      </c>
    </row>
    <row r="81" spans="1:18" s="382" customFormat="1" ht="15.75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2">
        <v>0</v>
      </c>
      <c r="M81" s="134"/>
      <c r="N81" s="50"/>
      <c r="O81" s="340" t="s">
        <v>82</v>
      </c>
      <c r="P81" s="337" t="s">
        <v>75</v>
      </c>
      <c r="Q81" s="342">
        <v>0</v>
      </c>
      <c r="R81" s="335">
        <f>IF(C82&gt;0,-C82,0)</f>
        <v>-4155.49</v>
      </c>
    </row>
    <row r="82" spans="1:18" s="382" customFormat="1" ht="16.5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4"/>
      <c r="M82" s="237">
        <v>3.2500000000000001E-2</v>
      </c>
      <c r="N82" s="50"/>
      <c r="O82" s="341" t="s">
        <v>83</v>
      </c>
      <c r="P82" s="339" t="s">
        <v>76</v>
      </c>
      <c r="Q82" s="116">
        <f>IF(-C82&gt;0,-C82,0)</f>
        <v>0</v>
      </c>
      <c r="R82" s="116">
        <f>IF(C82&gt;0,0,0)</f>
        <v>0</v>
      </c>
    </row>
    <row r="83" spans="1:18" s="382" customFormat="1" ht="16.5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3"/>
      <c r="O83" s="383"/>
      <c r="P83" s="383"/>
      <c r="Q83" s="383"/>
      <c r="R83" s="336">
        <f>ROUND(SUM(Q78:R82),2)</f>
        <v>0</v>
      </c>
    </row>
    <row r="84" spans="1:18" ht="16.5" thickTop="1" thickBot="1"/>
    <row r="85" spans="1:18" s="382" customFormat="1" ht="16.5" thickBot="1">
      <c r="A85" s="58">
        <v>41487</v>
      </c>
      <c r="B85" s="59" t="s">
        <v>84</v>
      </c>
      <c r="C85" s="50">
        <f>SUM(D85:L85)</f>
        <v>564000.44398000068</v>
      </c>
      <c r="D85" s="243">
        <v>-646266.22842499963</v>
      </c>
      <c r="E85" s="243">
        <v>1210266.6724050003</v>
      </c>
      <c r="F85" s="161">
        <v>0</v>
      </c>
      <c r="G85" s="161"/>
      <c r="H85" s="161"/>
      <c r="I85" s="161"/>
      <c r="J85" s="386"/>
      <c r="K85" s="161"/>
      <c r="L85" s="161">
        <v>0</v>
      </c>
      <c r="M85" s="133"/>
      <c r="N85" s="50"/>
      <c r="O85" s="334" t="s">
        <v>106</v>
      </c>
      <c r="P85" s="93"/>
      <c r="Q85" s="93"/>
      <c r="R85" s="94"/>
    </row>
    <row r="86" spans="1:18" s="382" customFormat="1" ht="15.75">
      <c r="A86" s="58"/>
      <c r="B86" s="59" t="s">
        <v>148</v>
      </c>
      <c r="C86" s="50">
        <f>SUM(D86:F86)</f>
        <v>0</v>
      </c>
      <c r="D86" s="240"/>
      <c r="E86" s="240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5" t="s">
        <v>211</v>
      </c>
      <c r="P86" s="337" t="s">
        <v>27</v>
      </c>
      <c r="Q86" s="333">
        <v>0</v>
      </c>
      <c r="R86" s="335">
        <v>0</v>
      </c>
    </row>
    <row r="87" spans="1:18" s="382" customFormat="1" ht="15.75">
      <c r="A87" s="58"/>
      <c r="B87" s="20" t="s">
        <v>157</v>
      </c>
      <c r="C87" s="50">
        <f>SUM(D87:L87)</f>
        <v>0</v>
      </c>
      <c r="D87" s="241">
        <v>0</v>
      </c>
      <c r="E87" s="240"/>
      <c r="F87" s="161"/>
      <c r="G87" s="161"/>
      <c r="H87" s="161"/>
      <c r="I87" s="161"/>
      <c r="J87" s="161"/>
      <c r="K87" s="161"/>
      <c r="L87" s="161"/>
      <c r="M87" s="133"/>
      <c r="N87" s="50"/>
      <c r="O87" s="332" t="s">
        <v>79</v>
      </c>
      <c r="P87" s="337" t="s">
        <v>17</v>
      </c>
      <c r="Q87" s="333">
        <f>IF((-C83+C91)&gt;0,(-C83+C91),0)</f>
        <v>569983.25398000097</v>
      </c>
      <c r="R87" s="335">
        <f>IF((-C83+C91)&lt;0,(-C83+C91),0)</f>
        <v>0</v>
      </c>
    </row>
    <row r="88" spans="1:18" s="382" customFormat="1" ht="15.75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2">
        <v>0</v>
      </c>
      <c r="M88" s="134"/>
      <c r="N88" s="50"/>
      <c r="O88" s="338" t="s">
        <v>80</v>
      </c>
      <c r="P88" s="337" t="s">
        <v>20</v>
      </c>
      <c r="Q88" s="112">
        <f>IF((C85+C86)&lt;0,(-C85-C86),0)</f>
        <v>0</v>
      </c>
      <c r="R88" s="335">
        <f>IF((C85+C86)&gt;0,(-C85-C86),0)</f>
        <v>-564000.44398000068</v>
      </c>
    </row>
    <row r="89" spans="1:18" s="382" customFormat="1" ht="15.75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2">
        <v>0</v>
      </c>
      <c r="M89" s="134"/>
      <c r="N89" s="50"/>
      <c r="O89" s="340" t="s">
        <v>82</v>
      </c>
      <c r="P89" s="337" t="s">
        <v>75</v>
      </c>
      <c r="Q89" s="342">
        <v>0</v>
      </c>
      <c r="R89" s="335">
        <f>IF(C90&gt;0,-C90,0)</f>
        <v>-5982.81</v>
      </c>
    </row>
    <row r="90" spans="1:18" s="382" customFormat="1" ht="16.5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4"/>
      <c r="M90" s="237">
        <v>3.2500000000000001E-2</v>
      </c>
      <c r="N90" s="50"/>
      <c r="O90" s="341" t="s">
        <v>83</v>
      </c>
      <c r="P90" s="339" t="s">
        <v>76</v>
      </c>
      <c r="Q90" s="116">
        <f>IF(-C90&gt;0,-C90,0)</f>
        <v>0</v>
      </c>
      <c r="R90" s="116">
        <f>IF(C90&gt;0,0,0)</f>
        <v>0</v>
      </c>
    </row>
    <row r="91" spans="1:18" s="382" customFormat="1" ht="16.5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3"/>
      <c r="O91" s="383"/>
      <c r="P91" s="383"/>
      <c r="Q91" s="383"/>
      <c r="R91" s="336">
        <f>ROUND(SUM(Q86:R90),2)</f>
        <v>0</v>
      </c>
    </row>
    <row r="92" spans="1:18" s="382" customFormat="1" ht="16.5" thickTop="1" thickBot="1">
      <c r="A92" s="53"/>
      <c r="M92" s="52"/>
    </row>
    <row r="93" spans="1:18" s="382" customFormat="1" ht="16.5" thickBot="1">
      <c r="A93" s="58">
        <v>41518</v>
      </c>
      <c r="B93" s="59" t="s">
        <v>84</v>
      </c>
      <c r="C93" s="50">
        <f>SUM(D93:L93)</f>
        <v>208713.47537599935</v>
      </c>
      <c r="D93" s="243">
        <v>-814688.68566800107</v>
      </c>
      <c r="E93" s="243">
        <v>1023402.1610440004</v>
      </c>
      <c r="F93" s="161">
        <v>0</v>
      </c>
      <c r="G93" s="161"/>
      <c r="H93" s="161"/>
      <c r="I93" s="161"/>
      <c r="J93" s="386"/>
      <c r="K93" s="161"/>
      <c r="L93" s="161">
        <v>0</v>
      </c>
      <c r="M93" s="133"/>
      <c r="N93" s="50"/>
      <c r="O93" s="334" t="s">
        <v>106</v>
      </c>
      <c r="P93" s="93"/>
      <c r="Q93" s="93"/>
      <c r="R93" s="94"/>
    </row>
    <row r="94" spans="1:18" s="382" customFormat="1" ht="15.75">
      <c r="A94" s="58"/>
      <c r="B94" s="59" t="s">
        <v>148</v>
      </c>
      <c r="C94" s="50">
        <f>SUM(D94:F94)</f>
        <v>0</v>
      </c>
      <c r="D94" s="240"/>
      <c r="E94" s="240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5" t="s">
        <v>211</v>
      </c>
      <c r="P94" s="337" t="s">
        <v>27</v>
      </c>
      <c r="Q94" s="333">
        <v>0</v>
      </c>
      <c r="R94" s="335">
        <v>0</v>
      </c>
    </row>
    <row r="95" spans="1:18" s="382" customFormat="1" ht="15.75">
      <c r="A95" s="58"/>
      <c r="B95" s="20" t="s">
        <v>157</v>
      </c>
      <c r="C95" s="50">
        <f>SUM(D95:L95)</f>
        <v>0</v>
      </c>
      <c r="D95" s="241">
        <v>0</v>
      </c>
      <c r="E95" s="240"/>
      <c r="F95" s="161"/>
      <c r="G95" s="161"/>
      <c r="H95" s="161"/>
      <c r="I95" s="161"/>
      <c r="J95" s="161"/>
      <c r="K95" s="161"/>
      <c r="L95" s="161"/>
      <c r="M95" s="133"/>
      <c r="N95" s="50"/>
      <c r="O95" s="332" t="s">
        <v>79</v>
      </c>
      <c r="P95" s="337" t="s">
        <v>17</v>
      </c>
      <c r="Q95" s="333">
        <f>IF((-C91+C99)&gt;0,(-C91+C99),0)</f>
        <v>215758.87537599914</v>
      </c>
      <c r="R95" s="335">
        <f>IF((-C91+C99)&lt;0,(-C91+C99),0)</f>
        <v>0</v>
      </c>
    </row>
    <row r="96" spans="1:18" s="382" customFormat="1" ht="15.75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2">
        <v>0</v>
      </c>
      <c r="M96" s="134"/>
      <c r="N96" s="50"/>
      <c r="O96" s="338" t="s">
        <v>80</v>
      </c>
      <c r="P96" s="337" t="s">
        <v>20</v>
      </c>
      <c r="Q96" s="112">
        <f>IF((C93+C94)&lt;0,(-C93-C94),0)</f>
        <v>0</v>
      </c>
      <c r="R96" s="335">
        <f>IF((C93+C94)&gt;0,(-C93-C94),0)</f>
        <v>-208713.47537599935</v>
      </c>
    </row>
    <row r="97" spans="1:18" s="382" customFormat="1" ht="15.75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2">
        <v>0</v>
      </c>
      <c r="M97" s="134"/>
      <c r="N97" s="50"/>
      <c r="O97" s="340" t="s">
        <v>82</v>
      </c>
      <c r="P97" s="337" t="s">
        <v>75</v>
      </c>
      <c r="Q97" s="342">
        <v>0</v>
      </c>
      <c r="R97" s="335">
        <f>IF(C98&gt;0,-C98,0)</f>
        <v>-7045.4</v>
      </c>
    </row>
    <row r="98" spans="1:18" s="382" customFormat="1" ht="16.5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4"/>
      <c r="M98" s="237">
        <v>3.2500000000000001E-2</v>
      </c>
      <c r="N98" s="50"/>
      <c r="O98" s="341" t="s">
        <v>83</v>
      </c>
      <c r="P98" s="339" t="s">
        <v>76</v>
      </c>
      <c r="Q98" s="116">
        <f>IF(-C98&gt;0,-C98,0)</f>
        <v>0</v>
      </c>
      <c r="R98" s="116">
        <f>IF(C98&gt;0,0,0)</f>
        <v>0</v>
      </c>
    </row>
    <row r="99" spans="1:18" s="382" customFormat="1" ht="16.5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3"/>
      <c r="O99" s="383"/>
      <c r="P99" s="383"/>
      <c r="Q99" s="383"/>
      <c r="R99" s="336">
        <f>ROUND(SUM(Q94:R98),2)</f>
        <v>0</v>
      </c>
    </row>
    <row r="100" spans="1:18" ht="16.5" thickTop="1" thickBot="1"/>
    <row r="101" spans="1:18" s="382" customFormat="1" ht="16.5" thickBot="1">
      <c r="A101" s="58">
        <v>41578</v>
      </c>
      <c r="B101" s="59" t="s">
        <v>84</v>
      </c>
      <c r="C101" s="50">
        <f>SUM(D101:L101)</f>
        <v>-464484.39013699861</v>
      </c>
      <c r="D101" s="243">
        <v>-726195.13553999923</v>
      </c>
      <c r="E101" s="243">
        <v>261710.74540300062</v>
      </c>
      <c r="F101" s="161">
        <v>0</v>
      </c>
      <c r="G101" s="161"/>
      <c r="H101" s="161"/>
      <c r="I101" s="161"/>
      <c r="J101" s="386"/>
      <c r="K101" s="161"/>
      <c r="L101" s="161">
        <v>0</v>
      </c>
      <c r="M101" s="133"/>
      <c r="N101" s="50"/>
      <c r="O101" s="334" t="s">
        <v>106</v>
      </c>
      <c r="P101" s="93"/>
      <c r="Q101" s="93"/>
      <c r="R101" s="94"/>
    </row>
    <row r="102" spans="1:18" s="382" customFormat="1" ht="15.75">
      <c r="A102" s="58"/>
      <c r="B102" s="59" t="s">
        <v>148</v>
      </c>
      <c r="C102" s="50">
        <f>SUM(D102:F102)</f>
        <v>0</v>
      </c>
      <c r="D102" s="240"/>
      <c r="E102" s="240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5" t="s">
        <v>211</v>
      </c>
      <c r="P102" s="337" t="s">
        <v>27</v>
      </c>
      <c r="Q102" s="333">
        <v>0</v>
      </c>
      <c r="R102" s="335">
        <v>0</v>
      </c>
    </row>
    <row r="103" spans="1:18" s="382" customFormat="1" ht="15.75">
      <c r="A103" s="58"/>
      <c r="B103" s="20" t="s">
        <v>157</v>
      </c>
      <c r="C103" s="50">
        <f>SUM(D103:L103)</f>
        <v>0</v>
      </c>
      <c r="D103" s="241">
        <v>0</v>
      </c>
      <c r="E103" s="240"/>
      <c r="F103" s="161"/>
      <c r="G103" s="161"/>
      <c r="H103" s="161"/>
      <c r="I103" s="161"/>
      <c r="J103" s="161"/>
      <c r="K103" s="161"/>
      <c r="L103" s="161"/>
      <c r="M103" s="133"/>
      <c r="N103" s="50"/>
      <c r="O103" s="332" t="s">
        <v>79</v>
      </c>
      <c r="P103" s="337" t="s">
        <v>17</v>
      </c>
      <c r="Q103" s="333">
        <f>IF((-C99+C107)&gt;0,(-C99+C107),0)</f>
        <v>0</v>
      </c>
      <c r="R103" s="335">
        <f>IF((-C99+C107)&lt;0,(-C99+C107),0)</f>
        <v>-457766.2701369985</v>
      </c>
    </row>
    <row r="104" spans="1:18" s="382" customFormat="1" ht="15.75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2">
        <v>0</v>
      </c>
      <c r="M104" s="134"/>
      <c r="N104" s="50"/>
      <c r="O104" s="338" t="s">
        <v>80</v>
      </c>
      <c r="P104" s="337" t="s">
        <v>20</v>
      </c>
      <c r="Q104" s="112">
        <f>IF((C101+C102)&lt;0,(-C101-C102),0)</f>
        <v>464484.39013699861</v>
      </c>
      <c r="R104" s="335">
        <f>IF((C101+C102)&gt;0,(-C101-C102),0)</f>
        <v>0</v>
      </c>
    </row>
    <row r="105" spans="1:18" s="382" customFormat="1" ht="15.75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2">
        <v>0</v>
      </c>
      <c r="M105" s="134"/>
      <c r="N105" s="50"/>
      <c r="O105" s="340" t="s">
        <v>82</v>
      </c>
      <c r="P105" s="337" t="s">
        <v>75</v>
      </c>
      <c r="Q105" s="342">
        <v>0</v>
      </c>
      <c r="R105" s="335">
        <f>IF(C106&gt;0,-C106,0)</f>
        <v>-6718.12</v>
      </c>
    </row>
    <row r="106" spans="1:18" s="382" customFormat="1" ht="16.5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4"/>
      <c r="M106" s="237">
        <v>3.2500000000000001E-2</v>
      </c>
      <c r="N106" s="50"/>
      <c r="O106" s="341" t="s">
        <v>83</v>
      </c>
      <c r="P106" s="339" t="s">
        <v>76</v>
      </c>
      <c r="Q106" s="116">
        <f>IF(-C106&gt;0,-C106,0)</f>
        <v>0</v>
      </c>
      <c r="R106" s="116">
        <f>IF(C106&gt;0,0,0)</f>
        <v>0</v>
      </c>
    </row>
    <row r="107" spans="1:18" s="382" customFormat="1" ht="16.5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3"/>
      <c r="O107" s="383"/>
      <c r="P107" s="383"/>
      <c r="Q107" s="383"/>
      <c r="R107" s="336">
        <f>ROUND(SUM(Q102:R106),2)</f>
        <v>0</v>
      </c>
    </row>
    <row r="108" spans="1:18" s="382" customFormat="1" ht="15.75" thickTop="1">
      <c r="A108" s="53"/>
      <c r="M108" s="52"/>
    </row>
    <row r="109" spans="1:18" s="382" customFormat="1" ht="15.75">
      <c r="A109" s="103">
        <v>41579</v>
      </c>
      <c r="B109" s="2" t="s">
        <v>230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4"/>
      <c r="M109" s="52"/>
    </row>
    <row r="110" spans="1:18" s="382" customFormat="1" ht="16.5" thickBot="1">
      <c r="A110" s="103"/>
      <c r="B110" s="2" t="s">
        <v>233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2" customFormat="1" ht="16.5" thickTop="1" thickBot="1">
      <c r="A111" s="53"/>
      <c r="M111" s="52"/>
    </row>
    <row r="112" spans="1:18" s="382" customFormat="1" ht="16.5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3">
        <v>-363626.86552299373</v>
      </c>
      <c r="E112" s="243">
        <v>-780538.83973299898</v>
      </c>
      <c r="F112" s="161">
        <v>0</v>
      </c>
      <c r="G112" s="161"/>
      <c r="H112" s="161"/>
      <c r="I112" s="161"/>
      <c r="J112" s="386"/>
      <c r="K112" s="161"/>
      <c r="L112" s="161">
        <v>0</v>
      </c>
      <c r="M112" s="133"/>
      <c r="N112" s="50"/>
      <c r="O112" s="334" t="s">
        <v>106</v>
      </c>
      <c r="P112" s="93"/>
      <c r="Q112" s="93"/>
      <c r="R112" s="94"/>
    </row>
    <row r="113" spans="1:18" s="382" customFormat="1" ht="15.75">
      <c r="A113" s="58"/>
      <c r="B113" s="59" t="s">
        <v>148</v>
      </c>
      <c r="C113" s="50">
        <f>SUM(D113:F113)</f>
        <v>0</v>
      </c>
      <c r="D113" s="240"/>
      <c r="E113" s="240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5" t="s">
        <v>232</v>
      </c>
      <c r="P113" s="337" t="s">
        <v>27</v>
      </c>
      <c r="Q113" s="333">
        <f>-C109</f>
        <v>1145801.7486667871</v>
      </c>
      <c r="R113" s="335">
        <v>0</v>
      </c>
    </row>
    <row r="114" spans="1:18" s="382" customFormat="1" ht="15.75">
      <c r="A114" s="58"/>
      <c r="B114" s="20" t="s">
        <v>157</v>
      </c>
      <c r="C114" s="50">
        <f>SUM(D114:L114)</f>
        <v>0</v>
      </c>
      <c r="D114" s="241">
        <v>0</v>
      </c>
      <c r="E114" s="240"/>
      <c r="F114" s="161"/>
      <c r="G114" s="161"/>
      <c r="H114" s="161"/>
      <c r="I114" s="161"/>
      <c r="J114" s="161"/>
      <c r="K114" s="161"/>
      <c r="L114" s="161"/>
      <c r="M114" s="133"/>
      <c r="N114" s="50"/>
      <c r="O114" s="332" t="s">
        <v>79</v>
      </c>
      <c r="P114" s="337" t="s">
        <v>17</v>
      </c>
      <c r="Q114" s="333">
        <f>IF((-C107+C118)&gt;0,(-C107+C118),0)</f>
        <v>0</v>
      </c>
      <c r="R114" s="335">
        <f>IF((-C107+C118)&lt;0,(-C107+C118),0)</f>
        <v>-2288512.7239227798</v>
      </c>
    </row>
    <row r="115" spans="1:18" s="382" customFormat="1" ht="15.75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2">
        <v>0</v>
      </c>
      <c r="M115" s="134"/>
      <c r="N115" s="50"/>
      <c r="O115" s="338" t="s">
        <v>80</v>
      </c>
      <c r="P115" s="337" t="s">
        <v>20</v>
      </c>
      <c r="Q115" s="112">
        <f>IF((C112+C113)&lt;0,(-C112-C113),0)</f>
        <v>1144165.7052559927</v>
      </c>
      <c r="R115" s="335">
        <f>IF((C112+C113)&gt;0,(-C112-C113),0)</f>
        <v>0</v>
      </c>
    </row>
    <row r="116" spans="1:18" s="382" customFormat="1" ht="15.75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2">
        <v>0</v>
      </c>
      <c r="M116" s="134"/>
      <c r="N116" s="50"/>
      <c r="O116" s="340" t="s">
        <v>82</v>
      </c>
      <c r="P116" s="337" t="s">
        <v>75</v>
      </c>
      <c r="Q116" s="342">
        <v>0</v>
      </c>
      <c r="R116" s="335">
        <f>IF(C117&gt;0,-C117,0)</f>
        <v>-1454.73</v>
      </c>
    </row>
    <row r="117" spans="1:18" s="382" customFormat="1" ht="16.5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4"/>
      <c r="M117" s="237">
        <v>3.2500000000000001E-2</v>
      </c>
      <c r="N117" s="50"/>
      <c r="O117" s="341" t="s">
        <v>83</v>
      </c>
      <c r="P117" s="339" t="s">
        <v>76</v>
      </c>
      <c r="Q117" s="116">
        <f>IF(-C117&gt;0,-C117,0)</f>
        <v>0</v>
      </c>
      <c r="R117" s="116">
        <f>IF(C117&gt;0,0,0)</f>
        <v>0</v>
      </c>
    </row>
    <row r="118" spans="1:18" s="382" customFormat="1" ht="16.5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3"/>
      <c r="O118" s="383"/>
      <c r="P118" s="383"/>
      <c r="Q118" s="383"/>
      <c r="R118" s="336">
        <f>ROUND(SUM(Q113:R117),2)</f>
        <v>0</v>
      </c>
    </row>
    <row r="119" spans="1:18" s="382" customFormat="1" ht="16.5" thickTop="1" thickBot="1">
      <c r="A119" s="53"/>
      <c r="M119" s="52"/>
    </row>
    <row r="120" spans="1:18" s="382" customFormat="1" ht="16.5" thickBot="1">
      <c r="A120" s="58">
        <f>EOMONTH(A112,1)</f>
        <v>41639</v>
      </c>
      <c r="B120" s="59" t="s">
        <v>84</v>
      </c>
      <c r="C120" s="50">
        <f>SUM(D120:L120)</f>
        <v>-2074592.3562550019</v>
      </c>
      <c r="D120" s="243">
        <f>Jan!$H$55</f>
        <v>-743591.89883300196</v>
      </c>
      <c r="E120" s="243">
        <f>Jan!$I$55</f>
        <v>-1331000.4574219999</v>
      </c>
      <c r="F120" s="161">
        <v>0</v>
      </c>
      <c r="G120" s="161"/>
      <c r="H120" s="161"/>
      <c r="I120" s="161"/>
      <c r="J120" s="386"/>
      <c r="K120" s="161"/>
      <c r="L120" s="161">
        <v>0</v>
      </c>
      <c r="M120" s="133"/>
      <c r="N120" s="50"/>
      <c r="O120" s="334" t="s">
        <v>235</v>
      </c>
      <c r="P120" s="93"/>
      <c r="Q120" s="93"/>
      <c r="R120" s="94"/>
    </row>
    <row r="121" spans="1:18" s="382" customFormat="1" ht="15.75">
      <c r="A121" s="58"/>
      <c r="B121" s="59" t="s">
        <v>148</v>
      </c>
      <c r="C121" s="50">
        <f>SUM(D121:F121)</f>
        <v>0</v>
      </c>
      <c r="D121" s="240"/>
      <c r="E121" s="240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5" t="s">
        <v>232</v>
      </c>
      <c r="P121" s="337" t="s">
        <v>27</v>
      </c>
      <c r="Q121" s="333">
        <v>0</v>
      </c>
      <c r="R121" s="335">
        <v>0</v>
      </c>
    </row>
    <row r="122" spans="1:18" s="382" customFormat="1" ht="15.75">
      <c r="A122" s="58"/>
      <c r="B122" s="20" t="s">
        <v>157</v>
      </c>
      <c r="C122" s="50">
        <f>SUM(D122:L122)</f>
        <v>0</v>
      </c>
      <c r="D122" s="241">
        <v>0</v>
      </c>
      <c r="E122" s="240"/>
      <c r="F122" s="161"/>
      <c r="G122" s="161"/>
      <c r="H122" s="161"/>
      <c r="I122" s="161"/>
      <c r="J122" s="161"/>
      <c r="K122" s="161"/>
      <c r="L122" s="161"/>
      <c r="M122" s="133"/>
      <c r="N122" s="50"/>
      <c r="O122" s="332" t="s">
        <v>79</v>
      </c>
      <c r="P122" s="337" t="s">
        <v>17</v>
      </c>
      <c r="Q122" s="333">
        <f>IF((-C115+C126)&gt;0,(-C115+C126),0)</f>
        <v>0</v>
      </c>
      <c r="R122" s="335">
        <f>IF((-C118+C126)&lt;0,(-C118+C126),0)-C121</f>
        <v>-2077492.4262550017</v>
      </c>
    </row>
    <row r="123" spans="1:18" s="382" customFormat="1" ht="15.75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2">
        <v>0</v>
      </c>
      <c r="M123" s="134"/>
      <c r="N123" s="50"/>
      <c r="O123" s="338" t="s">
        <v>80</v>
      </c>
      <c r="P123" s="337" t="s">
        <v>20</v>
      </c>
      <c r="Q123" s="112">
        <f>IF((C120)&lt;0,(-C120),0)</f>
        <v>2074592.3562550019</v>
      </c>
      <c r="R123" s="335">
        <f>IF((C120+C121)&gt;0,(-C120-C121),0)</f>
        <v>0</v>
      </c>
    </row>
    <row r="124" spans="1:18" s="382" customFormat="1" ht="15.75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2">
        <v>0</v>
      </c>
      <c r="M124" s="134"/>
      <c r="N124" s="50"/>
      <c r="O124" s="340" t="s">
        <v>82</v>
      </c>
      <c r="P124" s="337" t="s">
        <v>75</v>
      </c>
      <c r="Q124" s="342">
        <v>0</v>
      </c>
      <c r="R124" s="335">
        <f>IF(C125&gt;0,-C125,0)</f>
        <v>0</v>
      </c>
    </row>
    <row r="125" spans="1:18" s="382" customFormat="1" ht="16.5" thickBot="1">
      <c r="A125" s="61"/>
      <c r="B125" s="59" t="s">
        <v>12</v>
      </c>
      <c r="C125" s="50">
        <f>SUM(D125:L125)</f>
        <v>-2900.07</v>
      </c>
      <c r="D125" s="161"/>
      <c r="E125" s="161"/>
      <c r="F125" s="161">
        <f>ROUND(((C118)+(C120)/2)*(M125/12),2)</f>
        <v>-2900.07</v>
      </c>
      <c r="G125" s="161"/>
      <c r="H125" s="161"/>
      <c r="I125" s="161"/>
      <c r="J125" s="161"/>
      <c r="K125" s="161"/>
      <c r="L125" s="244"/>
      <c r="M125" s="237">
        <v>3.2500000000000001E-2</v>
      </c>
      <c r="N125" s="50"/>
      <c r="O125" s="341" t="s">
        <v>83</v>
      </c>
      <c r="P125" s="339" t="s">
        <v>76</v>
      </c>
      <c r="Q125" s="116">
        <f>IF(-C125&gt;0,-C125,0)</f>
        <v>2900.07</v>
      </c>
      <c r="R125" s="116">
        <f>IF(C125&gt;0,0,0)</f>
        <v>0</v>
      </c>
    </row>
    <row r="126" spans="1:18" s="382" customFormat="1" ht="16.5" thickBot="1">
      <c r="A126" s="103">
        <f>A120</f>
        <v>41639</v>
      </c>
      <c r="B126" s="50" t="s">
        <v>56</v>
      </c>
      <c r="C126" s="158">
        <f>SUM(C120:C125,C118)</f>
        <v>-2110991.158384989</v>
      </c>
      <c r="D126" s="158">
        <f>SUM(D120:D125,D118)</f>
        <v>-3788891.9303229945</v>
      </c>
      <c r="E126" s="158">
        <f>SUM(E120:E125,E118)</f>
        <v>1655458.3119380027</v>
      </c>
      <c r="F126" s="158">
        <f>SUM(F120:F125,F118)</f>
        <v>22442.46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3"/>
      <c r="O126" s="383"/>
      <c r="P126" s="383"/>
      <c r="Q126" s="66"/>
      <c r="R126" s="336">
        <f>ROUND(SUM(Q121:R125),2)</f>
        <v>0</v>
      </c>
    </row>
    <row r="127" spans="1:18" ht="17.25" thickTop="1" thickBot="1">
      <c r="A127" s="144"/>
      <c r="B127" s="9" t="s">
        <v>247</v>
      </c>
      <c r="C127" s="1">
        <f>SUM(D127:L127)</f>
        <v>-1156793.8500000001</v>
      </c>
      <c r="D127" s="382"/>
      <c r="E127" s="382">
        <v>-1111877.48</v>
      </c>
      <c r="F127" s="382">
        <v>-44916.37</v>
      </c>
      <c r="G127" s="161"/>
      <c r="H127" s="161"/>
      <c r="I127" s="161"/>
      <c r="J127" s="386"/>
      <c r="K127" s="161"/>
      <c r="L127" s="161"/>
    </row>
    <row r="128" spans="1:18" ht="16.5" thickBot="1">
      <c r="B128" s="9" t="s">
        <v>241</v>
      </c>
      <c r="C128" s="472">
        <f>SUM(C126:C127)</f>
        <v>-3267785.0083849891</v>
      </c>
      <c r="D128" s="472">
        <f>SUM(D126:D127)</f>
        <v>-3788891.9303229945</v>
      </c>
      <c r="E128" s="472">
        <f>SUM(E126:E127)</f>
        <v>543580.83193800272</v>
      </c>
      <c r="F128" s="472">
        <f>SUM(F126:F127)</f>
        <v>-22473.910000000003</v>
      </c>
      <c r="G128" s="472"/>
      <c r="H128" s="472"/>
      <c r="I128" s="472"/>
      <c r="J128" s="472"/>
      <c r="K128" s="472"/>
      <c r="L128" s="472">
        <f>SUM(L126:L127)</f>
        <v>0</v>
      </c>
      <c r="O128" s="334" t="s">
        <v>236</v>
      </c>
      <c r="P128" s="93"/>
      <c r="Q128" s="93"/>
      <c r="R128" s="94"/>
    </row>
    <row r="129" spans="2:18" ht="15.75">
      <c r="B129" s="9" t="s">
        <v>242</v>
      </c>
      <c r="C129" s="1" t="e">
        <f>_xll.Get_Balance("201312","YTD","USD","Total","A","","001","191010","GD","WA","DL")</f>
        <v>#VALUE!</v>
      </c>
      <c r="D129" s="382"/>
      <c r="E129" s="382"/>
      <c r="F129" s="382"/>
      <c r="G129" s="382"/>
      <c r="H129" s="382"/>
      <c r="I129" s="382"/>
      <c r="J129" s="382"/>
      <c r="K129" s="382"/>
      <c r="L129" s="382"/>
      <c r="O129" s="345" t="s">
        <v>232</v>
      </c>
      <c r="P129" s="337" t="s">
        <v>27</v>
      </c>
      <c r="Q129" s="333">
        <v>0</v>
      </c>
      <c r="R129" s="335">
        <v>0</v>
      </c>
    </row>
    <row r="130" spans="2:18" ht="16.5" thickBot="1">
      <c r="B130" s="9" t="s">
        <v>243</v>
      </c>
      <c r="C130" s="158" t="e">
        <f>C128-C129</f>
        <v>#VALUE!</v>
      </c>
      <c r="D130" s="382"/>
      <c r="E130" s="382"/>
      <c r="F130" s="382"/>
      <c r="G130" s="382"/>
      <c r="H130" s="382"/>
      <c r="I130" s="382"/>
      <c r="J130" s="382"/>
      <c r="K130" s="382"/>
      <c r="L130" s="382"/>
      <c r="O130" s="332" t="s">
        <v>79</v>
      </c>
      <c r="P130" s="337" t="s">
        <v>17</v>
      </c>
      <c r="Q130" s="333">
        <f>IF((-C123+C134)&gt;0,(-C123+C134),0)</f>
        <v>0</v>
      </c>
      <c r="R130" s="335">
        <v>-4133742.32</v>
      </c>
    </row>
    <row r="131" spans="2:18" ht="15.75" thickTop="1">
      <c r="D131" s="382"/>
      <c r="E131" s="382"/>
      <c r="F131" s="382"/>
      <c r="G131" s="382"/>
      <c r="H131" s="382"/>
      <c r="I131" s="382"/>
      <c r="J131" s="382"/>
      <c r="K131" s="382"/>
      <c r="L131" s="382"/>
      <c r="O131" s="338" t="s">
        <v>80</v>
      </c>
      <c r="P131" s="337" t="s">
        <v>20</v>
      </c>
      <c r="Q131" s="112">
        <v>4128061.51</v>
      </c>
      <c r="R131" s="335" t="e">
        <f>IF((C128+C129)&gt;0,(-C128-C129),0)</f>
        <v>#VALUE!</v>
      </c>
    </row>
    <row r="132" spans="2:18">
      <c r="D132" s="382"/>
      <c r="E132" s="382"/>
      <c r="F132" s="382"/>
      <c r="G132" s="382"/>
      <c r="H132" s="382"/>
      <c r="I132" s="382"/>
      <c r="J132" s="382"/>
      <c r="K132" s="382"/>
      <c r="L132" s="382"/>
      <c r="O132" s="340" t="s">
        <v>82</v>
      </c>
      <c r="P132" s="337" t="s">
        <v>75</v>
      </c>
      <c r="Q132" s="342">
        <v>0</v>
      </c>
      <c r="R132" s="335">
        <f>IF(C133&gt;0,-C133,0)</f>
        <v>0</v>
      </c>
    </row>
    <row r="133" spans="2:18" ht="15.75" thickBot="1">
      <c r="O133" s="341" t="s">
        <v>83</v>
      </c>
      <c r="P133" s="339" t="s">
        <v>76</v>
      </c>
      <c r="Q133" s="116">
        <v>5680.81</v>
      </c>
      <c r="R133" s="116">
        <f>IF(C133&gt;0,0,0)</f>
        <v>0</v>
      </c>
    </row>
    <row r="134" spans="2:18">
      <c r="B134" s="382"/>
      <c r="C134" s="382"/>
      <c r="D134" s="382"/>
      <c r="E134" s="382"/>
      <c r="F134" s="382"/>
      <c r="G134" s="382"/>
      <c r="H134" s="382"/>
      <c r="I134" s="382"/>
      <c r="J134" s="382"/>
      <c r="K134" s="382"/>
      <c r="L134" s="382"/>
      <c r="O134" s="383"/>
      <c r="P134" s="383"/>
      <c r="Q134" s="66"/>
      <c r="R134" s="336" t="e">
        <f>ROUND(SUM(Q129:R133),2)</f>
        <v>#VALUE!</v>
      </c>
    </row>
    <row r="135" spans="2:18" ht="15.75" thickBot="1">
      <c r="B135" s="382"/>
      <c r="C135" s="382"/>
      <c r="D135" s="382"/>
      <c r="E135" s="382"/>
      <c r="F135" s="382"/>
      <c r="G135" s="382"/>
      <c r="H135" s="382"/>
      <c r="I135" s="382"/>
      <c r="J135" s="382"/>
      <c r="K135" s="382"/>
      <c r="L135" s="382"/>
    </row>
    <row r="136" spans="2:18" ht="15.75" thickBot="1">
      <c r="O136" s="334" t="s">
        <v>237</v>
      </c>
      <c r="P136" s="93"/>
      <c r="Q136" s="93"/>
      <c r="R136" s="94"/>
    </row>
    <row r="137" spans="2:18">
      <c r="O137" s="345" t="s">
        <v>232</v>
      </c>
      <c r="P137" s="337" t="s">
        <v>27</v>
      </c>
      <c r="Q137" s="333">
        <v>0</v>
      </c>
      <c r="R137" s="335">
        <v>0</v>
      </c>
    </row>
    <row r="138" spans="2:18">
      <c r="O138" s="332" t="s">
        <v>79</v>
      </c>
      <c r="P138" s="337" t="s">
        <v>17</v>
      </c>
      <c r="Q138" s="333">
        <f>R122-R130</f>
        <v>2056249.8937449981</v>
      </c>
      <c r="R138" s="335">
        <v>0</v>
      </c>
    </row>
    <row r="139" spans="2:18">
      <c r="O139" s="338" t="s">
        <v>80</v>
      </c>
      <c r="P139" s="337" t="s">
        <v>20</v>
      </c>
      <c r="Q139" s="112">
        <v>0</v>
      </c>
      <c r="R139" s="335">
        <f>Q123-Q131</f>
        <v>-2053469.1537449979</v>
      </c>
    </row>
    <row r="140" spans="2:18">
      <c r="O140" s="340" t="s">
        <v>82</v>
      </c>
      <c r="P140" s="337" t="s">
        <v>75</v>
      </c>
      <c r="Q140" s="342">
        <v>0</v>
      </c>
      <c r="R140" s="335">
        <f>IF(C141&gt;0,-C141,0)</f>
        <v>0</v>
      </c>
    </row>
    <row r="141" spans="2:18" ht="15.75" thickBot="1">
      <c r="O141" s="341" t="s">
        <v>83</v>
      </c>
      <c r="P141" s="339" t="s">
        <v>76</v>
      </c>
      <c r="Q141" s="116">
        <f>IF(-C141&gt;0,-C141,0)</f>
        <v>0</v>
      </c>
      <c r="R141" s="116">
        <f>Q125-Q133</f>
        <v>-2780.7400000000002</v>
      </c>
    </row>
    <row r="142" spans="2:18">
      <c r="O142" s="383"/>
      <c r="P142" s="383"/>
      <c r="Q142" s="66"/>
      <c r="R142" s="336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  <customProperties>
    <customPr name="xxe4aP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7109375" defaultRowHeight="15"/>
  <cols>
    <col min="1" max="1" width="11.42578125" style="53" customWidth="1"/>
    <col min="2" max="2" width="40.140625" style="1" bestFit="1" customWidth="1"/>
    <col min="3" max="3" width="18.42578125" style="1" customWidth="1"/>
    <col min="4" max="4" width="19.140625" style="1" bestFit="1" customWidth="1"/>
    <col min="5" max="5" width="19.42578125" style="1" bestFit="1" customWidth="1"/>
    <col min="6" max="7" width="13.140625" style="1" customWidth="1"/>
    <col min="8" max="8" width="16.7109375" style="1" bestFit="1" customWidth="1"/>
    <col min="9" max="9" width="14.42578125" style="1" hidden="1" customWidth="1"/>
    <col min="10" max="10" width="13.28515625" style="1" hidden="1" customWidth="1"/>
    <col min="11" max="11" width="15.140625" style="1" hidden="1" customWidth="1"/>
    <col min="12" max="12" width="18.140625" style="1" hidden="1" customWidth="1"/>
    <col min="13" max="13" width="15.7109375" style="1" bestFit="1" customWidth="1"/>
    <col min="14" max="14" width="12.5703125" style="1" customWidth="1"/>
    <col min="15" max="15" width="11.28515625" style="1" customWidth="1"/>
    <col min="16" max="16" width="2.28515625" style="1" customWidth="1"/>
    <col min="17" max="17" width="26.85546875" style="1" customWidth="1"/>
    <col min="18" max="18" width="16.42578125" style="1" customWidth="1"/>
    <col min="19" max="19" width="17" style="1" customWidth="1"/>
    <col min="20" max="20" width="22.5703125" style="1" customWidth="1"/>
    <col min="21" max="16384" width="9.7109375" style="1"/>
  </cols>
  <sheetData>
    <row r="1" spans="1:21" ht="15.75">
      <c r="A1" s="51" t="s">
        <v>13</v>
      </c>
      <c r="M1" s="41"/>
    </row>
    <row r="2" spans="1:21" ht="15.75">
      <c r="A2" s="51" t="s">
        <v>46</v>
      </c>
    </row>
    <row r="3" spans="1:21" ht="15.75">
      <c r="A3" s="51" t="s">
        <v>47</v>
      </c>
    </row>
    <row r="4" spans="1:21" ht="15.75">
      <c r="A4" s="51" t="s">
        <v>104</v>
      </c>
    </row>
    <row r="5" spans="1:21">
      <c r="Q5" s="264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29" customFormat="1" ht="16.5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2"/>
      <c r="R8" s="382"/>
      <c r="S8" s="382"/>
      <c r="T8" s="382"/>
      <c r="U8" s="382"/>
    </row>
    <row r="9" spans="1:21" ht="15.75" thickTop="1">
      <c r="S9" s="382"/>
      <c r="T9" s="382"/>
      <c r="U9" s="382"/>
    </row>
    <row r="10" spans="1:21" s="202" customFormat="1" ht="15.75">
      <c r="A10" s="255"/>
      <c r="B10" s="161" t="s">
        <v>205</v>
      </c>
      <c r="C10" s="221">
        <v>1550000</v>
      </c>
      <c r="D10" s="221">
        <f>887740.8-((887740.8/1550000)*H10)</f>
        <v>883736.20005990437</v>
      </c>
      <c r="E10" s="221">
        <f>662259.2-((662259.2/1550000)*H10)</f>
        <v>659271.7478600872</v>
      </c>
      <c r="F10" s="221"/>
      <c r="G10" s="221"/>
      <c r="H10" s="221">
        <f>16564.81*(C10/(C10+C11))</f>
        <v>6992.0520800084523</v>
      </c>
      <c r="I10" s="221"/>
      <c r="J10" s="221"/>
      <c r="K10" s="221"/>
      <c r="L10" s="221"/>
      <c r="M10" s="221"/>
      <c r="N10" s="221"/>
      <c r="T10" s="256"/>
    </row>
    <row r="11" spans="1:21" s="202" customFormat="1" ht="15.75">
      <c r="A11" s="255"/>
      <c r="B11" s="161" t="s">
        <v>206</v>
      </c>
      <c r="C11" s="221">
        <v>2122091.5699999998</v>
      </c>
      <c r="D11" s="221">
        <f>1215398.23-((1215398.23/2122091.57)*H11)</f>
        <v>1209915.5669534774</v>
      </c>
      <c r="E11" s="221">
        <f>906693.34-((906693.34/2122091.57)*H11)</f>
        <v>902603.24512653111</v>
      </c>
      <c r="F11" s="221"/>
      <c r="G11" s="221"/>
      <c r="H11" s="386">
        <f>16564.81*(C11/(C10+C11))</f>
        <v>9572.757919991549</v>
      </c>
      <c r="I11" s="221"/>
      <c r="J11" s="221"/>
      <c r="K11" s="221"/>
      <c r="L11" s="221"/>
      <c r="M11" s="221"/>
      <c r="N11" s="221"/>
      <c r="T11" s="256"/>
    </row>
    <row r="12" spans="1:21" s="202" customFormat="1" ht="16.5" thickBot="1">
      <c r="A12" s="255"/>
      <c r="B12" s="161" t="s">
        <v>204</v>
      </c>
      <c r="C12" s="388">
        <f t="shared" ref="C12:H12" si="0">SUM(C8:C11)</f>
        <v>110888.09945322573</v>
      </c>
      <c r="D12" s="257">
        <f t="shared" si="0"/>
        <v>-1219714.2434863918</v>
      </c>
      <c r="E12" s="388">
        <f t="shared" si="0"/>
        <v>1339522.9629396189</v>
      </c>
      <c r="F12" s="388">
        <f t="shared" si="0"/>
        <v>0</v>
      </c>
      <c r="G12" s="388">
        <f t="shared" si="0"/>
        <v>0</v>
      </c>
      <c r="H12" s="388">
        <f t="shared" si="0"/>
        <v>-8920.619999999999</v>
      </c>
      <c r="I12" s="257">
        <v>0</v>
      </c>
      <c r="J12" s="257">
        <v>0</v>
      </c>
      <c r="K12" s="257">
        <v>0</v>
      </c>
      <c r="L12" s="257">
        <v>0</v>
      </c>
      <c r="M12" s="388">
        <f>SUM(M8:M11)</f>
        <v>0</v>
      </c>
      <c r="N12" s="388">
        <f>SUM(N8:N11)</f>
        <v>0</v>
      </c>
      <c r="T12" s="256"/>
    </row>
    <row r="13" spans="1:21" s="329" customFormat="1" ht="15.75" thickTop="1">
      <c r="A13" s="53"/>
      <c r="T13" s="382"/>
    </row>
    <row r="14" spans="1:21" s="329" customFormat="1" ht="15.75" thickBot="1">
      <c r="A14" s="53"/>
      <c r="T14" s="382"/>
    </row>
    <row r="15" spans="1:21" s="329" customFormat="1" ht="16.5" thickBot="1">
      <c r="A15" s="58"/>
      <c r="Q15" s="334" t="s">
        <v>107</v>
      </c>
      <c r="R15" s="330"/>
      <c r="S15" s="330"/>
      <c r="T15" s="228"/>
    </row>
    <row r="16" spans="1:21" s="329" customFormat="1" ht="15.75">
      <c r="A16" s="58">
        <v>41213</v>
      </c>
      <c r="B16" s="59" t="s">
        <v>84</v>
      </c>
      <c r="C16" s="50">
        <f>SUM(D16:N16)</f>
        <v>114978.85263290035</v>
      </c>
      <c r="D16" s="240">
        <v>-28954.004801100353</v>
      </c>
      <c r="E16" s="240">
        <v>143932.8574340007</v>
      </c>
      <c r="F16" s="241">
        <v>0</v>
      </c>
      <c r="G16" s="241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3" t="s">
        <v>81</v>
      </c>
      <c r="R16" s="344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29" customFormat="1" ht="15.75">
      <c r="A17" s="62"/>
      <c r="B17" s="59" t="s">
        <v>148</v>
      </c>
      <c r="C17" s="50">
        <f>SUM(D17:N17)</f>
        <v>-5986.75</v>
      </c>
      <c r="D17" s="241">
        <v>-5986.75</v>
      </c>
      <c r="E17" s="241">
        <v>0</v>
      </c>
      <c r="F17" s="241"/>
      <c r="G17" s="242"/>
      <c r="H17" s="60"/>
      <c r="I17" s="50"/>
      <c r="J17" s="87"/>
      <c r="K17" s="87"/>
      <c r="L17" s="50"/>
      <c r="M17" s="50"/>
      <c r="N17" s="50"/>
      <c r="O17" s="106"/>
      <c r="P17" s="50"/>
      <c r="Q17" s="345" t="s">
        <v>11</v>
      </c>
      <c r="R17" s="346" t="s">
        <v>62</v>
      </c>
      <c r="S17" s="112">
        <v>0</v>
      </c>
      <c r="T17" s="227">
        <f>-C11</f>
        <v>-2122091.5699999998</v>
      </c>
    </row>
    <row r="18" spans="1:20" s="329" customFormat="1" ht="15.75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1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5" t="s">
        <v>11</v>
      </c>
      <c r="R18" s="346" t="s">
        <v>207</v>
      </c>
      <c r="S18" s="112">
        <v>0</v>
      </c>
      <c r="T18" s="227">
        <f>-C10</f>
        <v>-1550000</v>
      </c>
    </row>
    <row r="19" spans="1:20" s="329" customFormat="1" ht="15.75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38" t="s">
        <v>80</v>
      </c>
      <c r="R19" s="337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29" customFormat="1" ht="16.5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0" t="s">
        <v>154</v>
      </c>
      <c r="R20" s="337" t="s">
        <v>77</v>
      </c>
      <c r="S20" s="88">
        <f>IF(C19&lt;0,C19,0)</f>
        <v>0</v>
      </c>
      <c r="T20" s="89">
        <f>IF(-C19&lt;0,-C19,0)</f>
        <v>-140.31</v>
      </c>
    </row>
    <row r="21" spans="1:20" s="329" customFormat="1" ht="16.5" thickTop="1" thickBot="1">
      <c r="A21" s="53"/>
      <c r="Q21" s="341" t="s">
        <v>83</v>
      </c>
      <c r="R21" s="339" t="s">
        <v>78</v>
      </c>
      <c r="S21" s="118">
        <f>IF(-C19&gt;0,-C19,0)</f>
        <v>0</v>
      </c>
      <c r="T21" s="111"/>
    </row>
    <row r="22" spans="1:20">
      <c r="Q22" s="329"/>
      <c r="R22" s="329"/>
      <c r="S22" s="329"/>
      <c r="T22" s="336">
        <f>ROUND(SUM(S16:T21),2)</f>
        <v>0</v>
      </c>
    </row>
    <row r="23" spans="1:20" ht="15.75" thickBot="1"/>
    <row r="24" spans="1:20" s="382" customFormat="1" ht="16.5" thickBot="1">
      <c r="A24" s="58"/>
      <c r="Q24" s="334" t="s">
        <v>216</v>
      </c>
      <c r="R24" s="330"/>
      <c r="S24" s="330"/>
      <c r="T24" s="228"/>
    </row>
    <row r="25" spans="1:20" s="382" customFormat="1" ht="15.75">
      <c r="A25" s="58">
        <v>41243</v>
      </c>
      <c r="B25" s="59" t="s">
        <v>84</v>
      </c>
      <c r="C25" s="50">
        <f>SUM(D25:N25)</f>
        <v>873005.70846981579</v>
      </c>
      <c r="D25" s="240">
        <v>893965.62064781552</v>
      </c>
      <c r="E25" s="240">
        <v>-20959.912177999737</v>
      </c>
      <c r="F25" s="241">
        <v>0</v>
      </c>
      <c r="G25" s="241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3" t="s">
        <v>81</v>
      </c>
      <c r="R25" s="344" t="s">
        <v>58</v>
      </c>
      <c r="S25" s="112">
        <v>873552.80846981588</v>
      </c>
      <c r="T25" s="117">
        <v>0</v>
      </c>
    </row>
    <row r="26" spans="1:20" s="382" customFormat="1" ht="15.75">
      <c r="A26" s="62"/>
      <c r="B26" s="59" t="s">
        <v>148</v>
      </c>
      <c r="C26" s="50">
        <v>0</v>
      </c>
      <c r="D26" s="241">
        <v>0</v>
      </c>
      <c r="E26" s="241">
        <v>0</v>
      </c>
      <c r="F26" s="241"/>
      <c r="G26" s="242"/>
      <c r="H26" s="60"/>
      <c r="I26" s="50"/>
      <c r="J26" s="87"/>
      <c r="K26" s="87"/>
      <c r="L26" s="50"/>
      <c r="M26" s="50"/>
      <c r="N26" s="50"/>
      <c r="O26" s="106"/>
      <c r="P26" s="50"/>
      <c r="Q26" s="345" t="s">
        <v>11</v>
      </c>
      <c r="R26" s="346" t="s">
        <v>62</v>
      </c>
      <c r="S26" s="112">
        <v>0</v>
      </c>
      <c r="T26" s="227">
        <v>0</v>
      </c>
    </row>
    <row r="27" spans="1:20" s="382" customFormat="1" ht="15.75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1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5" t="s">
        <v>11</v>
      </c>
      <c r="R27" s="346" t="s">
        <v>207</v>
      </c>
      <c r="S27" s="112">
        <v>0</v>
      </c>
      <c r="T27" s="227">
        <v>0</v>
      </c>
    </row>
    <row r="28" spans="1:20" s="382" customFormat="1" ht="15.75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38" t="s">
        <v>80</v>
      </c>
      <c r="R28" s="337" t="s">
        <v>59</v>
      </c>
      <c r="S28" s="88">
        <v>0</v>
      </c>
      <c r="T28" s="89">
        <v>-873005.70846981579</v>
      </c>
    </row>
    <row r="29" spans="1:20" s="382" customFormat="1" ht="16.5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0" t="s">
        <v>154</v>
      </c>
      <c r="R29" s="337" t="s">
        <v>77</v>
      </c>
      <c r="S29" s="88">
        <v>0</v>
      </c>
      <c r="T29" s="89">
        <v>-547.1</v>
      </c>
    </row>
    <row r="30" spans="1:20" s="382" customFormat="1" ht="16.5" thickTop="1" thickBot="1">
      <c r="A30" s="53"/>
      <c r="Q30" s="341" t="s">
        <v>83</v>
      </c>
      <c r="R30" s="339" t="s">
        <v>78</v>
      </c>
      <c r="S30" s="118">
        <v>0</v>
      </c>
      <c r="T30" s="111"/>
    </row>
    <row r="31" spans="1:20" s="382" customFormat="1">
      <c r="A31" s="53"/>
      <c r="T31" s="336">
        <f>ROUND(SUM(S25:T30),2)</f>
        <v>0</v>
      </c>
    </row>
    <row r="32" spans="1:20" ht="16.5" thickBot="1">
      <c r="A32" s="677" t="s">
        <v>213</v>
      </c>
      <c r="B32" s="677"/>
      <c r="C32" s="677"/>
      <c r="D32" s="677"/>
      <c r="E32" s="677"/>
      <c r="F32" s="677"/>
      <c r="G32" s="677"/>
      <c r="H32" s="677"/>
      <c r="I32" s="677"/>
      <c r="J32" s="677"/>
      <c r="K32" s="677"/>
      <c r="L32" s="677"/>
      <c r="M32" s="677"/>
      <c r="N32" s="677"/>
      <c r="O32" s="677"/>
      <c r="P32" s="202"/>
      <c r="Q32" s="202"/>
      <c r="R32" s="202"/>
      <c r="S32" s="202"/>
      <c r="T32" s="202"/>
    </row>
    <row r="33" spans="1:20" ht="15.75" thickBot="1">
      <c r="A33" s="255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416" t="s">
        <v>217</v>
      </c>
      <c r="R33" s="400"/>
      <c r="S33" s="400"/>
      <c r="T33" s="417"/>
    </row>
    <row r="34" spans="1:20" ht="15.75">
      <c r="A34" s="418">
        <v>41243</v>
      </c>
      <c r="B34" s="419" t="s">
        <v>84</v>
      </c>
      <c r="C34" s="161">
        <f>SUM(D34:N34)</f>
        <v>700985.36846981547</v>
      </c>
      <c r="D34" s="240">
        <v>760588.19064781535</v>
      </c>
      <c r="E34" s="240">
        <v>-59602.822177999886</v>
      </c>
      <c r="F34" s="241">
        <v>0</v>
      </c>
      <c r="G34" s="241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0"/>
      <c r="P34" s="202"/>
      <c r="Q34" s="421" t="s">
        <v>81</v>
      </c>
      <c r="R34" s="422" t="s">
        <v>58</v>
      </c>
      <c r="S34" s="423">
        <v>0</v>
      </c>
      <c r="T34" s="424">
        <f>C34+C37-S25</f>
        <v>-172092.01000000036</v>
      </c>
    </row>
    <row r="35" spans="1:20" ht="15.75">
      <c r="A35" s="425"/>
      <c r="B35" s="419" t="s">
        <v>148</v>
      </c>
      <c r="C35" s="161">
        <v>0</v>
      </c>
      <c r="D35" s="241">
        <v>0</v>
      </c>
      <c r="E35" s="241">
        <v>0</v>
      </c>
      <c r="F35" s="241"/>
      <c r="G35" s="242"/>
      <c r="H35" s="241"/>
      <c r="I35" s="161"/>
      <c r="J35" s="242"/>
      <c r="K35" s="242"/>
      <c r="L35" s="161"/>
      <c r="M35" s="161"/>
      <c r="N35" s="161"/>
      <c r="O35" s="420"/>
      <c r="P35" s="202"/>
      <c r="Q35" s="426" t="s">
        <v>11</v>
      </c>
      <c r="R35" s="427" t="s">
        <v>62</v>
      </c>
      <c r="S35" s="423">
        <v>0</v>
      </c>
      <c r="T35" s="428">
        <v>0</v>
      </c>
    </row>
    <row r="36" spans="1:20" ht="15.75">
      <c r="A36" s="425"/>
      <c r="B36" s="419" t="s">
        <v>144</v>
      </c>
      <c r="C36" s="161">
        <f>SUM(D36:N36)</f>
        <v>0</v>
      </c>
      <c r="D36" s="161">
        <v>0</v>
      </c>
      <c r="E36" s="161"/>
      <c r="F36" s="161"/>
      <c r="G36" s="241">
        <v>0</v>
      </c>
      <c r="H36" s="429"/>
      <c r="I36" s="161"/>
      <c r="J36" s="242"/>
      <c r="K36" s="161"/>
      <c r="L36" s="161"/>
      <c r="M36" s="161"/>
      <c r="N36" s="161"/>
      <c r="O36" s="420"/>
      <c r="P36" s="202"/>
      <c r="Q36" s="426" t="s">
        <v>11</v>
      </c>
      <c r="R36" s="427" t="s">
        <v>207</v>
      </c>
      <c r="S36" s="423">
        <v>0</v>
      </c>
      <c r="T36" s="428">
        <v>0</v>
      </c>
    </row>
    <row r="37" spans="1:20" ht="15.75">
      <c r="A37" s="425"/>
      <c r="B37" s="419" t="s">
        <v>57</v>
      </c>
      <c r="C37" s="203">
        <f>SUM(D37:N37)</f>
        <v>475.43</v>
      </c>
      <c r="D37" s="203"/>
      <c r="E37" s="203"/>
      <c r="F37" s="203"/>
      <c r="G37" s="203"/>
      <c r="H37" s="203">
        <v>475.43</v>
      </c>
      <c r="I37" s="203"/>
      <c r="J37" s="203"/>
      <c r="K37" s="203"/>
      <c r="L37" s="203"/>
      <c r="M37" s="203"/>
      <c r="N37" s="203"/>
      <c r="O37" s="430">
        <v>0.01</v>
      </c>
      <c r="P37" s="202"/>
      <c r="Q37" s="431" t="s">
        <v>80</v>
      </c>
      <c r="R37" s="432" t="s">
        <v>59</v>
      </c>
      <c r="S37" s="433">
        <f>-T28-C34</f>
        <v>172020.34000000032</v>
      </c>
      <c r="T37" s="434">
        <v>0</v>
      </c>
    </row>
    <row r="38" spans="1:20" ht="16.5" thickBot="1">
      <c r="A38" s="435">
        <f>A34</f>
        <v>41243</v>
      </c>
      <c r="B38" s="161" t="s">
        <v>56</v>
      </c>
      <c r="C38" s="388">
        <f t="shared" ref="C38:H38" si="4">SUM(C34:C37,C20)</f>
        <v>921481.31055594166</v>
      </c>
      <c r="D38" s="388">
        <f t="shared" si="4"/>
        <v>-494066.80763967684</v>
      </c>
      <c r="E38" s="388">
        <f t="shared" si="4"/>
        <v>1423852.9981956196</v>
      </c>
      <c r="F38" s="388">
        <f t="shared" si="4"/>
        <v>0</v>
      </c>
      <c r="G38" s="388">
        <f t="shared" si="4"/>
        <v>0</v>
      </c>
      <c r="H38" s="388">
        <f t="shared" si="4"/>
        <v>-8304.8799999999992</v>
      </c>
      <c r="I38" s="388">
        <f t="shared" ref="I38:L38" si="5">SUM(I29:I37)</f>
        <v>0</v>
      </c>
      <c r="J38" s="388">
        <f t="shared" si="5"/>
        <v>0</v>
      </c>
      <c r="K38" s="388">
        <f t="shared" si="5"/>
        <v>0</v>
      </c>
      <c r="L38" s="388">
        <f t="shared" si="5"/>
        <v>0</v>
      </c>
      <c r="M38" s="388">
        <f>SUM(M32:M37)</f>
        <v>0</v>
      </c>
      <c r="N38" s="388">
        <f>SUM(N32:N37)</f>
        <v>0</v>
      </c>
      <c r="O38" s="161"/>
      <c r="P38" s="202"/>
      <c r="Q38" s="436" t="s">
        <v>154</v>
      </c>
      <c r="R38" s="432" t="s">
        <v>77</v>
      </c>
      <c r="S38" s="433">
        <f>C28-C37</f>
        <v>71.670000000000016</v>
      </c>
      <c r="T38" s="434">
        <v>0</v>
      </c>
    </row>
    <row r="39" spans="1:20" ht="16.5" thickTop="1" thickBot="1">
      <c r="A39" s="255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437" t="s">
        <v>83</v>
      </c>
      <c r="R39" s="438" t="s">
        <v>78</v>
      </c>
      <c r="S39" s="439">
        <v>0</v>
      </c>
      <c r="T39" s="440">
        <v>0</v>
      </c>
    </row>
    <row r="40" spans="1:20">
      <c r="A40" s="255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336">
        <f>ROUND(SUM(S34:T39),2)</f>
        <v>0</v>
      </c>
    </row>
    <row r="41" spans="1:20" s="382" customFormat="1" ht="15.75" thickBot="1">
      <c r="A41" s="53"/>
    </row>
    <row r="42" spans="1:20" s="382" customFormat="1" ht="16.5" thickBot="1">
      <c r="A42" s="58"/>
      <c r="Q42" s="334" t="s">
        <v>107</v>
      </c>
      <c r="R42" s="330"/>
      <c r="S42" s="330"/>
      <c r="T42" s="228"/>
    </row>
    <row r="43" spans="1:20" s="382" customFormat="1" ht="15.75">
      <c r="A43" s="58">
        <v>41274</v>
      </c>
      <c r="B43" s="59" t="s">
        <v>84</v>
      </c>
      <c r="C43" s="50">
        <f>SUM(D43:N43)</f>
        <v>134368.12753900047</v>
      </c>
      <c r="D43" s="240">
        <v>505847.59770200029</v>
      </c>
      <c r="E43" s="240">
        <v>-371479.47016299982</v>
      </c>
      <c r="F43" s="241">
        <v>0</v>
      </c>
      <c r="G43" s="241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3" t="s">
        <v>81</v>
      </c>
      <c r="R43" s="344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2" customFormat="1" ht="15.75">
      <c r="A44" s="62"/>
      <c r="B44" s="59" t="s">
        <v>148</v>
      </c>
      <c r="C44" s="50">
        <v>0</v>
      </c>
      <c r="D44" s="241">
        <v>0</v>
      </c>
      <c r="E44" s="241">
        <v>0</v>
      </c>
      <c r="F44" s="241"/>
      <c r="G44" s="242"/>
      <c r="H44" s="60"/>
      <c r="I44" s="50"/>
      <c r="J44" s="87"/>
      <c r="K44" s="87"/>
      <c r="L44" s="50"/>
      <c r="M44" s="50"/>
      <c r="N44" s="50"/>
      <c r="O44" s="106"/>
      <c r="P44" s="50"/>
      <c r="Q44" s="345" t="s">
        <v>11</v>
      </c>
      <c r="R44" s="346" t="s">
        <v>62</v>
      </c>
      <c r="S44" s="112">
        <v>0</v>
      </c>
      <c r="T44" s="227">
        <v>0</v>
      </c>
    </row>
    <row r="45" spans="1:20" s="382" customFormat="1" ht="15.75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1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5" t="s">
        <v>11</v>
      </c>
      <c r="R45" s="346" t="s">
        <v>207</v>
      </c>
      <c r="S45" s="112">
        <v>0</v>
      </c>
      <c r="T45" s="227">
        <v>0</v>
      </c>
    </row>
    <row r="46" spans="1:20" s="382" customFormat="1" ht="15.75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38" t="s">
        <v>80</v>
      </c>
      <c r="R46" s="337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2" customFormat="1" ht="16.5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0" t="s">
        <v>154</v>
      </c>
      <c r="R47" s="337" t="s">
        <v>77</v>
      </c>
      <c r="S47" s="88">
        <f>IF(C46&lt;0,C46,0)</f>
        <v>0</v>
      </c>
      <c r="T47" s="89">
        <f>IF(-C46&lt;0,-C46,0)</f>
        <v>-823.89</v>
      </c>
    </row>
    <row r="48" spans="1:20" s="382" customFormat="1" ht="16.5" thickTop="1" thickBot="1">
      <c r="A48" s="53"/>
      <c r="Q48" s="341" t="s">
        <v>83</v>
      </c>
      <c r="R48" s="339" t="s">
        <v>78</v>
      </c>
      <c r="S48" s="118">
        <f>IF(-C46&gt;0,-C46,0)</f>
        <v>0</v>
      </c>
      <c r="T48" s="111"/>
    </row>
    <row r="49" spans="1:20" s="382" customFormat="1">
      <c r="A49" s="53"/>
      <c r="T49" s="336">
        <f>ROUND(SUM(S43:T48),2)</f>
        <v>0</v>
      </c>
    </row>
    <row r="50" spans="1:20" ht="15.75" thickBot="1"/>
    <row r="51" spans="1:20" s="382" customFormat="1" ht="16.5" thickBot="1">
      <c r="A51" s="58"/>
      <c r="Q51" s="334" t="s">
        <v>107</v>
      </c>
      <c r="R51" s="330"/>
      <c r="S51" s="330"/>
      <c r="T51" s="228"/>
    </row>
    <row r="52" spans="1:20" s="382" customFormat="1" ht="15.75">
      <c r="A52" s="58">
        <v>41275</v>
      </c>
      <c r="B52" s="59" t="s">
        <v>84</v>
      </c>
      <c r="C52" s="50">
        <f>SUM(D52:N52)</f>
        <v>-1358486.1640380016</v>
      </c>
      <c r="D52" s="240">
        <v>-794093.61202800181</v>
      </c>
      <c r="E52" s="240">
        <v>-564392.55200999975</v>
      </c>
      <c r="F52" s="241">
        <v>0</v>
      </c>
      <c r="G52" s="241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3" t="s">
        <v>81</v>
      </c>
      <c r="R52" s="344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2" customFormat="1" ht="15.75">
      <c r="A53" s="62"/>
      <c r="B53" s="59" t="s">
        <v>148</v>
      </c>
      <c r="C53" s="50">
        <v>0</v>
      </c>
      <c r="D53" s="241">
        <v>0</v>
      </c>
      <c r="E53" s="241">
        <v>0</v>
      </c>
      <c r="F53" s="241"/>
      <c r="G53" s="242"/>
      <c r="H53" s="60"/>
      <c r="I53" s="50"/>
      <c r="J53" s="87"/>
      <c r="K53" s="87"/>
      <c r="L53" s="50"/>
      <c r="M53" s="50"/>
      <c r="N53" s="50"/>
      <c r="O53" s="106"/>
      <c r="P53" s="50"/>
      <c r="Q53" s="345" t="s">
        <v>11</v>
      </c>
      <c r="R53" s="346" t="s">
        <v>62</v>
      </c>
      <c r="S53" s="112">
        <v>0</v>
      </c>
      <c r="T53" s="227">
        <v>0</v>
      </c>
    </row>
    <row r="54" spans="1:20" s="382" customFormat="1" ht="15.75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1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5" t="s">
        <v>11</v>
      </c>
      <c r="R54" s="346" t="s">
        <v>207</v>
      </c>
      <c r="S54" s="112">
        <v>0</v>
      </c>
      <c r="T54" s="227">
        <v>0</v>
      </c>
    </row>
    <row r="55" spans="1:20" s="382" customFormat="1" ht="15.75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38" t="s">
        <v>80</v>
      </c>
      <c r="R55" s="337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2" customFormat="1" ht="16.5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0" t="s">
        <v>154</v>
      </c>
      <c r="R56" s="337" t="s">
        <v>77</v>
      </c>
      <c r="S56" s="88">
        <f>IF(C55&lt;0,C55,0)</f>
        <v>0</v>
      </c>
      <c r="T56" s="89">
        <f>IF(-C55&lt;0,-C55,0)</f>
        <v>-314.52999999999997</v>
      </c>
    </row>
    <row r="57" spans="1:20" s="382" customFormat="1" ht="16.5" thickTop="1" thickBot="1">
      <c r="A57" s="53"/>
      <c r="Q57" s="341" t="s">
        <v>83</v>
      </c>
      <c r="R57" s="339" t="s">
        <v>78</v>
      </c>
      <c r="S57" s="118">
        <f>IF(-C55&gt;0,-C55,0)</f>
        <v>0</v>
      </c>
      <c r="T57" s="111"/>
    </row>
    <row r="58" spans="1:20" s="382" customFormat="1">
      <c r="A58" s="53"/>
      <c r="T58" s="336">
        <f>ROUND(SUM(S52:T57),2)</f>
        <v>0</v>
      </c>
    </row>
    <row r="59" spans="1:20" s="382" customFormat="1" ht="15.75" thickBot="1">
      <c r="A59" s="53"/>
    </row>
    <row r="60" spans="1:20" s="382" customFormat="1" ht="16.5" thickBot="1">
      <c r="A60" s="58"/>
      <c r="Q60" s="334" t="s">
        <v>107</v>
      </c>
      <c r="R60" s="330"/>
      <c r="S60" s="330"/>
      <c r="T60" s="228"/>
    </row>
    <row r="61" spans="1:20" s="382" customFormat="1" ht="15.75">
      <c r="A61" s="58">
        <v>41333</v>
      </c>
      <c r="B61" s="59" t="s">
        <v>84</v>
      </c>
      <c r="C61" s="50">
        <f>SUM(D61:N61)</f>
        <v>187567.52458600083</v>
      </c>
      <c r="D61" s="240">
        <v>369349.48148000054</v>
      </c>
      <c r="E61" s="240">
        <v>-181781.95689399971</v>
      </c>
      <c r="F61" s="241">
        <v>0</v>
      </c>
      <c r="G61" s="241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3" t="s">
        <v>81</v>
      </c>
      <c r="R61" s="344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2" customFormat="1" ht="15.75">
      <c r="A62" s="62"/>
      <c r="B62" s="59" t="s">
        <v>148</v>
      </c>
      <c r="C62" s="50">
        <v>0</v>
      </c>
      <c r="D62" s="241">
        <v>0</v>
      </c>
      <c r="E62" s="241">
        <v>0</v>
      </c>
      <c r="F62" s="241"/>
      <c r="G62" s="242"/>
      <c r="H62" s="60"/>
      <c r="I62" s="50"/>
      <c r="J62" s="87"/>
      <c r="K62" s="87"/>
      <c r="L62" s="50"/>
      <c r="M62" s="50"/>
      <c r="N62" s="50"/>
      <c r="O62" s="106"/>
      <c r="P62" s="50"/>
      <c r="Q62" s="345" t="s">
        <v>11</v>
      </c>
      <c r="R62" s="346" t="s">
        <v>62</v>
      </c>
      <c r="S62" s="112">
        <v>0</v>
      </c>
      <c r="T62" s="227">
        <v>0</v>
      </c>
    </row>
    <row r="63" spans="1:20" s="382" customFormat="1" ht="15.75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1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5" t="s">
        <v>11</v>
      </c>
      <c r="R63" s="346" t="s">
        <v>207</v>
      </c>
      <c r="S63" s="112">
        <v>0</v>
      </c>
      <c r="T63" s="227">
        <v>0</v>
      </c>
    </row>
    <row r="64" spans="1:20" s="382" customFormat="1" ht="15.75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38" t="s">
        <v>80</v>
      </c>
      <c r="R64" s="337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2" customFormat="1" ht="16.5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0" t="s">
        <v>154</v>
      </c>
      <c r="R65" s="337" t="s">
        <v>77</v>
      </c>
      <c r="S65" s="88">
        <f>IF(-C64&lt;0,C64,0)</f>
        <v>0</v>
      </c>
      <c r="T65" s="89">
        <f>IF(-C64&lt;0,-C64,0)</f>
        <v>0</v>
      </c>
    </row>
    <row r="66" spans="1:20" s="382" customFormat="1" ht="16.5" thickTop="1" thickBot="1">
      <c r="A66" s="53"/>
      <c r="Q66" s="341" t="s">
        <v>83</v>
      </c>
      <c r="R66" s="339" t="s">
        <v>78</v>
      </c>
      <c r="S66" s="118">
        <f>IF(-C64&gt;0,-C64,0)</f>
        <v>173.1</v>
      </c>
      <c r="T66" s="111">
        <f>IF(-C64&lt;0,-C64,0)</f>
        <v>0</v>
      </c>
    </row>
    <row r="67" spans="1:20" s="382" customFormat="1">
      <c r="A67" s="53"/>
      <c r="T67" s="336">
        <f>ROUND(SUM(S61:T66),2)</f>
        <v>0</v>
      </c>
    </row>
    <row r="68" spans="1:20" s="382" customFormat="1" ht="15.75" thickBot="1">
      <c r="A68" s="53"/>
    </row>
    <row r="69" spans="1:20" s="382" customFormat="1" ht="16.5" thickBot="1">
      <c r="A69" s="58"/>
      <c r="Q69" s="334" t="s">
        <v>107</v>
      </c>
      <c r="R69" s="330"/>
      <c r="S69" s="330"/>
      <c r="T69" s="228"/>
    </row>
    <row r="70" spans="1:20" s="382" customFormat="1" ht="15.75">
      <c r="A70" s="58">
        <v>41364</v>
      </c>
      <c r="B70" s="59" t="s">
        <v>84</v>
      </c>
      <c r="C70" s="50">
        <f>SUM(D70:N70)</f>
        <v>-70192.864177000942</v>
      </c>
      <c r="D70" s="240">
        <v>140554.57549299859</v>
      </c>
      <c r="E70" s="240">
        <v>-210747.43966999953</v>
      </c>
      <c r="F70" s="241">
        <v>0</v>
      </c>
      <c r="G70" s="241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3" t="s">
        <v>81</v>
      </c>
      <c r="R70" s="344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2" customFormat="1" ht="15.75">
      <c r="A71" s="62"/>
      <c r="B71" s="59" t="s">
        <v>148</v>
      </c>
      <c r="C71" s="50">
        <v>0</v>
      </c>
      <c r="D71" s="241">
        <v>0</v>
      </c>
      <c r="E71" s="241">
        <v>0</v>
      </c>
      <c r="F71" s="241"/>
      <c r="G71" s="242"/>
      <c r="H71" s="60"/>
      <c r="I71" s="50"/>
      <c r="J71" s="87"/>
      <c r="K71" s="87"/>
      <c r="L71" s="50"/>
      <c r="M71" s="50"/>
      <c r="N71" s="50"/>
      <c r="O71" s="106"/>
      <c r="P71" s="50"/>
      <c r="Q71" s="345" t="s">
        <v>11</v>
      </c>
      <c r="R71" s="346" t="s">
        <v>62</v>
      </c>
      <c r="S71" s="112">
        <v>0</v>
      </c>
      <c r="T71" s="227">
        <v>0</v>
      </c>
    </row>
    <row r="72" spans="1:20" s="382" customFormat="1" ht="15.75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1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5" t="s">
        <v>11</v>
      </c>
      <c r="R72" s="346" t="s">
        <v>207</v>
      </c>
      <c r="S72" s="112">
        <v>0</v>
      </c>
      <c r="T72" s="227">
        <v>0</v>
      </c>
    </row>
    <row r="73" spans="1:20" s="382" customFormat="1" ht="15.75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38" t="s">
        <v>80</v>
      </c>
      <c r="R73" s="337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2" customFormat="1" ht="16.5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0" t="s">
        <v>154</v>
      </c>
      <c r="R74" s="337" t="s">
        <v>77</v>
      </c>
      <c r="S74" s="88">
        <f>IF(-C73&lt;0,C73,0)</f>
        <v>0</v>
      </c>
      <c r="T74" s="89">
        <f>IF(-C73&lt;0,-C73,0)</f>
        <v>0</v>
      </c>
    </row>
    <row r="75" spans="1:20" s="382" customFormat="1" ht="16.5" thickTop="1" thickBot="1">
      <c r="A75" s="53"/>
      <c r="Q75" s="341" t="s">
        <v>83</v>
      </c>
      <c r="R75" s="339" t="s">
        <v>78</v>
      </c>
      <c r="S75" s="118">
        <f>IF(-C73&gt;0,-C73,0)</f>
        <v>124.33</v>
      </c>
      <c r="T75" s="111">
        <f>IF(-C73&lt;0,-C73,0)</f>
        <v>0</v>
      </c>
    </row>
    <row r="76" spans="1:20" s="382" customFormat="1">
      <c r="A76" s="53"/>
      <c r="T76" s="336">
        <f>ROUND(SUM(S70:T75),2)</f>
        <v>0</v>
      </c>
    </row>
    <row r="77" spans="1:20" s="382" customFormat="1" ht="15.75" thickBot="1">
      <c r="A77" s="53"/>
    </row>
    <row r="78" spans="1:20" s="382" customFormat="1" ht="16.5" thickBot="1">
      <c r="A78" s="58"/>
      <c r="Q78" s="334" t="s">
        <v>107</v>
      </c>
      <c r="R78" s="330"/>
      <c r="S78" s="330"/>
      <c r="T78" s="228"/>
    </row>
    <row r="79" spans="1:20" s="382" customFormat="1" ht="15.75">
      <c r="A79" s="58">
        <v>41394</v>
      </c>
      <c r="B79" s="59" t="s">
        <v>84</v>
      </c>
      <c r="C79" s="50">
        <f>SUM(D79:N79)</f>
        <v>-119237.76640399999</v>
      </c>
      <c r="D79" s="240">
        <v>-143506.72479399992</v>
      </c>
      <c r="E79" s="240">
        <v>24268.958389999927</v>
      </c>
      <c r="F79" s="241">
        <v>0</v>
      </c>
      <c r="G79" s="241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3" t="s">
        <v>81</v>
      </c>
      <c r="R79" s="344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2" customFormat="1" ht="15.75">
      <c r="A80" s="62"/>
      <c r="B80" s="59" t="s">
        <v>148</v>
      </c>
      <c r="C80" s="50">
        <v>0</v>
      </c>
      <c r="D80" s="241">
        <v>0</v>
      </c>
      <c r="E80" s="241">
        <v>0</v>
      </c>
      <c r="F80" s="241"/>
      <c r="G80" s="242"/>
      <c r="H80" s="60"/>
      <c r="I80" s="50"/>
      <c r="J80" s="87"/>
      <c r="K80" s="87"/>
      <c r="L80" s="50"/>
      <c r="M80" s="50"/>
      <c r="N80" s="50"/>
      <c r="O80" s="106"/>
      <c r="P80" s="50"/>
      <c r="Q80" s="345" t="s">
        <v>11</v>
      </c>
      <c r="R80" s="346" t="s">
        <v>62</v>
      </c>
      <c r="S80" s="112">
        <v>0</v>
      </c>
      <c r="T80" s="227">
        <v>0</v>
      </c>
    </row>
    <row r="81" spans="1:20" s="382" customFormat="1" ht="15.75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1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5" t="s">
        <v>11</v>
      </c>
      <c r="R81" s="346" t="s">
        <v>207</v>
      </c>
      <c r="S81" s="112">
        <v>0</v>
      </c>
      <c r="T81" s="227">
        <v>0</v>
      </c>
    </row>
    <row r="82" spans="1:20" s="382" customFormat="1" ht="15.75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38" t="s">
        <v>80</v>
      </c>
      <c r="R82" s="337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2" customFormat="1" ht="16.5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0" t="s">
        <v>154</v>
      </c>
      <c r="R83" s="337" t="s">
        <v>77</v>
      </c>
      <c r="S83" s="88">
        <f>IF(-C82&lt;0,C82,0)</f>
        <v>0</v>
      </c>
      <c r="T83" s="89">
        <f>IF(-C82&lt;0,-C82,0)</f>
        <v>0</v>
      </c>
    </row>
    <row r="84" spans="1:20" s="382" customFormat="1" ht="16.5" thickTop="1" thickBot="1">
      <c r="A84" s="53"/>
      <c r="C84" s="383"/>
      <c r="Q84" s="341" t="s">
        <v>83</v>
      </c>
      <c r="R84" s="339" t="s">
        <v>78</v>
      </c>
      <c r="S84" s="118">
        <f>IF(-C82&gt;0,-C82,0)</f>
        <v>203.37</v>
      </c>
      <c r="T84" s="111">
        <f>IF(-C82&lt;0,-C82,0)</f>
        <v>0</v>
      </c>
    </row>
    <row r="85" spans="1:20" s="382" customFormat="1">
      <c r="A85" s="53"/>
      <c r="T85" s="336">
        <f>ROUND(SUM(S79:T84),2)</f>
        <v>0</v>
      </c>
    </row>
    <row r="86" spans="1:20" s="382" customFormat="1" ht="15.75" thickBot="1">
      <c r="A86" s="53"/>
    </row>
    <row r="87" spans="1:20" s="382" customFormat="1" ht="16.5" thickBot="1">
      <c r="A87" s="58"/>
      <c r="Q87" s="334" t="s">
        <v>107</v>
      </c>
      <c r="R87" s="330"/>
      <c r="S87" s="330"/>
      <c r="T87" s="228"/>
    </row>
    <row r="88" spans="1:20" s="382" customFormat="1" ht="15.75">
      <c r="A88" s="58">
        <v>41425</v>
      </c>
      <c r="B88" s="59" t="s">
        <v>84</v>
      </c>
      <c r="C88" s="50">
        <f>SUM(D88:N88)</f>
        <v>96129.565981999214</v>
      </c>
      <c r="D88" s="240">
        <v>-261363.31669000082</v>
      </c>
      <c r="E88" s="240">
        <v>357492.88267200004</v>
      </c>
      <c r="F88" s="241">
        <v>0</v>
      </c>
      <c r="G88" s="241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3" t="s">
        <v>81</v>
      </c>
      <c r="R88" s="344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2" customFormat="1" ht="15.75">
      <c r="A89" s="62"/>
      <c r="B89" s="59" t="s">
        <v>148</v>
      </c>
      <c r="C89" s="50">
        <v>0</v>
      </c>
      <c r="D89" s="241">
        <v>0</v>
      </c>
      <c r="E89" s="241">
        <v>0</v>
      </c>
      <c r="F89" s="241"/>
      <c r="G89" s="242"/>
      <c r="H89" s="60"/>
      <c r="I89" s="50"/>
      <c r="J89" s="87"/>
      <c r="K89" s="87"/>
      <c r="L89" s="50"/>
      <c r="M89" s="50"/>
      <c r="N89" s="50"/>
      <c r="O89" s="106"/>
      <c r="P89" s="50"/>
      <c r="Q89" s="345" t="s">
        <v>11</v>
      </c>
      <c r="R89" s="346" t="s">
        <v>62</v>
      </c>
      <c r="S89" s="112">
        <v>0</v>
      </c>
      <c r="T89" s="227">
        <v>0</v>
      </c>
    </row>
    <row r="90" spans="1:20" s="382" customFormat="1" ht="15.75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1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5" t="s">
        <v>11</v>
      </c>
      <c r="R90" s="346" t="s">
        <v>207</v>
      </c>
      <c r="S90" s="112">
        <v>0</v>
      </c>
      <c r="T90" s="227">
        <v>0</v>
      </c>
    </row>
    <row r="91" spans="1:20" s="382" customFormat="1" ht="15.75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38" t="s">
        <v>80</v>
      </c>
      <c r="R91" s="337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2" customFormat="1" ht="16.5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0" t="s">
        <v>154</v>
      </c>
      <c r="R92" s="337" t="s">
        <v>77</v>
      </c>
      <c r="S92" s="88">
        <f>IF(-C91&lt;0,C91,0)</f>
        <v>0</v>
      </c>
      <c r="T92" s="89">
        <f>IF(-C91&lt;0,-C91,0)</f>
        <v>0</v>
      </c>
    </row>
    <row r="93" spans="1:20" s="382" customFormat="1" ht="16.5" thickTop="1" thickBot="1">
      <c r="A93" s="53"/>
      <c r="Q93" s="341" t="s">
        <v>83</v>
      </c>
      <c r="R93" s="339" t="s">
        <v>78</v>
      </c>
      <c r="S93" s="118">
        <f>IF(-C91&gt;0,-C91,0)</f>
        <v>213.16</v>
      </c>
      <c r="T93" s="111">
        <f>IF(-C91&lt;0,-C91,0)</f>
        <v>0</v>
      </c>
    </row>
    <row r="94" spans="1:20" s="382" customFormat="1">
      <c r="A94" s="53"/>
      <c r="T94" s="336">
        <f>ROUND(SUM(S88:T93),2)</f>
        <v>0</v>
      </c>
    </row>
    <row r="95" spans="1:20" s="382" customFormat="1" ht="15.75" thickBot="1">
      <c r="A95" s="53"/>
    </row>
    <row r="96" spans="1:20" s="382" customFormat="1" ht="16.5" thickBot="1">
      <c r="A96" s="58"/>
      <c r="Q96" s="334" t="s">
        <v>107</v>
      </c>
      <c r="R96" s="330"/>
      <c r="S96" s="330"/>
      <c r="T96" s="228"/>
    </row>
    <row r="97" spans="1:20" s="382" customFormat="1" ht="15.75">
      <c r="A97" s="58">
        <v>41426</v>
      </c>
      <c r="B97" s="59" t="s">
        <v>84</v>
      </c>
      <c r="C97" s="50">
        <f>SUM(D97:N97)</f>
        <v>316646.56350300065</v>
      </c>
      <c r="D97" s="240">
        <v>-87258.97678599949</v>
      </c>
      <c r="E97" s="240">
        <v>403905.54028900014</v>
      </c>
      <c r="F97" s="241">
        <v>0</v>
      </c>
      <c r="G97" s="24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3" t="s">
        <v>81</v>
      </c>
      <c r="R97" s="344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2" customFormat="1" ht="15.75">
      <c r="A98" s="62"/>
      <c r="B98" s="59" t="s">
        <v>148</v>
      </c>
      <c r="C98" s="50">
        <v>0</v>
      </c>
      <c r="D98" s="241">
        <v>0</v>
      </c>
      <c r="E98" s="241">
        <v>0</v>
      </c>
      <c r="F98" s="241"/>
      <c r="G98" s="242"/>
      <c r="H98" s="60"/>
      <c r="I98" s="50"/>
      <c r="J98" s="87"/>
      <c r="K98" s="87"/>
      <c r="L98" s="50"/>
      <c r="M98" s="50"/>
      <c r="N98" s="50"/>
      <c r="O98" s="106"/>
      <c r="P98" s="50"/>
      <c r="Q98" s="345" t="s">
        <v>11</v>
      </c>
      <c r="R98" s="346" t="s">
        <v>62</v>
      </c>
      <c r="S98" s="112">
        <v>0</v>
      </c>
      <c r="T98" s="227">
        <v>0</v>
      </c>
    </row>
    <row r="99" spans="1:20" s="382" customFormat="1" ht="15.75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5" t="s">
        <v>11</v>
      </c>
      <c r="R99" s="346" t="s">
        <v>207</v>
      </c>
      <c r="S99" s="112">
        <v>0</v>
      </c>
      <c r="T99" s="227">
        <v>0</v>
      </c>
    </row>
    <row r="100" spans="1:20" s="382" customFormat="1" ht="15.75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38" t="s">
        <v>80</v>
      </c>
      <c r="R100" s="337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2" customFormat="1" ht="16.5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0" t="s">
        <v>154</v>
      </c>
      <c r="R101" s="337" t="s">
        <v>77</v>
      </c>
      <c r="S101" s="88">
        <f>IF(-C100&lt;0,C100,0)</f>
        <v>0</v>
      </c>
      <c r="T101" s="89">
        <f>IF(-C100&lt;0,-C100,0)</f>
        <v>0</v>
      </c>
    </row>
    <row r="102" spans="1:20" s="382" customFormat="1" ht="16.5" thickTop="1" thickBot="1">
      <c r="A102" s="53"/>
      <c r="Q102" s="341" t="s">
        <v>83</v>
      </c>
      <c r="R102" s="339" t="s">
        <v>78</v>
      </c>
      <c r="S102" s="118">
        <f>IF(-C100&gt;0,-C100,0)</f>
        <v>41.35</v>
      </c>
      <c r="T102" s="111">
        <f>IF(-C100&lt;0,-C100,0)</f>
        <v>0</v>
      </c>
    </row>
    <row r="103" spans="1:20" s="382" customFormat="1">
      <c r="A103" s="53"/>
      <c r="T103" s="336">
        <f>ROUND(SUM(S97:T102),2)</f>
        <v>0</v>
      </c>
    </row>
    <row r="104" spans="1:20" ht="15.75" thickBot="1"/>
    <row r="105" spans="1:20" s="382" customFormat="1" ht="16.5" thickBot="1">
      <c r="A105" s="58"/>
      <c r="Q105" s="334" t="s">
        <v>107</v>
      </c>
      <c r="R105" s="330"/>
      <c r="S105" s="330"/>
      <c r="T105" s="228"/>
    </row>
    <row r="106" spans="1:20" s="382" customFormat="1" ht="15.75">
      <c r="A106" s="58">
        <v>41456</v>
      </c>
      <c r="B106" s="59" t="s">
        <v>84</v>
      </c>
      <c r="C106" s="50">
        <f>SUM(D106:N106)</f>
        <v>269453.32351300115</v>
      </c>
      <c r="D106" s="240">
        <v>-247183.18822599918</v>
      </c>
      <c r="E106" s="240">
        <v>516636.51173900033</v>
      </c>
      <c r="F106" s="241">
        <v>0</v>
      </c>
      <c r="G106" s="241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3" t="s">
        <v>81</v>
      </c>
      <c r="R106" s="344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2" customFormat="1" ht="15.75">
      <c r="A107" s="62"/>
      <c r="B107" s="59" t="s">
        <v>148</v>
      </c>
      <c r="C107" s="50">
        <v>0</v>
      </c>
      <c r="D107" s="241">
        <v>0</v>
      </c>
      <c r="E107" s="241">
        <v>0</v>
      </c>
      <c r="F107" s="241"/>
      <c r="G107" s="242"/>
      <c r="H107" s="60"/>
      <c r="I107" s="50"/>
      <c r="J107" s="87"/>
      <c r="K107" s="87"/>
      <c r="L107" s="50"/>
      <c r="M107" s="50"/>
      <c r="N107" s="50"/>
      <c r="O107" s="106"/>
      <c r="P107" s="50"/>
      <c r="Q107" s="345" t="s">
        <v>11</v>
      </c>
      <c r="R107" s="346" t="s">
        <v>62</v>
      </c>
      <c r="S107" s="112">
        <v>0</v>
      </c>
      <c r="T107" s="227">
        <v>0</v>
      </c>
    </row>
    <row r="108" spans="1:20" s="382" customFormat="1" ht="15.75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1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5" t="s">
        <v>11</v>
      </c>
      <c r="R108" s="346" t="s">
        <v>207</v>
      </c>
      <c r="S108" s="112">
        <v>0</v>
      </c>
      <c r="T108" s="227">
        <v>0</v>
      </c>
    </row>
    <row r="109" spans="1:20" s="382" customFormat="1" ht="15.75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38" t="s">
        <v>80</v>
      </c>
      <c r="R109" s="337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2" customFormat="1" ht="16.5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0" t="s">
        <v>154</v>
      </c>
      <c r="R110" s="337" t="s">
        <v>77</v>
      </c>
      <c r="S110" s="88">
        <v>0</v>
      </c>
      <c r="T110" s="89">
        <f>IF(-C109&lt;0,-C109,0)</f>
        <v>-202.82</v>
      </c>
    </row>
    <row r="111" spans="1:20" s="382" customFormat="1" ht="16.5" thickTop="1" thickBot="1">
      <c r="A111" s="53"/>
      <c r="Q111" s="341" t="s">
        <v>83</v>
      </c>
      <c r="R111" s="339" t="s">
        <v>78</v>
      </c>
      <c r="S111" s="118">
        <f>IF(-C109&gt;0,-C109,0)</f>
        <v>0</v>
      </c>
      <c r="T111" s="111">
        <v>0</v>
      </c>
    </row>
    <row r="112" spans="1:20" s="382" customFormat="1">
      <c r="A112" s="53"/>
      <c r="T112" s="336">
        <f>ROUND(SUM(S106:T111),2)</f>
        <v>0</v>
      </c>
    </row>
    <row r="113" spans="1:20" ht="15.75" thickBot="1"/>
    <row r="114" spans="1:20" s="382" customFormat="1" ht="16.5" thickBot="1">
      <c r="A114" s="58"/>
      <c r="Q114" s="334" t="s">
        <v>107</v>
      </c>
      <c r="R114" s="330"/>
      <c r="S114" s="330"/>
      <c r="T114" s="228"/>
    </row>
    <row r="115" spans="1:20" s="382" customFormat="1" ht="15.75">
      <c r="A115" s="58">
        <v>41487</v>
      </c>
      <c r="B115" s="59" t="s">
        <v>84</v>
      </c>
      <c r="C115" s="50">
        <f>SUM(D115:N115)</f>
        <v>112699.18364000041</v>
      </c>
      <c r="D115" s="240">
        <v>-357404.51535499981</v>
      </c>
      <c r="E115" s="240">
        <v>470103.69899500022</v>
      </c>
      <c r="F115" s="241">
        <v>0</v>
      </c>
      <c r="G115" s="241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3" t="s">
        <v>81</v>
      </c>
      <c r="R115" s="344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2" customFormat="1" ht="15.75">
      <c r="A116" s="62"/>
      <c r="B116" s="59" t="s">
        <v>148</v>
      </c>
      <c r="C116" s="50">
        <v>0</v>
      </c>
      <c r="D116" s="241">
        <v>0</v>
      </c>
      <c r="E116" s="241">
        <v>0</v>
      </c>
      <c r="F116" s="241"/>
      <c r="G116" s="242"/>
      <c r="H116" s="60"/>
      <c r="I116" s="50"/>
      <c r="J116" s="87"/>
      <c r="K116" s="87"/>
      <c r="L116" s="50"/>
      <c r="M116" s="50"/>
      <c r="N116" s="50"/>
      <c r="O116" s="106"/>
      <c r="P116" s="50"/>
      <c r="Q116" s="345" t="s">
        <v>11</v>
      </c>
      <c r="R116" s="346" t="s">
        <v>62</v>
      </c>
      <c r="S116" s="112">
        <v>0</v>
      </c>
      <c r="T116" s="227">
        <v>0</v>
      </c>
    </row>
    <row r="117" spans="1:20" s="382" customFormat="1" ht="15.75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1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5" t="s">
        <v>11</v>
      </c>
      <c r="R117" s="346" t="s">
        <v>207</v>
      </c>
      <c r="S117" s="112">
        <v>0</v>
      </c>
      <c r="T117" s="227">
        <v>0</v>
      </c>
    </row>
    <row r="118" spans="1:20" s="382" customFormat="1" ht="15.75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38" t="s">
        <v>80</v>
      </c>
      <c r="R118" s="337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2" customFormat="1" ht="16.5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0" t="s">
        <v>154</v>
      </c>
      <c r="R119" s="337" t="s">
        <v>77</v>
      </c>
      <c r="S119" s="88">
        <v>0</v>
      </c>
      <c r="T119" s="89">
        <f>IF(-C118&lt;0,-C118,0)</f>
        <v>-362.22</v>
      </c>
    </row>
    <row r="120" spans="1:20" s="382" customFormat="1" ht="16.5" thickTop="1" thickBot="1">
      <c r="A120" s="53"/>
      <c r="Q120" s="341" t="s">
        <v>83</v>
      </c>
      <c r="R120" s="339" t="s">
        <v>78</v>
      </c>
      <c r="S120" s="118">
        <f>IF(-C118&gt;0,-C118,0)</f>
        <v>0</v>
      </c>
      <c r="T120" s="111">
        <v>0</v>
      </c>
    </row>
    <row r="121" spans="1:20" s="382" customFormat="1">
      <c r="A121" s="53"/>
      <c r="T121" s="336">
        <f>ROUND(SUM(S115:T120),2)</f>
        <v>0</v>
      </c>
    </row>
    <row r="122" spans="1:20" ht="15.75" thickBot="1"/>
    <row r="123" spans="1:20" s="382" customFormat="1" ht="16.5" thickBot="1">
      <c r="A123" s="58"/>
      <c r="Q123" s="334" t="s">
        <v>107</v>
      </c>
      <c r="R123" s="330"/>
      <c r="S123" s="330"/>
      <c r="T123" s="228"/>
    </row>
    <row r="124" spans="1:20" s="382" customFormat="1" ht="15.75">
      <c r="A124" s="58">
        <v>41518</v>
      </c>
      <c r="B124" s="59" t="s">
        <v>84</v>
      </c>
      <c r="C124" s="50">
        <f>SUM(D124:N124)</f>
        <v>-78276.439306000422</v>
      </c>
      <c r="D124" s="240">
        <v>-455176.44495200075</v>
      </c>
      <c r="E124" s="240">
        <v>376900.00564600033</v>
      </c>
      <c r="F124" s="241">
        <v>0</v>
      </c>
      <c r="G124" s="241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3" t="s">
        <v>81</v>
      </c>
      <c r="R124" s="344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2" customFormat="1" ht="15.75">
      <c r="A125" s="62"/>
      <c r="B125" s="59" t="s">
        <v>148</v>
      </c>
      <c r="C125" s="50">
        <v>0</v>
      </c>
      <c r="D125" s="241">
        <v>0</v>
      </c>
      <c r="E125" s="241">
        <v>0</v>
      </c>
      <c r="F125" s="241"/>
      <c r="G125" s="242"/>
      <c r="H125" s="60"/>
      <c r="I125" s="50"/>
      <c r="J125" s="87"/>
      <c r="K125" s="87"/>
      <c r="L125" s="50"/>
      <c r="M125" s="50"/>
      <c r="N125" s="50"/>
      <c r="O125" s="106"/>
      <c r="P125" s="50"/>
      <c r="Q125" s="345" t="s">
        <v>11</v>
      </c>
      <c r="R125" s="346" t="s">
        <v>62</v>
      </c>
      <c r="S125" s="112">
        <v>0</v>
      </c>
      <c r="T125" s="227">
        <v>0</v>
      </c>
    </row>
    <row r="126" spans="1:20" s="382" customFormat="1" ht="15.75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1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5" t="s">
        <v>11</v>
      </c>
      <c r="R126" s="346" t="s">
        <v>207</v>
      </c>
      <c r="S126" s="112">
        <v>0</v>
      </c>
      <c r="T126" s="227">
        <v>0</v>
      </c>
    </row>
    <row r="127" spans="1:20" s="382" customFormat="1" ht="15.75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38" t="s">
        <v>80</v>
      </c>
      <c r="R127" s="337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2" customFormat="1" ht="16.5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0" t="s">
        <v>154</v>
      </c>
      <c r="R128" s="337" t="s">
        <v>77</v>
      </c>
      <c r="S128" s="88">
        <v>0</v>
      </c>
      <c r="T128" s="89">
        <f>IF(-C127&lt;0,-C127,0)</f>
        <v>-376.87</v>
      </c>
    </row>
    <row r="129" spans="1:20" s="382" customFormat="1" ht="16.5" thickTop="1" thickBot="1">
      <c r="A129" s="53"/>
      <c r="Q129" s="341" t="s">
        <v>83</v>
      </c>
      <c r="R129" s="339" t="s">
        <v>78</v>
      </c>
      <c r="S129" s="118">
        <f>IF(-C127&gt;0,-C127,0)</f>
        <v>0</v>
      </c>
      <c r="T129" s="111">
        <v>0</v>
      </c>
    </row>
    <row r="130" spans="1:20" s="382" customFormat="1">
      <c r="A130" s="53"/>
      <c r="T130" s="336">
        <f>ROUND(SUM(S124:T129),2)</f>
        <v>0</v>
      </c>
    </row>
    <row r="131" spans="1:20" ht="15.75">
      <c r="B131" s="2" t="s">
        <v>11</v>
      </c>
      <c r="C131" s="50">
        <f>SUM(D131:H131)</f>
        <v>-108659.43754694135</v>
      </c>
      <c r="D131" s="241">
        <f>-D101</f>
        <v>764537.78326267947</v>
      </c>
      <c r="E131" s="241">
        <f>-E101-0.03</f>
        <v>-881118.99080962082</v>
      </c>
      <c r="F131" s="241"/>
      <c r="G131" s="242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2" customFormat="1" ht="16.5" thickBot="1">
      <c r="A132" s="53"/>
      <c r="B132" s="2" t="s">
        <v>227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2" customFormat="1" ht="15.75" thickTop="1">
      <c r="A133" s="53"/>
    </row>
    <row r="134" spans="1:20" s="382" customFormat="1">
      <c r="A134" s="53"/>
    </row>
    <row r="135" spans="1:20" s="382" customFormat="1" ht="15.75" thickBot="1">
      <c r="A135" s="53"/>
    </row>
    <row r="136" spans="1:20" s="382" customFormat="1" ht="16.5" thickBot="1">
      <c r="A136" s="58"/>
      <c r="Q136" s="334" t="s">
        <v>107</v>
      </c>
      <c r="R136" s="330"/>
      <c r="S136" s="330"/>
      <c r="T136" s="228"/>
    </row>
    <row r="137" spans="1:20" s="382" customFormat="1" ht="15.75">
      <c r="A137" s="58">
        <v>41578</v>
      </c>
      <c r="B137" s="59" t="s">
        <v>84</v>
      </c>
      <c r="C137" s="50">
        <f>SUM(D137:N137)</f>
        <v>-484520.52738299966</v>
      </c>
      <c r="D137" s="240">
        <v>-566000.77746000001</v>
      </c>
      <c r="E137" s="240">
        <v>81480.250077000353</v>
      </c>
      <c r="F137" s="241">
        <v>0</v>
      </c>
      <c r="G137" s="241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3" t="s">
        <v>81</v>
      </c>
      <c r="R137" s="344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2" customFormat="1" ht="15.75">
      <c r="A138" s="62"/>
      <c r="B138" s="59" t="s">
        <v>148</v>
      </c>
      <c r="C138" s="50">
        <f>SUM(D138:H138)</f>
        <v>0</v>
      </c>
      <c r="D138" s="241">
        <v>0</v>
      </c>
      <c r="E138" s="241">
        <v>0</v>
      </c>
      <c r="F138" s="241"/>
      <c r="G138" s="242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5" t="s">
        <v>11</v>
      </c>
      <c r="R138" s="346" t="s">
        <v>62</v>
      </c>
      <c r="S138" s="112">
        <f>-C131</f>
        <v>108659.43754694135</v>
      </c>
      <c r="T138" s="227">
        <v>0</v>
      </c>
    </row>
    <row r="139" spans="1:20" s="382" customFormat="1" ht="15.75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1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5" t="s">
        <v>11</v>
      </c>
      <c r="R139" s="346" t="s">
        <v>207</v>
      </c>
      <c r="S139" s="112">
        <v>0</v>
      </c>
      <c r="T139" s="227">
        <v>0</v>
      </c>
    </row>
    <row r="140" spans="1:20" s="382" customFormat="1" ht="15.75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38" t="s">
        <v>80</v>
      </c>
      <c r="R140" s="337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2" customFormat="1" ht="16.5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0" t="s">
        <v>154</v>
      </c>
      <c r="R141" s="337" t="s">
        <v>77</v>
      </c>
      <c r="S141" s="88">
        <v>0</v>
      </c>
      <c r="T141" s="89">
        <f>IF(-C140&lt;0,-C140,0)</f>
        <v>-52.13</v>
      </c>
    </row>
    <row r="142" spans="1:20" s="382" customFormat="1" ht="16.5" thickTop="1" thickBot="1">
      <c r="A142" s="53"/>
      <c r="Q142" s="341" t="s">
        <v>83</v>
      </c>
      <c r="R142" s="339" t="s">
        <v>78</v>
      </c>
      <c r="S142" s="118">
        <f>IF(-C140&gt;0,-C140,0)</f>
        <v>0</v>
      </c>
      <c r="T142" s="111">
        <v>0</v>
      </c>
    </row>
    <row r="143" spans="1:20" s="382" customFormat="1">
      <c r="A143" s="53"/>
      <c r="T143" s="336">
        <f>ROUND(SUM(S137:T142),2)</f>
        <v>0</v>
      </c>
    </row>
    <row r="144" spans="1:20" s="382" customFormat="1" ht="15.75" thickBot="1">
      <c r="A144" s="53"/>
    </row>
    <row r="145" spans="1:20" s="382" customFormat="1" ht="16.5" thickBot="1">
      <c r="A145" s="58"/>
      <c r="Q145" s="334" t="s">
        <v>107</v>
      </c>
      <c r="R145" s="330"/>
      <c r="S145" s="330"/>
      <c r="T145" s="228"/>
    </row>
    <row r="146" spans="1:20" s="382" customFormat="1" ht="15.75">
      <c r="A146" s="58">
        <f>EOMONTH(A141,1)</f>
        <v>41608</v>
      </c>
      <c r="B146" s="59" t="s">
        <v>84</v>
      </c>
      <c r="C146" s="50">
        <f>SUM(D146:N146)</f>
        <v>-593071.07474399754</v>
      </c>
      <c r="D146" s="240">
        <v>-244467.20447699772</v>
      </c>
      <c r="E146" s="240">
        <v>-348603.87026699982</v>
      </c>
      <c r="F146" s="241">
        <v>0</v>
      </c>
      <c r="G146" s="241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3" t="s">
        <v>81</v>
      </c>
      <c r="R146" s="344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2" customFormat="1" ht="15.75">
      <c r="A147" s="62"/>
      <c r="B147" s="59" t="s">
        <v>148</v>
      </c>
      <c r="C147" s="50">
        <f>SUM(D147:H147)</f>
        <v>2369.0025250000003</v>
      </c>
      <c r="D147" s="241">
        <v>2367.0300000000002</v>
      </c>
      <c r="E147" s="241">
        <v>0</v>
      </c>
      <c r="F147" s="241"/>
      <c r="G147" s="242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5" t="s">
        <v>11</v>
      </c>
      <c r="R147" s="346" t="s">
        <v>62</v>
      </c>
      <c r="S147" s="112">
        <v>0</v>
      </c>
      <c r="T147" s="227">
        <v>0</v>
      </c>
    </row>
    <row r="148" spans="1:20" s="382" customFormat="1" ht="15.75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1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5" t="s">
        <v>11</v>
      </c>
      <c r="R148" s="346" t="s">
        <v>207</v>
      </c>
      <c r="S148" s="112">
        <v>0</v>
      </c>
      <c r="T148" s="227">
        <v>0</v>
      </c>
    </row>
    <row r="149" spans="1:20" s="382" customFormat="1" ht="15.75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38" t="s">
        <v>80</v>
      </c>
      <c r="R149" s="337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2" customFormat="1" ht="16.5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0" t="s">
        <v>154</v>
      </c>
      <c r="R150" s="337" t="s">
        <v>77</v>
      </c>
      <c r="S150" s="88">
        <v>0</v>
      </c>
      <c r="T150" s="89">
        <f>IF(-C149&lt;0,-C149,0)</f>
        <v>0</v>
      </c>
    </row>
    <row r="151" spans="1:20" s="382" customFormat="1" ht="16.5" thickTop="1" thickBot="1">
      <c r="A151" s="53"/>
      <c r="Q151" s="341" t="s">
        <v>83</v>
      </c>
      <c r="R151" s="339" t="s">
        <v>78</v>
      </c>
      <c r="S151" s="118">
        <f>IF(-C149&gt;0,-C149,0)</f>
        <v>396.82</v>
      </c>
      <c r="T151" s="111">
        <v>0</v>
      </c>
    </row>
    <row r="152" spans="1:20" s="382" customFormat="1">
      <c r="A152" s="53"/>
      <c r="T152" s="336">
        <f>ROUND(SUM(S146:T151),2)</f>
        <v>0</v>
      </c>
    </row>
    <row r="153" spans="1:20" s="382" customFormat="1" ht="15.75" thickBot="1">
      <c r="A153" s="53"/>
    </row>
    <row r="154" spans="1:20" s="382" customFormat="1" ht="16.5" thickBot="1">
      <c r="A154" s="58"/>
      <c r="Q154" s="334" t="s">
        <v>238</v>
      </c>
      <c r="R154" s="330"/>
      <c r="S154" s="330"/>
      <c r="T154" s="228"/>
    </row>
    <row r="155" spans="1:20" s="382" customFormat="1" ht="15.75">
      <c r="A155" s="58">
        <f>EOMONTH(A150,1)</f>
        <v>41639</v>
      </c>
      <c r="B155" s="59" t="s">
        <v>84</v>
      </c>
      <c r="C155" s="50">
        <f>SUM(D155:N155)</f>
        <v>-820435.88225500053</v>
      </c>
      <c r="D155" s="240">
        <f>Jan!$J$55</f>
        <v>-301284.36970700044</v>
      </c>
      <c r="E155" s="240">
        <f>Jan!$K$55</f>
        <v>-519151.51254800009</v>
      </c>
      <c r="F155" s="241">
        <v>0</v>
      </c>
      <c r="G155" s="241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3" t="s">
        <v>81</v>
      </c>
      <c r="R155" s="344" t="s">
        <v>58</v>
      </c>
      <c r="S155" s="112">
        <f>IF((-C150+C159)&gt;0,(-C150+C159),0)</f>
        <v>0</v>
      </c>
      <c r="T155" s="117">
        <f>IF((-C150+C159)&lt;0,(-C150+C159),0)</f>
        <v>-821420.02225500043</v>
      </c>
    </row>
    <row r="156" spans="1:20" s="382" customFormat="1" ht="15.75">
      <c r="A156" s="62"/>
      <c r="B156" s="59" t="s">
        <v>234</v>
      </c>
      <c r="C156" s="50">
        <f>SUM(D156:H156)</f>
        <v>0</v>
      </c>
      <c r="D156" s="241">
        <v>0</v>
      </c>
      <c r="E156" s="241">
        <v>0</v>
      </c>
      <c r="F156" s="241"/>
      <c r="G156" s="242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5" t="s">
        <v>11</v>
      </c>
      <c r="R156" s="346" t="s">
        <v>62</v>
      </c>
      <c r="S156" s="112">
        <v>0</v>
      </c>
      <c r="T156" s="227">
        <v>0</v>
      </c>
    </row>
    <row r="157" spans="1:20" s="382" customFormat="1" ht="15.75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1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5" t="s">
        <v>11</v>
      </c>
      <c r="R157" s="346" t="s">
        <v>207</v>
      </c>
      <c r="S157" s="112">
        <v>0</v>
      </c>
      <c r="T157" s="227">
        <v>0</v>
      </c>
    </row>
    <row r="158" spans="1:20" s="382" customFormat="1" ht="15.75">
      <c r="A158" s="62"/>
      <c r="B158" s="59" t="s">
        <v>57</v>
      </c>
      <c r="C158" s="64">
        <f>SUM(D158:N158)</f>
        <v>-984.14</v>
      </c>
      <c r="D158" s="64"/>
      <c r="E158" s="64"/>
      <c r="F158" s="64"/>
      <c r="G158" s="64"/>
      <c r="H158" s="64">
        <f>ROUND(((C150)+(C155)/2)*(O158/12),2)</f>
        <v>-984.14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38" t="s">
        <v>80</v>
      </c>
      <c r="R158" s="337" t="s">
        <v>59</v>
      </c>
      <c r="S158" s="88">
        <f>IF((-C155-C157)&gt;0,(-C155-C157),0)</f>
        <v>820435.88225500053</v>
      </c>
      <c r="T158" s="89">
        <f>IF((-C155-C156-C157)&lt;0,(-C155-C156-C157),0)</f>
        <v>0</v>
      </c>
    </row>
    <row r="159" spans="1:20" s="382" customFormat="1" ht="16.5" thickBot="1">
      <c r="A159" s="104">
        <f>A155</f>
        <v>41639</v>
      </c>
      <c r="B159" s="50" t="s">
        <v>56</v>
      </c>
      <c r="C159" s="158">
        <f>SUM(C150:C158)</f>
        <v>-1592169.3640099976</v>
      </c>
      <c r="D159" s="158">
        <f t="shared" ref="D159" si="22">SUM(D150:D158)</f>
        <v>-2169149.4701769976</v>
      </c>
      <c r="E159" s="158">
        <f t="shared" ref="E159" si="23">SUM(E150:E158)</f>
        <v>577365.05364200124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-384.94747500000005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0" t="s">
        <v>154</v>
      </c>
      <c r="R159" s="337" t="s">
        <v>77</v>
      </c>
      <c r="S159" s="88">
        <v>0</v>
      </c>
      <c r="T159" s="89">
        <f>IF(-C158&lt;0,-C158,0)</f>
        <v>0</v>
      </c>
    </row>
    <row r="160" spans="1:20" s="382" customFormat="1" ht="17.25" thickTop="1" thickBot="1">
      <c r="A160" s="53"/>
      <c r="B160" s="9" t="s">
        <v>247</v>
      </c>
      <c r="C160" s="382">
        <f>SUM(D160:H160)</f>
        <v>-487553.62</v>
      </c>
      <c r="D160" s="240"/>
      <c r="E160" s="240">
        <v>-481637.67</v>
      </c>
      <c r="F160" s="241"/>
      <c r="G160" s="241"/>
      <c r="H160" s="50">
        <v>-5915.95</v>
      </c>
      <c r="Q160" s="341" t="s">
        <v>83</v>
      </c>
      <c r="R160" s="339" t="s">
        <v>78</v>
      </c>
      <c r="S160" s="118">
        <f>IF(-C158&gt;0,-C158,0)</f>
        <v>984.14</v>
      </c>
      <c r="T160" s="111">
        <v>0</v>
      </c>
    </row>
    <row r="161" spans="1:20" s="382" customFormat="1" ht="15.75">
      <c r="A161" s="53"/>
      <c r="B161" s="9" t="s">
        <v>241</v>
      </c>
      <c r="C161" s="472">
        <f>SUM(C159:C160)</f>
        <v>-2079722.9840099975</v>
      </c>
      <c r="D161" s="472">
        <f>D160+D159</f>
        <v>-2169149.4701769976</v>
      </c>
      <c r="E161" s="472">
        <f>E160+E159</f>
        <v>95727.383642001252</v>
      </c>
      <c r="F161" s="472">
        <f>F160+F159</f>
        <v>0</v>
      </c>
      <c r="G161" s="472">
        <f>G160+G159</f>
        <v>0</v>
      </c>
      <c r="H161" s="472">
        <f>H160+H159</f>
        <v>-6300.8974749999998</v>
      </c>
      <c r="I161" s="472"/>
      <c r="J161" s="472"/>
      <c r="K161" s="472"/>
      <c r="L161" s="472"/>
      <c r="M161" s="472">
        <f>M160+M159</f>
        <v>0</v>
      </c>
      <c r="N161" s="472">
        <f>N160+N159</f>
        <v>0</v>
      </c>
      <c r="S161" s="66"/>
      <c r="T161" s="336">
        <f>ROUND(SUM(S155:T160),2)</f>
        <v>0</v>
      </c>
    </row>
    <row r="162" spans="1:20" ht="16.5" thickBot="1">
      <c r="B162" s="9" t="s">
        <v>242</v>
      </c>
      <c r="C162" s="382" t="e">
        <f>_xll.Get_Balance("201312","YTD","USD","Total","A","","001","191010","GD","ID","DL")</f>
        <v>#VALUE!</v>
      </c>
      <c r="D162" s="382"/>
      <c r="E162" s="382"/>
      <c r="F162" s="382"/>
      <c r="G162" s="382"/>
      <c r="H162" s="382"/>
      <c r="M162" s="382"/>
      <c r="N162" s="382"/>
    </row>
    <row r="163" spans="1:20" ht="16.5" thickBot="1">
      <c r="B163" s="9" t="s">
        <v>243</v>
      </c>
      <c r="C163" s="158" t="e">
        <f>C161-C162</f>
        <v>#VALUE!</v>
      </c>
      <c r="D163" s="382"/>
      <c r="E163" s="382"/>
      <c r="F163" s="382"/>
      <c r="G163" s="382"/>
      <c r="H163" s="382"/>
      <c r="I163" s="382"/>
      <c r="J163" s="382"/>
      <c r="K163" s="382"/>
      <c r="L163" s="382"/>
      <c r="M163" s="382"/>
      <c r="N163" s="382"/>
      <c r="Q163" s="334" t="s">
        <v>239</v>
      </c>
      <c r="R163" s="330"/>
      <c r="S163" s="330"/>
      <c r="T163" s="228"/>
    </row>
    <row r="164" spans="1:20" ht="15.75" thickTop="1">
      <c r="D164" s="382"/>
      <c r="E164" s="382"/>
      <c r="F164" s="382"/>
      <c r="G164" s="382"/>
      <c r="H164" s="382"/>
      <c r="I164" s="382"/>
      <c r="J164" s="382"/>
      <c r="K164" s="382"/>
      <c r="L164" s="382"/>
      <c r="M164" s="382"/>
      <c r="N164" s="382"/>
      <c r="Q164" s="343" t="s">
        <v>81</v>
      </c>
      <c r="R164" s="344" t="s">
        <v>58</v>
      </c>
      <c r="S164" s="112">
        <v>0</v>
      </c>
      <c r="T164" s="117">
        <v>-1943728.32</v>
      </c>
    </row>
    <row r="165" spans="1:20">
      <c r="Q165" s="345" t="s">
        <v>11</v>
      </c>
      <c r="R165" s="346" t="s">
        <v>62</v>
      </c>
      <c r="S165" s="112">
        <v>0</v>
      </c>
      <c r="T165" s="227">
        <v>0</v>
      </c>
    </row>
    <row r="166" spans="1:20">
      <c r="Q166" s="345" t="s">
        <v>11</v>
      </c>
      <c r="R166" s="346" t="s">
        <v>207</v>
      </c>
      <c r="S166" s="112">
        <v>0</v>
      </c>
      <c r="T166" s="227">
        <v>0</v>
      </c>
    </row>
    <row r="167" spans="1:20">
      <c r="Q167" s="338" t="s">
        <v>80</v>
      </c>
      <c r="R167" s="337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0" t="s">
        <v>154</v>
      </c>
      <c r="R168" s="337" t="s">
        <v>77</v>
      </c>
      <c r="S168" s="88">
        <v>0</v>
      </c>
      <c r="T168" s="89">
        <f>IF(-C167&lt;0,-C167,0)</f>
        <v>0</v>
      </c>
    </row>
    <row r="169" spans="1:20" ht="15.75" thickBot="1">
      <c r="Q169" s="341" t="s">
        <v>83</v>
      </c>
      <c r="R169" s="339" t="s">
        <v>78</v>
      </c>
      <c r="S169" s="118">
        <v>1451.57</v>
      </c>
      <c r="T169" s="111">
        <v>0</v>
      </c>
    </row>
    <row r="170" spans="1:20">
      <c r="Q170" s="382"/>
      <c r="R170" s="382"/>
      <c r="S170" s="66"/>
      <c r="T170" s="336">
        <f>ROUND(SUM(S164:T169),2)</f>
        <v>0</v>
      </c>
    </row>
    <row r="171" spans="1:20" ht="15.75" thickBot="1"/>
    <row r="172" spans="1:20" ht="15.75" thickBot="1">
      <c r="Q172" s="334" t="s">
        <v>240</v>
      </c>
      <c r="R172" s="330"/>
      <c r="S172" s="330"/>
      <c r="T172" s="228"/>
    </row>
    <row r="173" spans="1:20">
      <c r="Q173" s="343" t="s">
        <v>81</v>
      </c>
      <c r="R173" s="344" t="s">
        <v>58</v>
      </c>
      <c r="S173" s="112">
        <f>T155-T164</f>
        <v>1122308.2977449996</v>
      </c>
      <c r="T173" s="117">
        <f>IF((-C168+C177)&lt;0,(-C168+C177),0)</f>
        <v>0</v>
      </c>
    </row>
    <row r="174" spans="1:20">
      <c r="Q174" s="345" t="s">
        <v>11</v>
      </c>
      <c r="R174" s="346" t="s">
        <v>62</v>
      </c>
      <c r="S174" s="112">
        <v>0</v>
      </c>
      <c r="T174" s="227">
        <v>0</v>
      </c>
    </row>
    <row r="175" spans="1:20">
      <c r="Q175" s="345" t="s">
        <v>11</v>
      </c>
      <c r="R175" s="346" t="s">
        <v>207</v>
      </c>
      <c r="S175" s="112">
        <v>0</v>
      </c>
      <c r="T175" s="227">
        <v>0</v>
      </c>
    </row>
    <row r="176" spans="1:20">
      <c r="Q176" s="338" t="s">
        <v>80</v>
      </c>
      <c r="R176" s="337" t="s">
        <v>59</v>
      </c>
      <c r="S176" s="88">
        <f>IF((-C173-C175)&gt;0,(-C173-C175),0)</f>
        <v>0</v>
      </c>
      <c r="T176" s="89">
        <f>S158-S167</f>
        <v>-1121840.8677449995</v>
      </c>
    </row>
    <row r="177" spans="17:20">
      <c r="Q177" s="340" t="s">
        <v>154</v>
      </c>
      <c r="R177" s="337" t="s">
        <v>77</v>
      </c>
      <c r="S177" s="88">
        <v>0</v>
      </c>
      <c r="T177" s="89">
        <f>IF(-C176&lt;0,-C176,0)</f>
        <v>0</v>
      </c>
    </row>
    <row r="178" spans="17:20" ht="15.75" thickBot="1">
      <c r="Q178" s="341" t="s">
        <v>83</v>
      </c>
      <c r="R178" s="339" t="s">
        <v>78</v>
      </c>
      <c r="S178" s="118">
        <f>IF(-C176&gt;0,-C176,0)</f>
        <v>0</v>
      </c>
      <c r="T178" s="111">
        <f>S160-S169</f>
        <v>-467.42999999999995</v>
      </c>
    </row>
    <row r="179" spans="17:20">
      <c r="Q179" s="382"/>
      <c r="R179" s="382"/>
      <c r="S179" s="66"/>
      <c r="T179" s="336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7109375" defaultRowHeight="15"/>
  <cols>
    <col min="1" max="1" width="11.42578125" style="53" customWidth="1"/>
    <col min="2" max="2" width="27.140625" style="329" customWidth="1"/>
    <col min="3" max="3" width="18.42578125" style="329" customWidth="1"/>
    <col min="4" max="4" width="19.140625" style="329" bestFit="1" customWidth="1"/>
    <col min="5" max="5" width="19.42578125" style="329" bestFit="1" customWidth="1"/>
    <col min="6" max="7" width="13.140625" style="329" customWidth="1"/>
    <col min="8" max="8" width="16.7109375" style="329" bestFit="1" customWidth="1"/>
    <col min="9" max="9" width="14.42578125" style="329" hidden="1" customWidth="1"/>
    <col min="10" max="10" width="13.28515625" style="329" hidden="1" customWidth="1"/>
    <col min="11" max="11" width="15.140625" style="329" hidden="1" customWidth="1"/>
    <col min="12" max="12" width="18.140625" style="329" hidden="1" customWidth="1"/>
    <col min="13" max="14" width="12.5703125" style="329" customWidth="1"/>
    <col min="15" max="15" width="11.28515625" style="329" customWidth="1"/>
    <col min="16" max="16" width="2.28515625" style="329" customWidth="1"/>
    <col min="17" max="17" width="26.85546875" style="329" customWidth="1"/>
    <col min="18" max="18" width="16.42578125" style="329" customWidth="1"/>
    <col min="19" max="19" width="17" style="329" customWidth="1"/>
    <col min="20" max="20" width="19.7109375" style="329" customWidth="1"/>
    <col min="21" max="16384" width="9.7109375" style="329"/>
  </cols>
  <sheetData>
    <row r="1" spans="1:20" ht="15.75">
      <c r="A1" s="51" t="s">
        <v>13</v>
      </c>
      <c r="M1" s="41"/>
    </row>
    <row r="2" spans="1:20" ht="15.75">
      <c r="A2" s="51" t="s">
        <v>46</v>
      </c>
    </row>
    <row r="3" spans="1:20" ht="15.75">
      <c r="A3" s="51" t="s">
        <v>201</v>
      </c>
    </row>
    <row r="4" spans="1:20" ht="15.75">
      <c r="A4" s="51" t="s">
        <v>202</v>
      </c>
    </row>
    <row r="5" spans="1:20">
      <c r="Q5" s="264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203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0" customFormat="1" ht="15.75" hidden="1" customHeight="1">
      <c r="A8" s="378"/>
      <c r="B8" s="246" t="s">
        <v>11</v>
      </c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T8" s="372"/>
    </row>
    <row r="9" spans="1:20" s="380" customFormat="1" ht="16.5" hidden="1" customHeight="1" thickBot="1">
      <c r="A9" s="378"/>
      <c r="B9" s="246" t="s">
        <v>204</v>
      </c>
      <c r="C9" s="381">
        <v>-1550000</v>
      </c>
      <c r="D9" s="381">
        <f>-'ID Def 191010'!D10</f>
        <v>-883736.20005990437</v>
      </c>
      <c r="E9" s="381">
        <f>-'ID Def 191010'!E10</f>
        <v>-659271.7478600872</v>
      </c>
      <c r="F9" s="381">
        <v>0</v>
      </c>
      <c r="G9" s="381">
        <v>0</v>
      </c>
      <c r="H9" s="381">
        <f>-'ID Def 191010'!H10</f>
        <v>-6992.0520800084523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T9" s="372"/>
    </row>
    <row r="10" spans="1:20" s="55" customFormat="1" ht="15.75" hidden="1" customHeight="1" thickTop="1" thickBot="1">
      <c r="A10" s="54"/>
    </row>
    <row r="11" spans="1:20" ht="15.75" hidden="1" customHeight="1" thickBot="1">
      <c r="Q11" s="334" t="s">
        <v>107</v>
      </c>
      <c r="R11" s="330"/>
      <c r="S11" s="330"/>
      <c r="T11" s="228"/>
    </row>
    <row r="12" spans="1:20" ht="15.75" hidden="1" customHeight="1">
      <c r="A12" s="58">
        <v>41183</v>
      </c>
      <c r="B12" s="59" t="s">
        <v>84</v>
      </c>
      <c r="C12" s="11">
        <v>0</v>
      </c>
      <c r="D12" s="247">
        <v>0</v>
      </c>
      <c r="E12" s="247">
        <v>0</v>
      </c>
      <c r="F12" s="248">
        <v>0</v>
      </c>
      <c r="G12" s="248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0" t="s">
        <v>209</v>
      </c>
      <c r="R12" s="391" t="s">
        <v>207</v>
      </c>
      <c r="S12" s="333">
        <f>IF(SUM(C12:C15)&gt;0,C12+C13+C15+C14,0)</f>
        <v>0</v>
      </c>
      <c r="T12" s="335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48"/>
      <c r="E13" s="248">
        <v>0</v>
      </c>
      <c r="F13" s="248"/>
      <c r="G13" s="249"/>
      <c r="H13" s="60"/>
      <c r="I13" s="50"/>
      <c r="J13" s="87"/>
      <c r="K13" s="87"/>
      <c r="L13" s="50"/>
      <c r="M13" s="50"/>
      <c r="N13" s="50"/>
      <c r="O13" s="106"/>
      <c r="P13" s="50"/>
      <c r="Q13" s="345" t="s">
        <v>11</v>
      </c>
      <c r="R13" s="346" t="s">
        <v>62</v>
      </c>
      <c r="S13" s="333">
        <v>0</v>
      </c>
      <c r="T13" s="335">
        <v>0</v>
      </c>
    </row>
    <row r="14" spans="1:20" ht="15.75" hidden="1" customHeight="1">
      <c r="A14" s="62"/>
      <c r="B14" s="59" t="s">
        <v>144</v>
      </c>
      <c r="C14" s="11">
        <v>0</v>
      </c>
      <c r="D14" s="246">
        <v>0</v>
      </c>
      <c r="E14" s="246"/>
      <c r="F14" s="246"/>
      <c r="G14" s="248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38" t="s">
        <v>80</v>
      </c>
      <c r="R14" s="337" t="s">
        <v>59</v>
      </c>
      <c r="S14" s="112">
        <f>IF(SUM(C12)&lt;0,-C12,0)</f>
        <v>0</v>
      </c>
      <c r="T14" s="335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0" t="s">
        <v>154</v>
      </c>
      <c r="R15" s="337" t="s">
        <v>77</v>
      </c>
      <c r="S15" s="342">
        <v>0</v>
      </c>
      <c r="T15" s="335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1" t="s">
        <v>83</v>
      </c>
      <c r="R16" s="339" t="s">
        <v>78</v>
      </c>
      <c r="S16" s="116">
        <f>IF(SUM(C15)&lt;0,-C15,0)</f>
        <v>1291.67</v>
      </c>
      <c r="T16" s="389">
        <v>0</v>
      </c>
    </row>
    <row r="17" spans="1:20" ht="16.5" hidden="1" customHeight="1" thickTop="1" thickBot="1">
      <c r="T17" s="336">
        <v>0</v>
      </c>
    </row>
    <row r="18" spans="1:20" s="382" customFormat="1" ht="15.75" hidden="1" customHeight="1" thickBot="1">
      <c r="A18" s="53"/>
      <c r="Q18" s="334" t="s">
        <v>107</v>
      </c>
      <c r="R18" s="330"/>
      <c r="S18" s="330"/>
      <c r="T18" s="228"/>
    </row>
    <row r="19" spans="1:20" s="382" customFormat="1" ht="15.75" hidden="1" customHeight="1">
      <c r="A19" s="58">
        <v>41214</v>
      </c>
      <c r="B19" s="59" t="s">
        <v>84</v>
      </c>
      <c r="C19" s="11">
        <f>SUM(D19:N19)</f>
        <v>0</v>
      </c>
      <c r="D19" s="247">
        <v>0</v>
      </c>
      <c r="E19" s="247">
        <v>0</v>
      </c>
      <c r="F19" s="248">
        <v>0</v>
      </c>
      <c r="G19" s="248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0" t="s">
        <v>209</v>
      </c>
      <c r="R19" s="391" t="s">
        <v>207</v>
      </c>
      <c r="S19" s="333">
        <f>IF(SUM(C19:C22)&gt;0,C19+C20+C22+C21,0)</f>
        <v>0</v>
      </c>
      <c r="T19" s="335">
        <f>IF(SUM(C19:C22)&lt;0,C19+C20+C22+C21,0)</f>
        <v>-1292.74</v>
      </c>
    </row>
    <row r="20" spans="1:20" s="382" customFormat="1" ht="15.75" hidden="1" customHeight="1">
      <c r="A20" s="62"/>
      <c r="B20" s="59" t="s">
        <v>148</v>
      </c>
      <c r="C20" s="11">
        <f>SUM(D20:N20)</f>
        <v>0</v>
      </c>
      <c r="D20" s="248"/>
      <c r="E20" s="248">
        <v>0</v>
      </c>
      <c r="F20" s="248"/>
      <c r="G20" s="249"/>
      <c r="H20" s="60"/>
      <c r="I20" s="50"/>
      <c r="J20" s="87"/>
      <c r="K20" s="87"/>
      <c r="L20" s="50"/>
      <c r="M20" s="50"/>
      <c r="N20" s="50"/>
      <c r="O20" s="106"/>
      <c r="P20" s="50"/>
      <c r="Q20" s="345" t="s">
        <v>11</v>
      </c>
      <c r="R20" s="346" t="s">
        <v>62</v>
      </c>
      <c r="S20" s="333">
        <v>0</v>
      </c>
      <c r="T20" s="335">
        <v>0</v>
      </c>
    </row>
    <row r="21" spans="1:20" s="382" customFormat="1" ht="15.75" hidden="1" customHeight="1">
      <c r="A21" s="62"/>
      <c r="B21" s="59" t="s">
        <v>144</v>
      </c>
      <c r="C21" s="11">
        <f>SUM(D21:N21)</f>
        <v>0</v>
      </c>
      <c r="D21" s="246">
        <v>0</v>
      </c>
      <c r="E21" s="246"/>
      <c r="F21" s="246"/>
      <c r="G21" s="248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38" t="s">
        <v>80</v>
      </c>
      <c r="R21" s="337" t="s">
        <v>59</v>
      </c>
      <c r="S21" s="112">
        <f>IF(SUM(C19)&lt;0,-C19,0)</f>
        <v>0</v>
      </c>
      <c r="T21" s="335">
        <f>IF(SUM(C19)&gt;0,-C19,0)</f>
        <v>0</v>
      </c>
    </row>
    <row r="22" spans="1:20" s="382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0" t="s">
        <v>154</v>
      </c>
      <c r="R22" s="337" t="s">
        <v>77</v>
      </c>
      <c r="S22" s="342">
        <v>0</v>
      </c>
      <c r="T22" s="335">
        <f>IF(SUM(C22)&gt;0,-C22,0)</f>
        <v>0</v>
      </c>
    </row>
    <row r="23" spans="1:20" s="382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1" t="s">
        <v>83</v>
      </c>
      <c r="R23" s="339" t="s">
        <v>78</v>
      </c>
      <c r="S23" s="116">
        <f>IF(SUM(C22)&lt;0,-C22,0)</f>
        <v>1292.74</v>
      </c>
      <c r="T23" s="389">
        <v>0</v>
      </c>
    </row>
    <row r="24" spans="1:20" s="382" customFormat="1" ht="16.5" hidden="1" customHeight="1" thickTop="1" thickBot="1">
      <c r="A24" s="53"/>
      <c r="T24" s="336">
        <v>0</v>
      </c>
    </row>
    <row r="25" spans="1:20" s="382" customFormat="1" ht="15.75" hidden="1" customHeight="1" thickBot="1">
      <c r="A25" s="53"/>
      <c r="Q25" s="334" t="s">
        <v>107</v>
      </c>
      <c r="R25" s="330"/>
      <c r="S25" s="330"/>
      <c r="T25" s="228"/>
    </row>
    <row r="26" spans="1:20" s="382" customFormat="1" ht="15.75" hidden="1" customHeight="1">
      <c r="A26" s="58">
        <v>41244</v>
      </c>
      <c r="B26" s="59" t="s">
        <v>84</v>
      </c>
      <c r="C26" s="11">
        <f>SUM(D26:N26)</f>
        <v>0</v>
      </c>
      <c r="D26" s="247">
        <v>0</v>
      </c>
      <c r="E26" s="247">
        <v>0</v>
      </c>
      <c r="F26" s="248">
        <v>0</v>
      </c>
      <c r="G26" s="248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0" t="s">
        <v>209</v>
      </c>
      <c r="R26" s="391" t="s">
        <v>207</v>
      </c>
      <c r="S26" s="333">
        <f>IF(SUM(C26:C29)&gt;0,C26+C27+C29+C28,0)</f>
        <v>0</v>
      </c>
      <c r="T26" s="335">
        <f>IF(SUM(C26:C29)&lt;0,C26+C27+C29+C28,0)</f>
        <v>-1293.82</v>
      </c>
    </row>
    <row r="27" spans="1:20" s="382" customFormat="1" ht="15.75" hidden="1" customHeight="1">
      <c r="A27" s="62"/>
      <c r="B27" s="59" t="s">
        <v>148</v>
      </c>
      <c r="C27" s="11">
        <f>SUM(D27:N27)</f>
        <v>0</v>
      </c>
      <c r="D27" s="248"/>
      <c r="E27" s="248">
        <v>0</v>
      </c>
      <c r="F27" s="248"/>
      <c r="G27" s="249"/>
      <c r="H27" s="60"/>
      <c r="I27" s="50"/>
      <c r="J27" s="87"/>
      <c r="K27" s="87"/>
      <c r="L27" s="50"/>
      <c r="M27" s="50"/>
      <c r="N27" s="50"/>
      <c r="O27" s="106"/>
      <c r="P27" s="50"/>
      <c r="Q27" s="345" t="s">
        <v>11</v>
      </c>
      <c r="R27" s="346" t="s">
        <v>62</v>
      </c>
      <c r="S27" s="333">
        <v>0</v>
      </c>
      <c r="T27" s="335">
        <v>0</v>
      </c>
    </row>
    <row r="28" spans="1:20" s="382" customFormat="1" ht="15.75" hidden="1" customHeight="1">
      <c r="A28" s="62"/>
      <c r="B28" s="59" t="s">
        <v>144</v>
      </c>
      <c r="C28" s="11">
        <f>SUM(D28:N28)</f>
        <v>0</v>
      </c>
      <c r="D28" s="246">
        <v>0</v>
      </c>
      <c r="E28" s="246"/>
      <c r="F28" s="246"/>
      <c r="G28" s="248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38" t="s">
        <v>80</v>
      </c>
      <c r="R28" s="337" t="s">
        <v>59</v>
      </c>
      <c r="S28" s="112">
        <f>IF(SUM(C26)&lt;0,-C26,0)</f>
        <v>0</v>
      </c>
      <c r="T28" s="335">
        <f>IF(SUM(C26)&gt;0,-C26,0)</f>
        <v>0</v>
      </c>
    </row>
    <row r="29" spans="1:20" s="382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0" t="s">
        <v>154</v>
      </c>
      <c r="R29" s="337" t="s">
        <v>77</v>
      </c>
      <c r="S29" s="342">
        <v>0</v>
      </c>
      <c r="T29" s="335">
        <f>IF(SUM(C29)&gt;0,-C29,0)</f>
        <v>0</v>
      </c>
    </row>
    <row r="30" spans="1:20" s="382" customFormat="1" ht="16.5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1" t="s">
        <v>83</v>
      </c>
      <c r="R30" s="339" t="s">
        <v>78</v>
      </c>
      <c r="S30" s="116">
        <f>IF(SUM(C29)&lt;0,-C29,0)</f>
        <v>1293.82</v>
      </c>
      <c r="T30" s="389">
        <v>0</v>
      </c>
    </row>
    <row r="31" spans="1:20" s="382" customFormat="1" ht="16.5" hidden="1" thickTop="1" thickBot="1">
      <c r="A31" s="53"/>
      <c r="T31" s="336">
        <v>0</v>
      </c>
    </row>
    <row r="32" spans="1:20" s="354" customFormat="1" ht="15.75" hidden="1" thickBot="1">
      <c r="A32" s="53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34" t="s">
        <v>107</v>
      </c>
      <c r="R32" s="330"/>
      <c r="S32" s="330"/>
      <c r="T32" s="228"/>
    </row>
    <row r="33" spans="1:20" s="354" customFormat="1" ht="15.75" hidden="1">
      <c r="A33" s="58">
        <v>41305</v>
      </c>
      <c r="B33" s="59" t="s">
        <v>84</v>
      </c>
      <c r="C33" s="11">
        <f>SUM(D33:N33)</f>
        <v>0</v>
      </c>
      <c r="D33" s="247">
        <v>0</v>
      </c>
      <c r="E33" s="247">
        <v>0</v>
      </c>
      <c r="F33" s="248">
        <v>0</v>
      </c>
      <c r="G33" s="248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0" t="s">
        <v>209</v>
      </c>
      <c r="R33" s="391" t="s">
        <v>207</v>
      </c>
      <c r="S33" s="333">
        <f>IF(SUM(C33:C36)&gt;0,C33+C34+C36+C35,0)</f>
        <v>0</v>
      </c>
      <c r="T33" s="335">
        <f>IF(SUM(C33:C36)&lt;0,C33+C34+C36+C35,0)</f>
        <v>-1294.9000000000001</v>
      </c>
    </row>
    <row r="34" spans="1:20" s="354" customFormat="1" ht="15.75" hidden="1">
      <c r="A34" s="62"/>
      <c r="B34" s="59" t="s">
        <v>148</v>
      </c>
      <c r="C34" s="11">
        <f>SUM(D34:N34)</f>
        <v>0</v>
      </c>
      <c r="D34" s="248"/>
      <c r="E34" s="248">
        <v>0</v>
      </c>
      <c r="F34" s="248"/>
      <c r="G34" s="249"/>
      <c r="H34" s="60"/>
      <c r="I34" s="50"/>
      <c r="J34" s="87"/>
      <c r="K34" s="87"/>
      <c r="L34" s="50"/>
      <c r="M34" s="50"/>
      <c r="N34" s="50"/>
      <c r="O34" s="106"/>
      <c r="P34" s="50"/>
      <c r="Q34" s="345" t="s">
        <v>11</v>
      </c>
      <c r="R34" s="346" t="s">
        <v>62</v>
      </c>
      <c r="S34" s="333">
        <v>0</v>
      </c>
      <c r="T34" s="335">
        <v>0</v>
      </c>
    </row>
    <row r="35" spans="1:20" s="354" customFormat="1" ht="15.75" hidden="1">
      <c r="A35" s="62"/>
      <c r="B35" s="59" t="s">
        <v>144</v>
      </c>
      <c r="C35" s="11">
        <f>SUM(D35:N35)</f>
        <v>0</v>
      </c>
      <c r="D35" s="246">
        <v>0</v>
      </c>
      <c r="E35" s="246"/>
      <c r="F35" s="246"/>
      <c r="G35" s="248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38" t="s">
        <v>80</v>
      </c>
      <c r="R35" s="337" t="s">
        <v>59</v>
      </c>
      <c r="S35" s="112">
        <f>IF(SUM(C33)&lt;0,-C33,0)</f>
        <v>0</v>
      </c>
      <c r="T35" s="335">
        <f>IF(SUM(C33)&gt;0,-C33,0)</f>
        <v>0</v>
      </c>
    </row>
    <row r="36" spans="1:20" s="354" customFormat="1" ht="15.75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0" t="s">
        <v>154</v>
      </c>
      <c r="R36" s="337" t="s">
        <v>77</v>
      </c>
      <c r="S36" s="342">
        <v>0</v>
      </c>
      <c r="T36" s="335">
        <f>IF(SUM(C36)&gt;0,-C36,0)</f>
        <v>0</v>
      </c>
    </row>
    <row r="37" spans="1:20" s="354" customFormat="1" ht="16.5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1" t="s">
        <v>83</v>
      </c>
      <c r="R37" s="339" t="s">
        <v>78</v>
      </c>
      <c r="S37" s="116">
        <f>IF(SUM(C36)&lt;0,-C36,0)</f>
        <v>1294.9000000000001</v>
      </c>
      <c r="T37" s="389">
        <v>0</v>
      </c>
    </row>
    <row r="38" spans="1:20" s="354" customFormat="1" ht="15.75" hidden="1" thickTop="1">
      <c r="A38" s="53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36">
        <v>0</v>
      </c>
    </row>
    <row r="39" spans="1:20" s="354" customFormat="1" ht="15.75" hidden="1" thickBot="1">
      <c r="A39" s="53"/>
      <c r="B39" s="382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</row>
    <row r="40" spans="1:20" s="354" customFormat="1" ht="15.75" hidden="1" thickBot="1">
      <c r="A40" s="53"/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34" t="s">
        <v>107</v>
      </c>
      <c r="R40" s="330"/>
      <c r="S40" s="330"/>
      <c r="T40" s="228"/>
    </row>
    <row r="41" spans="1:20" s="354" customFormat="1" ht="15.75" hidden="1">
      <c r="A41" s="58">
        <v>41333</v>
      </c>
      <c r="B41" s="59" t="s">
        <v>84</v>
      </c>
      <c r="C41" s="11">
        <f>SUM(D41:N41)</f>
        <v>0</v>
      </c>
      <c r="D41" s="247">
        <v>0</v>
      </c>
      <c r="E41" s="247">
        <v>0</v>
      </c>
      <c r="F41" s="248">
        <v>0</v>
      </c>
      <c r="G41" s="248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0" t="s">
        <v>209</v>
      </c>
      <c r="R41" s="391" t="s">
        <v>207</v>
      </c>
      <c r="S41" s="333">
        <f>IF(SUM(C41:C44)&gt;0,C41+C42+C44+C43,0)</f>
        <v>0</v>
      </c>
      <c r="T41" s="335">
        <f>IF(SUM(C41:C44)&lt;0,C41+C42+C44+C43,0)</f>
        <v>-1295.98</v>
      </c>
    </row>
    <row r="42" spans="1:20" s="354" customFormat="1" ht="15.75" hidden="1">
      <c r="A42" s="62"/>
      <c r="B42" s="59" t="s">
        <v>148</v>
      </c>
      <c r="C42" s="11">
        <f>SUM(D42:N42)</f>
        <v>0</v>
      </c>
      <c r="D42" s="248"/>
      <c r="E42" s="248">
        <v>0</v>
      </c>
      <c r="F42" s="248"/>
      <c r="G42" s="249"/>
      <c r="H42" s="60"/>
      <c r="I42" s="50"/>
      <c r="J42" s="87"/>
      <c r="K42" s="87"/>
      <c r="L42" s="50"/>
      <c r="M42" s="50"/>
      <c r="N42" s="50"/>
      <c r="O42" s="106"/>
      <c r="P42" s="50"/>
      <c r="Q42" s="345" t="s">
        <v>11</v>
      </c>
      <c r="R42" s="346" t="s">
        <v>62</v>
      </c>
      <c r="S42" s="333">
        <v>0</v>
      </c>
      <c r="T42" s="335">
        <v>0</v>
      </c>
    </row>
    <row r="43" spans="1:20" s="354" customFormat="1" ht="15.75" hidden="1">
      <c r="A43" s="62"/>
      <c r="B43" s="59" t="s">
        <v>144</v>
      </c>
      <c r="C43" s="11">
        <f>SUM(D43:N43)</f>
        <v>0</v>
      </c>
      <c r="D43" s="246">
        <v>0</v>
      </c>
      <c r="E43" s="246"/>
      <c r="F43" s="246"/>
      <c r="G43" s="248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38" t="s">
        <v>80</v>
      </c>
      <c r="R43" s="337" t="s">
        <v>59</v>
      </c>
      <c r="S43" s="112">
        <f>IF(SUM(C41)&lt;0,-C41,0)</f>
        <v>0</v>
      </c>
      <c r="T43" s="335">
        <f>IF(SUM(C41)&gt;0,-C41,0)</f>
        <v>0</v>
      </c>
    </row>
    <row r="44" spans="1:20" s="354" customFormat="1" ht="15.75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0" t="s">
        <v>154</v>
      </c>
      <c r="R44" s="337" t="s">
        <v>77</v>
      </c>
      <c r="S44" s="342">
        <v>0</v>
      </c>
      <c r="T44" s="335">
        <f>IF(SUM(C44)&gt;0,-C44,0)</f>
        <v>0</v>
      </c>
    </row>
    <row r="45" spans="1:20" s="354" customFormat="1" ht="16.5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1" t="s">
        <v>83</v>
      </c>
      <c r="R45" s="339" t="s">
        <v>78</v>
      </c>
      <c r="S45" s="116">
        <f>IF(SUM(C44)&lt;0,-C44,0)</f>
        <v>1295.98</v>
      </c>
      <c r="T45" s="389">
        <v>0</v>
      </c>
    </row>
    <row r="46" spans="1:20" s="354" customFormat="1" ht="15.75" hidden="1" thickTop="1">
      <c r="A46" s="53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36">
        <v>0</v>
      </c>
    </row>
    <row r="47" spans="1:20" s="354" customFormat="1" ht="15.75" hidden="1" thickBot="1">
      <c r="A47" s="53"/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</row>
    <row r="48" spans="1:20" s="354" customFormat="1" ht="15.75" hidden="1" thickBot="1">
      <c r="A48" s="53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34" t="s">
        <v>107</v>
      </c>
      <c r="R48" s="330"/>
      <c r="S48" s="330"/>
      <c r="T48" s="228"/>
    </row>
    <row r="49" spans="1:20" s="354" customFormat="1" ht="15.75" hidden="1">
      <c r="A49" s="58">
        <v>41364</v>
      </c>
      <c r="B49" s="59" t="s">
        <v>84</v>
      </c>
      <c r="C49" s="11">
        <f>SUM(D49:N49)</f>
        <v>0</v>
      </c>
      <c r="D49" s="247">
        <v>0</v>
      </c>
      <c r="E49" s="247">
        <v>0</v>
      </c>
      <c r="F49" s="248">
        <v>0</v>
      </c>
      <c r="G49" s="248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0" t="s">
        <v>209</v>
      </c>
      <c r="R49" s="391" t="s">
        <v>207</v>
      </c>
      <c r="S49" s="333">
        <f>IF(SUM(C49:C52)&gt;0,C49+C50+C52+C51,0)</f>
        <v>0</v>
      </c>
      <c r="T49" s="335">
        <f>IF(SUM(C49:C52)&lt;0,C49+C50+C52+C51,0)</f>
        <v>-1297.06</v>
      </c>
    </row>
    <row r="50" spans="1:20" s="354" customFormat="1" ht="15.75" hidden="1">
      <c r="A50" s="62"/>
      <c r="B50" s="59" t="s">
        <v>148</v>
      </c>
      <c r="C50" s="11">
        <f>SUM(D50:N50)</f>
        <v>0</v>
      </c>
      <c r="D50" s="248"/>
      <c r="E50" s="248">
        <v>0</v>
      </c>
      <c r="F50" s="248"/>
      <c r="G50" s="249"/>
      <c r="H50" s="60"/>
      <c r="I50" s="50"/>
      <c r="J50" s="87"/>
      <c r="K50" s="87"/>
      <c r="L50" s="50"/>
      <c r="M50" s="50"/>
      <c r="N50" s="50"/>
      <c r="O50" s="106"/>
      <c r="P50" s="50"/>
      <c r="Q50" s="345" t="s">
        <v>11</v>
      </c>
      <c r="R50" s="346" t="s">
        <v>62</v>
      </c>
      <c r="S50" s="333">
        <v>0</v>
      </c>
      <c r="T50" s="335">
        <v>0</v>
      </c>
    </row>
    <row r="51" spans="1:20" s="354" customFormat="1" ht="15.75" hidden="1">
      <c r="A51" s="62"/>
      <c r="B51" s="59" t="s">
        <v>144</v>
      </c>
      <c r="C51" s="11">
        <f>SUM(D51:N51)</f>
        <v>0</v>
      </c>
      <c r="D51" s="246">
        <v>0</v>
      </c>
      <c r="E51" s="246"/>
      <c r="F51" s="246"/>
      <c r="G51" s="248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38" t="s">
        <v>80</v>
      </c>
      <c r="R51" s="337" t="s">
        <v>59</v>
      </c>
      <c r="S51" s="112">
        <f>IF(SUM(C49)&lt;0,-C49,0)</f>
        <v>0</v>
      </c>
      <c r="T51" s="335">
        <f>IF(SUM(C49)&gt;0,-C49,0)</f>
        <v>0</v>
      </c>
    </row>
    <row r="52" spans="1:20" s="354" customFormat="1" ht="15.75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0" t="s">
        <v>154</v>
      </c>
      <c r="R52" s="337" t="s">
        <v>77</v>
      </c>
      <c r="S52" s="342">
        <v>0</v>
      </c>
      <c r="T52" s="335">
        <f>IF(SUM(C52)&gt;0,-C52,0)</f>
        <v>0</v>
      </c>
    </row>
    <row r="53" spans="1:20" s="354" customFormat="1" ht="16.5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1" t="s">
        <v>83</v>
      </c>
      <c r="R53" s="339" t="s">
        <v>78</v>
      </c>
      <c r="S53" s="116">
        <f>IF(SUM(C52)&lt;0,-C52,0)</f>
        <v>1297.06</v>
      </c>
      <c r="T53" s="389">
        <v>0</v>
      </c>
    </row>
    <row r="54" spans="1:20" s="354" customFormat="1" ht="15.75" hidden="1" thickTop="1">
      <c r="A54" s="53"/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36">
        <v>0</v>
      </c>
    </row>
    <row r="55" spans="1:20" s="354" customFormat="1" ht="15.75" hidden="1" thickBot="1">
      <c r="A55" s="53"/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</row>
    <row r="56" spans="1:20" s="354" customFormat="1" ht="15.75" hidden="1" thickBot="1">
      <c r="A56" s="53"/>
      <c r="B56" s="382"/>
      <c r="C56" s="382"/>
      <c r="D56" s="382"/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  <c r="Q56" s="334" t="s">
        <v>107</v>
      </c>
      <c r="R56" s="330"/>
      <c r="S56" s="330"/>
      <c r="T56" s="228"/>
    </row>
    <row r="57" spans="1:20" s="354" customFormat="1" ht="15.75" hidden="1">
      <c r="A57" s="58">
        <v>41394</v>
      </c>
      <c r="B57" s="59" t="s">
        <v>84</v>
      </c>
      <c r="C57" s="11">
        <f>SUM(D57:N57)</f>
        <v>0</v>
      </c>
      <c r="D57" s="247">
        <v>0</v>
      </c>
      <c r="E57" s="247">
        <v>0</v>
      </c>
      <c r="F57" s="248">
        <v>0</v>
      </c>
      <c r="G57" s="248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0" t="s">
        <v>209</v>
      </c>
      <c r="R57" s="391" t="s">
        <v>207</v>
      </c>
      <c r="S57" s="333">
        <f>IF(SUM(C57:C60)&gt;0,C57+C58+C60+C59,0)</f>
        <v>0</v>
      </c>
      <c r="T57" s="335">
        <f>IF(SUM(C57:C60)&lt;0,C57+C58+C60+C59,0)</f>
        <v>-1298.1400000000001</v>
      </c>
    </row>
    <row r="58" spans="1:20" s="354" customFormat="1" ht="15.75" hidden="1">
      <c r="A58" s="62"/>
      <c r="B58" s="59" t="s">
        <v>148</v>
      </c>
      <c r="C58" s="11">
        <f>SUM(D58:N58)</f>
        <v>0</v>
      </c>
      <c r="D58" s="248"/>
      <c r="E58" s="248">
        <v>0</v>
      </c>
      <c r="F58" s="248"/>
      <c r="G58" s="249"/>
      <c r="H58" s="60"/>
      <c r="I58" s="50"/>
      <c r="J58" s="87"/>
      <c r="K58" s="87"/>
      <c r="L58" s="50"/>
      <c r="M58" s="50"/>
      <c r="N58" s="50"/>
      <c r="O58" s="106"/>
      <c r="P58" s="50"/>
      <c r="Q58" s="345" t="s">
        <v>11</v>
      </c>
      <c r="R58" s="346" t="s">
        <v>62</v>
      </c>
      <c r="S58" s="333">
        <v>0</v>
      </c>
      <c r="T58" s="335">
        <v>0</v>
      </c>
    </row>
    <row r="59" spans="1:20" s="354" customFormat="1" ht="15.75" hidden="1">
      <c r="A59" s="62"/>
      <c r="B59" s="59" t="s">
        <v>144</v>
      </c>
      <c r="C59" s="11">
        <f>SUM(D59:N59)</f>
        <v>0</v>
      </c>
      <c r="D59" s="246">
        <v>0</v>
      </c>
      <c r="E59" s="246"/>
      <c r="F59" s="246"/>
      <c r="G59" s="248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38" t="s">
        <v>80</v>
      </c>
      <c r="R59" s="337" t="s">
        <v>59</v>
      </c>
      <c r="S59" s="112">
        <f>IF(SUM(C57)&lt;0,-C57,0)</f>
        <v>0</v>
      </c>
      <c r="T59" s="335">
        <f>IF(SUM(C57)&gt;0,-C57,0)</f>
        <v>0</v>
      </c>
    </row>
    <row r="60" spans="1:20" s="354" customFormat="1" ht="15.75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0" t="s">
        <v>154</v>
      </c>
      <c r="R60" s="337" t="s">
        <v>77</v>
      </c>
      <c r="S60" s="342">
        <v>0</v>
      </c>
      <c r="T60" s="335">
        <f>IF(SUM(C60)&gt;0,-C60,0)</f>
        <v>0</v>
      </c>
    </row>
    <row r="61" spans="1:20" s="354" customFormat="1" ht="16.5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1" t="s">
        <v>83</v>
      </c>
      <c r="R61" s="339" t="s">
        <v>78</v>
      </c>
      <c r="S61" s="116">
        <f>IF(SUM(C60)&lt;0,-C60,0)</f>
        <v>1298.1400000000001</v>
      </c>
      <c r="T61" s="389">
        <v>0</v>
      </c>
    </row>
    <row r="62" spans="1:20" s="354" customFormat="1" ht="15.75" hidden="1" thickTop="1">
      <c r="A62" s="53"/>
      <c r="B62" s="382"/>
      <c r="C62" s="383"/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36">
        <v>0</v>
      </c>
    </row>
    <row r="63" spans="1:20" s="354" customFormat="1" ht="15.75" hidden="1" thickBot="1">
      <c r="A63" s="53"/>
      <c r="B63" s="382"/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  <c r="R63" s="382"/>
      <c r="S63" s="382"/>
      <c r="T63" s="382"/>
    </row>
    <row r="64" spans="1:20" s="354" customFormat="1" ht="15.75" hidden="1" thickBot="1">
      <c r="A64" s="53"/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34" t="s">
        <v>107</v>
      </c>
      <c r="R64" s="330"/>
      <c r="S64" s="330"/>
      <c r="T64" s="228"/>
    </row>
    <row r="65" spans="1:20" s="354" customFormat="1" ht="15.75" hidden="1">
      <c r="A65" s="58">
        <v>41425</v>
      </c>
      <c r="B65" s="59" t="s">
        <v>84</v>
      </c>
      <c r="C65" s="11">
        <f>SUM(D65:N65)</f>
        <v>0</v>
      </c>
      <c r="D65" s="247">
        <v>0</v>
      </c>
      <c r="E65" s="247">
        <v>0</v>
      </c>
      <c r="F65" s="248">
        <v>0</v>
      </c>
      <c r="G65" s="248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0" t="s">
        <v>209</v>
      </c>
      <c r="R65" s="391" t="s">
        <v>207</v>
      </c>
      <c r="S65" s="333">
        <f>IF(SUM(C65:C68)&gt;0,C65+C66+C68+C67,0)</f>
        <v>0</v>
      </c>
      <c r="T65" s="335">
        <f>IF(SUM(C65:C68)&lt;0,C65+C66+C68+C67,0)</f>
        <v>-1299.22</v>
      </c>
    </row>
    <row r="66" spans="1:20" s="354" customFormat="1" ht="15.75" hidden="1">
      <c r="A66" s="62"/>
      <c r="B66" s="59" t="s">
        <v>148</v>
      </c>
      <c r="C66" s="11">
        <f>SUM(D66:N66)</f>
        <v>0</v>
      </c>
      <c r="D66" s="248"/>
      <c r="E66" s="248">
        <v>0</v>
      </c>
      <c r="F66" s="248"/>
      <c r="G66" s="249"/>
      <c r="H66" s="60"/>
      <c r="I66" s="50"/>
      <c r="J66" s="87"/>
      <c r="K66" s="87"/>
      <c r="L66" s="50"/>
      <c r="M66" s="50"/>
      <c r="N66" s="50"/>
      <c r="O66" s="106"/>
      <c r="P66" s="50"/>
      <c r="Q66" s="345" t="s">
        <v>11</v>
      </c>
      <c r="R66" s="346" t="s">
        <v>62</v>
      </c>
      <c r="S66" s="333">
        <v>0</v>
      </c>
      <c r="T66" s="335">
        <v>0</v>
      </c>
    </row>
    <row r="67" spans="1:20" s="354" customFormat="1" ht="15.75" hidden="1">
      <c r="A67" s="62"/>
      <c r="B67" s="59" t="s">
        <v>144</v>
      </c>
      <c r="C67" s="11">
        <f>SUM(D67:N67)</f>
        <v>0</v>
      </c>
      <c r="D67" s="246">
        <v>0</v>
      </c>
      <c r="E67" s="246"/>
      <c r="F67" s="246"/>
      <c r="G67" s="248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38" t="s">
        <v>80</v>
      </c>
      <c r="R67" s="337" t="s">
        <v>59</v>
      </c>
      <c r="S67" s="112">
        <f>IF(SUM(C65)&lt;0,-C65,0)</f>
        <v>0</v>
      </c>
      <c r="T67" s="335">
        <f>IF(SUM(C65)&gt;0,-C65,0)</f>
        <v>0</v>
      </c>
    </row>
    <row r="68" spans="1:20" s="354" customFormat="1" ht="15.75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0" t="s">
        <v>154</v>
      </c>
      <c r="R68" s="337" t="s">
        <v>77</v>
      </c>
      <c r="S68" s="342">
        <v>0</v>
      </c>
      <c r="T68" s="335">
        <f>IF(SUM(C68)&gt;0,-C68,0)</f>
        <v>0</v>
      </c>
    </row>
    <row r="69" spans="1:20" s="354" customFormat="1" ht="16.5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1" t="s">
        <v>83</v>
      </c>
      <c r="R69" s="339" t="s">
        <v>78</v>
      </c>
      <c r="S69" s="116">
        <f>IF(SUM(C68)&lt;0,-C68,0)</f>
        <v>1299.22</v>
      </c>
      <c r="T69" s="389">
        <v>0</v>
      </c>
    </row>
    <row r="70" spans="1:20" s="354" customFormat="1" ht="15.75" hidden="1" thickTop="1">
      <c r="A70" s="53"/>
      <c r="B70" s="382"/>
      <c r="C70" s="382"/>
      <c r="D70" s="382"/>
      <c r="E70" s="382"/>
      <c r="F70" s="382"/>
      <c r="G70" s="382"/>
      <c r="H70" s="382"/>
      <c r="I70" s="382"/>
      <c r="J70" s="382"/>
      <c r="K70" s="382"/>
      <c r="L70" s="382"/>
      <c r="M70" s="382"/>
      <c r="N70" s="382"/>
      <c r="O70" s="382"/>
      <c r="P70" s="382"/>
      <c r="Q70" s="382"/>
      <c r="R70" s="382"/>
      <c r="S70" s="382"/>
      <c r="T70" s="336">
        <v>0</v>
      </c>
    </row>
    <row r="71" spans="1:20" s="354" customFormat="1" ht="15.75" hidden="1" thickBot="1">
      <c r="A71" s="53"/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</row>
    <row r="72" spans="1:20" s="354" customFormat="1" ht="15.75" hidden="1" thickBot="1">
      <c r="A72" s="53"/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34" t="s">
        <v>107</v>
      </c>
      <c r="R72" s="330"/>
      <c r="S72" s="330"/>
      <c r="T72" s="228"/>
    </row>
    <row r="73" spans="1:20" s="354" customFormat="1" ht="15.75" hidden="1">
      <c r="A73" s="58">
        <v>41426</v>
      </c>
      <c r="B73" s="59" t="s">
        <v>84</v>
      </c>
      <c r="C73" s="11">
        <f>SUM(D73:N73)</f>
        <v>0</v>
      </c>
      <c r="D73" s="247">
        <v>0</v>
      </c>
      <c r="E73" s="247">
        <v>0</v>
      </c>
      <c r="F73" s="248">
        <v>0</v>
      </c>
      <c r="G73" s="248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0" t="s">
        <v>209</v>
      </c>
      <c r="R73" s="391" t="s">
        <v>207</v>
      </c>
      <c r="S73" s="333">
        <f>IF(SUM(C73:C76)&gt;0,C73+C74+C76+C75,0)</f>
        <v>0</v>
      </c>
      <c r="T73" s="335">
        <f>IF(SUM(C73:C76)&lt;0,C73+C74+C76+C75,0)</f>
        <v>-1300.3</v>
      </c>
    </row>
    <row r="74" spans="1:20" s="354" customFormat="1" ht="15.75" hidden="1">
      <c r="A74" s="62"/>
      <c r="B74" s="59" t="s">
        <v>148</v>
      </c>
      <c r="C74" s="11">
        <f>SUM(D74:N74)</f>
        <v>0</v>
      </c>
      <c r="D74" s="248"/>
      <c r="E74" s="248">
        <v>0</v>
      </c>
      <c r="F74" s="248"/>
      <c r="G74" s="249"/>
      <c r="H74" s="60"/>
      <c r="I74" s="50"/>
      <c r="J74" s="87"/>
      <c r="K74" s="87"/>
      <c r="L74" s="50"/>
      <c r="M74" s="50"/>
      <c r="N74" s="50"/>
      <c r="O74" s="106"/>
      <c r="P74" s="50"/>
      <c r="Q74" s="345" t="s">
        <v>11</v>
      </c>
      <c r="R74" s="346" t="s">
        <v>62</v>
      </c>
      <c r="S74" s="333">
        <v>0</v>
      </c>
      <c r="T74" s="335">
        <v>0</v>
      </c>
    </row>
    <row r="75" spans="1:20" s="354" customFormat="1" ht="15.75" hidden="1">
      <c r="A75" s="62"/>
      <c r="B75" s="59" t="s">
        <v>144</v>
      </c>
      <c r="C75" s="11">
        <f>SUM(D75:N75)</f>
        <v>0</v>
      </c>
      <c r="D75" s="246">
        <v>0</v>
      </c>
      <c r="E75" s="246"/>
      <c r="F75" s="246"/>
      <c r="G75" s="248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38" t="s">
        <v>80</v>
      </c>
      <c r="R75" s="337" t="s">
        <v>59</v>
      </c>
      <c r="S75" s="112">
        <f>IF(SUM(C73)&lt;0,-C73,0)</f>
        <v>0</v>
      </c>
      <c r="T75" s="335">
        <f>IF(SUM(C73)&gt;0,-C73,0)</f>
        <v>0</v>
      </c>
    </row>
    <row r="76" spans="1:20" s="354" customFormat="1" ht="15.75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0" t="s">
        <v>154</v>
      </c>
      <c r="R76" s="337" t="s">
        <v>77</v>
      </c>
      <c r="S76" s="342">
        <v>0</v>
      </c>
      <c r="T76" s="335">
        <f>IF(SUM(C76)&gt;0,-C76,0)</f>
        <v>0</v>
      </c>
    </row>
    <row r="77" spans="1:20" s="354" customFormat="1" ht="16.5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1" t="s">
        <v>83</v>
      </c>
      <c r="R77" s="339" t="s">
        <v>78</v>
      </c>
      <c r="S77" s="116">
        <f>IF(SUM(C76)&lt;0,-C76,0)</f>
        <v>1300.3</v>
      </c>
      <c r="T77" s="389">
        <v>0</v>
      </c>
    </row>
    <row r="78" spans="1:20" s="354" customFormat="1" ht="15.75" thickTop="1">
      <c r="A78" s="53"/>
      <c r="B78" s="382"/>
      <c r="C78" s="382"/>
      <c r="D78" s="382"/>
      <c r="E78" s="382"/>
      <c r="F78" s="382"/>
      <c r="G78" s="382"/>
      <c r="H78" s="382"/>
      <c r="I78" s="382"/>
      <c r="J78" s="382"/>
      <c r="K78" s="382"/>
      <c r="L78" s="382"/>
      <c r="M78" s="382"/>
      <c r="N78" s="382"/>
      <c r="O78" s="382"/>
      <c r="P78" s="382"/>
      <c r="Q78" s="382"/>
      <c r="R78" s="382"/>
      <c r="S78" s="382"/>
      <c r="T78" s="336">
        <v>0</v>
      </c>
    </row>
    <row r="79" spans="1:20" s="354" customFormat="1" ht="16.5" thickBot="1">
      <c r="A79" s="362"/>
      <c r="B79" s="357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68"/>
      <c r="P79" s="314"/>
      <c r="Q79" s="369"/>
      <c r="R79" s="360"/>
      <c r="S79" s="367"/>
      <c r="T79" s="367"/>
    </row>
    <row r="80" spans="1:20" s="354" customFormat="1" ht="15.75" thickBot="1">
      <c r="A80" s="53"/>
      <c r="B80" s="382"/>
      <c r="C80" s="382"/>
      <c r="D80" s="382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34" t="s">
        <v>107</v>
      </c>
      <c r="R80" s="330"/>
      <c r="S80" s="330"/>
      <c r="T80" s="228"/>
    </row>
    <row r="81" spans="1:20" s="354" customFormat="1" ht="15.75">
      <c r="A81" s="58">
        <v>41456</v>
      </c>
      <c r="B81" s="59" t="s">
        <v>84</v>
      </c>
      <c r="C81" s="11">
        <f>SUM(D81:N81)</f>
        <v>0</v>
      </c>
      <c r="D81" s="247">
        <v>0</v>
      </c>
      <c r="E81" s="247">
        <v>0</v>
      </c>
      <c r="F81" s="248">
        <v>0</v>
      </c>
      <c r="G81" s="248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0" t="s">
        <v>209</v>
      </c>
      <c r="R81" s="391" t="s">
        <v>207</v>
      </c>
      <c r="S81" s="333">
        <f>IF(SUM(C81:C84)&gt;0,C81+C82+C84+C83,0)</f>
        <v>0</v>
      </c>
      <c r="T81" s="335">
        <f>IF(SUM(C81:C84)&lt;0,C81+C82+C84+C83,0)</f>
        <v>-1301.3900000000001</v>
      </c>
    </row>
    <row r="82" spans="1:20" s="354" customFormat="1" ht="15.75">
      <c r="A82" s="62"/>
      <c r="B82" s="59" t="s">
        <v>148</v>
      </c>
      <c r="C82" s="11">
        <f>SUM(D82:N82)</f>
        <v>0</v>
      </c>
      <c r="D82" s="248"/>
      <c r="E82" s="248">
        <v>0</v>
      </c>
      <c r="F82" s="248"/>
      <c r="G82" s="249"/>
      <c r="H82" s="60"/>
      <c r="I82" s="50"/>
      <c r="J82" s="87"/>
      <c r="K82" s="87"/>
      <c r="L82" s="50"/>
      <c r="M82" s="50"/>
      <c r="N82" s="50"/>
      <c r="O82" s="106"/>
      <c r="P82" s="50"/>
      <c r="Q82" s="345" t="s">
        <v>11</v>
      </c>
      <c r="R82" s="346" t="s">
        <v>62</v>
      </c>
      <c r="S82" s="333">
        <v>0</v>
      </c>
      <c r="T82" s="335">
        <v>0</v>
      </c>
    </row>
    <row r="83" spans="1:20" s="354" customFormat="1" ht="15.75">
      <c r="A83" s="62"/>
      <c r="B83" s="59" t="s">
        <v>144</v>
      </c>
      <c r="C83" s="11">
        <f>SUM(D83:N83)</f>
        <v>0</v>
      </c>
      <c r="D83" s="246">
        <v>0</v>
      </c>
      <c r="E83" s="246"/>
      <c r="F83" s="246"/>
      <c r="G83" s="248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38" t="s">
        <v>80</v>
      </c>
      <c r="R83" s="337" t="s">
        <v>59</v>
      </c>
      <c r="S83" s="112">
        <f>IF(SUM(C81)&lt;0,-C81,0)</f>
        <v>0</v>
      </c>
      <c r="T83" s="335">
        <f>IF(SUM(C81)&gt;0,-C81,0)</f>
        <v>0</v>
      </c>
    </row>
    <row r="84" spans="1:20" s="354" customFormat="1" ht="15.75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0" t="s">
        <v>154</v>
      </c>
      <c r="R84" s="337" t="s">
        <v>77</v>
      </c>
      <c r="S84" s="342">
        <v>0</v>
      </c>
      <c r="T84" s="335">
        <f>IF(SUM(C84)&gt;0,-C84,0)</f>
        <v>0</v>
      </c>
    </row>
    <row r="85" spans="1:20" s="354" customFormat="1" ht="16.5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1" t="s">
        <v>83</v>
      </c>
      <c r="R85" s="339" t="s">
        <v>78</v>
      </c>
      <c r="S85" s="116">
        <f>IF(SUM(C84)&lt;0,-C84,0)</f>
        <v>1301.3900000000001</v>
      </c>
      <c r="T85" s="389">
        <v>0</v>
      </c>
    </row>
    <row r="86" spans="1:20" s="354" customFormat="1" ht="15.75" thickTop="1">
      <c r="A86" s="53"/>
      <c r="B86" s="382"/>
      <c r="C86" s="382"/>
      <c r="D86" s="382"/>
      <c r="E86" s="382"/>
      <c r="F86" s="382"/>
      <c r="G86" s="382"/>
      <c r="H86" s="382"/>
      <c r="I86" s="382"/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36">
        <v>0</v>
      </c>
    </row>
    <row r="87" spans="1:20" s="354" customFormat="1" ht="16.5" thickBot="1">
      <c r="A87" s="362"/>
      <c r="B87" s="357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68"/>
      <c r="P87" s="314"/>
      <c r="Q87" s="369"/>
      <c r="R87" s="360"/>
      <c r="S87" s="367"/>
      <c r="T87" s="367"/>
    </row>
    <row r="88" spans="1:20" s="354" customFormat="1" ht="15.75" thickBot="1">
      <c r="A88" s="53"/>
      <c r="B88" s="382"/>
      <c r="C88" s="382"/>
      <c r="D88" s="382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382"/>
      <c r="Q88" s="334" t="s">
        <v>107</v>
      </c>
      <c r="R88" s="330"/>
      <c r="S88" s="330"/>
      <c r="T88" s="228"/>
    </row>
    <row r="89" spans="1:20" s="354" customFormat="1" ht="15.75">
      <c r="A89" s="58">
        <v>41487</v>
      </c>
      <c r="B89" s="59" t="s">
        <v>84</v>
      </c>
      <c r="C89" s="11">
        <f>SUM(D89:N89)</f>
        <v>0</v>
      </c>
      <c r="D89" s="247">
        <v>0</v>
      </c>
      <c r="E89" s="247">
        <v>0</v>
      </c>
      <c r="F89" s="248">
        <v>0</v>
      </c>
      <c r="G89" s="248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0" t="s">
        <v>209</v>
      </c>
      <c r="R89" s="391" t="s">
        <v>207</v>
      </c>
      <c r="S89" s="333">
        <f>IF(SUM(C89:C92)&gt;0,C89+C90+C92+C91,0)</f>
        <v>0</v>
      </c>
      <c r="T89" s="335">
        <f>IF(SUM(C89:C92)&lt;0,C89+C90+C92+C91,0)</f>
        <v>-1302.47</v>
      </c>
    </row>
    <row r="90" spans="1:20" s="354" customFormat="1" ht="15.75">
      <c r="A90" s="62"/>
      <c r="B90" s="59" t="s">
        <v>148</v>
      </c>
      <c r="C90" s="11">
        <f>SUM(D90:N90)</f>
        <v>0</v>
      </c>
      <c r="D90" s="248"/>
      <c r="E90" s="248">
        <v>0</v>
      </c>
      <c r="F90" s="248"/>
      <c r="G90" s="249"/>
      <c r="H90" s="60"/>
      <c r="I90" s="50"/>
      <c r="J90" s="87"/>
      <c r="K90" s="87"/>
      <c r="L90" s="50"/>
      <c r="M90" s="50"/>
      <c r="N90" s="50"/>
      <c r="O90" s="106"/>
      <c r="P90" s="50"/>
      <c r="Q90" s="345" t="s">
        <v>11</v>
      </c>
      <c r="R90" s="346" t="s">
        <v>62</v>
      </c>
      <c r="S90" s="333">
        <v>0</v>
      </c>
      <c r="T90" s="335">
        <v>0</v>
      </c>
    </row>
    <row r="91" spans="1:20" s="354" customFormat="1" ht="15.75">
      <c r="A91" s="62"/>
      <c r="B91" s="59" t="s">
        <v>144</v>
      </c>
      <c r="C91" s="11">
        <f>SUM(D91:N91)</f>
        <v>0</v>
      </c>
      <c r="D91" s="246">
        <v>0</v>
      </c>
      <c r="E91" s="246"/>
      <c r="F91" s="246"/>
      <c r="G91" s="248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38" t="s">
        <v>80</v>
      </c>
      <c r="R91" s="337" t="s">
        <v>59</v>
      </c>
      <c r="S91" s="112">
        <f>IF(SUM(C89)&lt;0,-C89,0)</f>
        <v>0</v>
      </c>
      <c r="T91" s="335">
        <f>IF(SUM(C89)&gt;0,-C89,0)</f>
        <v>0</v>
      </c>
    </row>
    <row r="92" spans="1:20" s="354" customFormat="1" ht="15.75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0" t="s">
        <v>154</v>
      </c>
      <c r="R92" s="337" t="s">
        <v>77</v>
      </c>
      <c r="S92" s="342">
        <v>0</v>
      </c>
      <c r="T92" s="335">
        <f>IF(SUM(C92)&gt;0,-C92,0)</f>
        <v>0</v>
      </c>
    </row>
    <row r="93" spans="1:20" s="354" customFormat="1" ht="16.5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1" t="s">
        <v>83</v>
      </c>
      <c r="R93" s="339" t="s">
        <v>78</v>
      </c>
      <c r="S93" s="116">
        <f>IF(SUM(C92)&lt;0,-C92,0)</f>
        <v>1302.47</v>
      </c>
      <c r="T93" s="389">
        <v>0</v>
      </c>
    </row>
    <row r="94" spans="1:20" s="354" customFormat="1" ht="15.75" thickTop="1">
      <c r="A94" s="53"/>
      <c r="B94" s="382"/>
      <c r="C94" s="382"/>
      <c r="D94" s="382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2"/>
      <c r="T94" s="336">
        <f>SUM(S89:T93)</f>
        <v>0</v>
      </c>
    </row>
    <row r="95" spans="1:20" s="354" customFormat="1" ht="16.5" thickBot="1">
      <c r="A95" s="370"/>
      <c r="B95" s="314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69"/>
      <c r="R95" s="371"/>
      <c r="S95" s="367"/>
      <c r="T95" s="367"/>
    </row>
    <row r="96" spans="1:20" s="354" customFormat="1" ht="15.75" thickBot="1">
      <c r="A96" s="53"/>
      <c r="B96" s="382"/>
      <c r="C96" s="382"/>
      <c r="D96" s="382"/>
      <c r="E96" s="382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34" t="s">
        <v>107</v>
      </c>
      <c r="R96" s="330"/>
      <c r="S96" s="330"/>
      <c r="T96" s="228"/>
    </row>
    <row r="97" spans="1:20" s="354" customFormat="1" ht="15.75">
      <c r="A97" s="58">
        <v>41518</v>
      </c>
      <c r="B97" s="59" t="s">
        <v>84</v>
      </c>
      <c r="C97" s="11">
        <f>SUM(D97:N97)</f>
        <v>0</v>
      </c>
      <c r="D97" s="247">
        <v>0</v>
      </c>
      <c r="E97" s="247">
        <v>0</v>
      </c>
      <c r="F97" s="248">
        <v>0</v>
      </c>
      <c r="G97" s="248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0" t="s">
        <v>209</v>
      </c>
      <c r="R97" s="391" t="s">
        <v>207</v>
      </c>
      <c r="S97" s="333">
        <f>IF(SUM(C97:C100)&gt;0,C97+C98+C100+C99,0)</f>
        <v>0</v>
      </c>
      <c r="T97" s="335">
        <f>IF(SUM(C97:C100)&lt;0,C97+C98+C100+C99,0)</f>
        <v>-1303.56</v>
      </c>
    </row>
    <row r="98" spans="1:20" s="354" customFormat="1" ht="15.75">
      <c r="A98" s="62"/>
      <c r="B98" s="59" t="s">
        <v>148</v>
      </c>
      <c r="C98" s="11">
        <f>SUM(D98:N98)</f>
        <v>0</v>
      </c>
      <c r="D98" s="248"/>
      <c r="E98" s="248">
        <v>0</v>
      </c>
      <c r="F98" s="248"/>
      <c r="G98" s="249"/>
      <c r="H98" s="60"/>
      <c r="I98" s="50"/>
      <c r="J98" s="87"/>
      <c r="K98" s="87"/>
      <c r="L98" s="50"/>
      <c r="M98" s="50"/>
      <c r="N98" s="50"/>
      <c r="O98" s="106"/>
      <c r="P98" s="50"/>
      <c r="Q98" s="345" t="s">
        <v>11</v>
      </c>
      <c r="R98" s="346" t="s">
        <v>62</v>
      </c>
      <c r="S98" s="333">
        <v>0</v>
      </c>
      <c r="T98" s="335">
        <v>0</v>
      </c>
    </row>
    <row r="99" spans="1:20" s="354" customFormat="1" ht="15.75">
      <c r="A99" s="62"/>
      <c r="B99" s="59" t="s">
        <v>144</v>
      </c>
      <c r="C99" s="11">
        <f>SUM(D99:N99)</f>
        <v>0</v>
      </c>
      <c r="D99" s="246">
        <v>0</v>
      </c>
      <c r="E99" s="246"/>
      <c r="F99" s="246"/>
      <c r="G99" s="248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38" t="s">
        <v>80</v>
      </c>
      <c r="R99" s="337" t="s">
        <v>59</v>
      </c>
      <c r="S99" s="112">
        <f>IF(SUM(C97)&lt;0,-C97,0)</f>
        <v>0</v>
      </c>
      <c r="T99" s="335">
        <f>IF(SUM(C97)&gt;0,-C97,0)</f>
        <v>0</v>
      </c>
    </row>
    <row r="100" spans="1:20" s="354" customFormat="1" ht="15.75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0" t="s">
        <v>154</v>
      </c>
      <c r="R100" s="337" t="s">
        <v>77</v>
      </c>
      <c r="S100" s="342">
        <v>0</v>
      </c>
      <c r="T100" s="335">
        <f>IF(SUM(C100)&gt;0,-C100,0)</f>
        <v>0</v>
      </c>
    </row>
    <row r="101" spans="1:20" s="354" customFormat="1" ht="16.5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1" t="s">
        <v>83</v>
      </c>
      <c r="R101" s="339" t="s">
        <v>78</v>
      </c>
      <c r="S101" s="116">
        <f>IF(SUM(C100)&lt;0,-C100,0)</f>
        <v>1303.56</v>
      </c>
      <c r="T101" s="389">
        <v>0</v>
      </c>
    </row>
    <row r="102" spans="1:20" s="354" customFormat="1" ht="15.75" thickTop="1">
      <c r="A102" s="53"/>
      <c r="B102" s="382"/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Q102" s="382"/>
      <c r="R102" s="382"/>
      <c r="S102" s="382"/>
      <c r="T102" s="336">
        <f>SUM(S97:T101)</f>
        <v>0</v>
      </c>
    </row>
    <row r="103" spans="1:20" s="408" customFormat="1" ht="15.75">
      <c r="A103" s="457"/>
      <c r="B103" s="386" t="s">
        <v>224</v>
      </c>
      <c r="T103" s="433"/>
    </row>
    <row r="104" spans="1:20" s="354" customFormat="1">
      <c r="A104" s="353"/>
      <c r="T104" s="367"/>
    </row>
    <row r="105" spans="1:20" s="354" customFormat="1">
      <c r="A105" s="353"/>
      <c r="Q105" s="355"/>
      <c r="T105" s="367"/>
    </row>
    <row r="106" spans="1:20" s="354" customFormat="1" ht="15.75">
      <c r="A106" s="356"/>
      <c r="B106" s="357"/>
      <c r="C106" s="314"/>
      <c r="D106" s="350"/>
      <c r="E106" s="350"/>
      <c r="F106" s="351"/>
      <c r="G106" s="351"/>
      <c r="H106" s="314"/>
      <c r="I106" s="314"/>
      <c r="J106" s="314"/>
      <c r="K106" s="314"/>
      <c r="L106" s="314"/>
      <c r="M106" s="314"/>
      <c r="N106" s="314"/>
      <c r="O106" s="358"/>
      <c r="P106" s="314"/>
      <c r="Q106" s="359"/>
      <c r="R106" s="360"/>
      <c r="S106" s="361"/>
      <c r="T106" s="367"/>
    </row>
    <row r="107" spans="1:20" s="354" customFormat="1" ht="15.75">
      <c r="A107" s="362"/>
      <c r="B107" s="357"/>
      <c r="C107" s="314"/>
      <c r="D107" s="351"/>
      <c r="E107" s="351"/>
      <c r="F107" s="351"/>
      <c r="G107" s="352"/>
      <c r="H107" s="351"/>
      <c r="I107" s="314"/>
      <c r="J107" s="352"/>
      <c r="K107" s="352"/>
      <c r="L107" s="314"/>
      <c r="M107" s="314"/>
      <c r="N107" s="314"/>
      <c r="O107" s="358"/>
      <c r="P107" s="314"/>
      <c r="Q107" s="363"/>
      <c r="R107" s="364"/>
      <c r="S107" s="361"/>
      <c r="T107" s="367"/>
    </row>
    <row r="108" spans="1:20" s="354" customFormat="1" ht="15.75">
      <c r="A108" s="362"/>
      <c r="B108" s="357"/>
      <c r="C108" s="314"/>
      <c r="D108" s="314"/>
      <c r="E108" s="314"/>
      <c r="F108" s="314"/>
      <c r="G108" s="351"/>
      <c r="H108" s="365"/>
      <c r="I108" s="314"/>
      <c r="J108" s="352"/>
      <c r="K108" s="314"/>
      <c r="L108" s="314"/>
      <c r="M108" s="314"/>
      <c r="N108" s="314"/>
      <c r="O108" s="358"/>
      <c r="P108" s="314"/>
      <c r="Q108" s="366"/>
      <c r="R108" s="360"/>
      <c r="S108" s="367"/>
      <c r="T108" s="367"/>
    </row>
    <row r="109" spans="1:20" s="354" customFormat="1" ht="15.75">
      <c r="A109" s="362"/>
      <c r="B109" s="357"/>
      <c r="C109" s="314"/>
      <c r="D109" s="314"/>
      <c r="E109" s="314"/>
      <c r="F109" s="314"/>
      <c r="G109" s="314"/>
      <c r="H109" s="314"/>
      <c r="I109" s="314"/>
      <c r="J109" s="314"/>
      <c r="K109" s="314"/>
      <c r="L109" s="314"/>
      <c r="M109" s="314"/>
      <c r="N109" s="314"/>
      <c r="O109" s="368"/>
      <c r="P109" s="314"/>
      <c r="Q109" s="369"/>
      <c r="R109" s="360"/>
      <c r="S109" s="367"/>
      <c r="T109" s="367"/>
    </row>
    <row r="110" spans="1:20" s="354" customFormat="1" ht="15.75">
      <c r="A110" s="370"/>
      <c r="B110" s="314"/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69"/>
      <c r="R110" s="371"/>
      <c r="S110" s="367"/>
      <c r="T110" s="367"/>
    </row>
    <row r="111" spans="1:20" s="354" customFormat="1">
      <c r="A111" s="353"/>
      <c r="T111" s="367"/>
    </row>
    <row r="112" spans="1:20" s="354" customFormat="1">
      <c r="A112" s="353"/>
      <c r="T112" s="367"/>
    </row>
    <row r="113" spans="1:20" s="354" customFormat="1">
      <c r="A113" s="353"/>
      <c r="Q113" s="355"/>
      <c r="T113" s="367"/>
    </row>
    <row r="114" spans="1:20" s="354" customFormat="1" ht="15.75">
      <c r="A114" s="356"/>
      <c r="B114" s="357"/>
      <c r="C114" s="314"/>
      <c r="D114" s="350"/>
      <c r="E114" s="350"/>
      <c r="F114" s="351"/>
      <c r="G114" s="351"/>
      <c r="H114" s="314"/>
      <c r="I114" s="314"/>
      <c r="J114" s="314"/>
      <c r="K114" s="314"/>
      <c r="L114" s="314"/>
      <c r="M114" s="314"/>
      <c r="N114" s="314"/>
      <c r="O114" s="358"/>
      <c r="P114" s="314"/>
      <c r="Q114" s="359"/>
      <c r="R114" s="360"/>
      <c r="S114" s="361"/>
      <c r="T114" s="367"/>
    </row>
    <row r="115" spans="1:20" s="354" customFormat="1" ht="15.75">
      <c r="A115" s="362"/>
      <c r="B115" s="357"/>
      <c r="C115" s="314"/>
      <c r="D115" s="351"/>
      <c r="E115" s="351"/>
      <c r="F115" s="351"/>
      <c r="G115" s="352"/>
      <c r="H115" s="351"/>
      <c r="I115" s="314"/>
      <c r="J115" s="352"/>
      <c r="K115" s="352"/>
      <c r="L115" s="314"/>
      <c r="M115" s="314"/>
      <c r="N115" s="314"/>
      <c r="O115" s="358"/>
      <c r="P115" s="314"/>
      <c r="Q115" s="363"/>
      <c r="R115" s="364"/>
      <c r="S115" s="361"/>
      <c r="T115" s="367"/>
    </row>
    <row r="116" spans="1:20" s="354" customFormat="1" ht="15.75">
      <c r="A116" s="362"/>
      <c r="B116" s="357"/>
      <c r="C116" s="314"/>
      <c r="D116" s="314"/>
      <c r="E116" s="314"/>
      <c r="F116" s="314"/>
      <c r="G116" s="351"/>
      <c r="H116" s="365"/>
      <c r="I116" s="314"/>
      <c r="J116" s="352"/>
      <c r="K116" s="314"/>
      <c r="L116" s="314"/>
      <c r="M116" s="314"/>
      <c r="N116" s="314"/>
      <c r="O116" s="358"/>
      <c r="P116" s="314"/>
      <c r="Q116" s="366"/>
      <c r="R116" s="360"/>
      <c r="S116" s="367"/>
      <c r="T116" s="367"/>
    </row>
    <row r="117" spans="1:20" s="354" customFormat="1" ht="15.75">
      <c r="A117" s="362"/>
      <c r="B117" s="357"/>
      <c r="C117" s="314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  <c r="N117" s="314"/>
      <c r="O117" s="368"/>
      <c r="P117" s="314"/>
      <c r="Q117" s="369"/>
      <c r="R117" s="360"/>
      <c r="S117" s="367"/>
      <c r="T117" s="367"/>
    </row>
    <row r="118" spans="1:20" s="354" customFormat="1" ht="15.75">
      <c r="A118" s="370"/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69"/>
      <c r="R118" s="371"/>
      <c r="S118" s="367"/>
      <c r="T118" s="367"/>
    </row>
    <row r="119" spans="1:20" s="354" customFormat="1" ht="15.75">
      <c r="A119" s="370"/>
      <c r="B119" s="314"/>
      <c r="C119" s="314"/>
      <c r="D119" s="314"/>
      <c r="E119" s="314"/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69"/>
      <c r="R119" s="371"/>
      <c r="S119" s="367"/>
      <c r="T119" s="367"/>
    </row>
    <row r="120" spans="1:20" s="354" customFormat="1" ht="15.75">
      <c r="A120" s="370"/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69"/>
      <c r="R120" s="371"/>
      <c r="S120" s="367"/>
      <c r="T120" s="367"/>
    </row>
    <row r="121" spans="1:20" s="354" customFormat="1">
      <c r="A121" s="353"/>
      <c r="Q121" s="355"/>
      <c r="T121" s="367"/>
    </row>
    <row r="122" spans="1:20" s="354" customFormat="1" ht="15.75">
      <c r="A122" s="356"/>
      <c r="B122" s="357"/>
      <c r="C122" s="314"/>
      <c r="D122" s="350"/>
      <c r="E122" s="350"/>
      <c r="F122" s="351"/>
      <c r="G122" s="351"/>
      <c r="H122" s="314"/>
      <c r="I122" s="314"/>
      <c r="J122" s="314"/>
      <c r="K122" s="314"/>
      <c r="L122" s="314"/>
      <c r="M122" s="314"/>
      <c r="N122" s="314"/>
      <c r="O122" s="358"/>
      <c r="P122" s="314"/>
      <c r="Q122" s="359"/>
      <c r="R122" s="360"/>
      <c r="S122" s="361"/>
      <c r="T122" s="367"/>
    </row>
    <row r="123" spans="1:20" s="354" customFormat="1" ht="15.75">
      <c r="A123" s="362"/>
      <c r="B123" s="357"/>
      <c r="C123" s="314"/>
      <c r="D123" s="351"/>
      <c r="E123" s="351"/>
      <c r="F123" s="351"/>
      <c r="G123" s="352"/>
      <c r="H123" s="351"/>
      <c r="I123" s="314"/>
      <c r="J123" s="352"/>
      <c r="K123" s="352"/>
      <c r="L123" s="314"/>
      <c r="M123" s="314"/>
      <c r="N123" s="314"/>
      <c r="O123" s="358"/>
      <c r="P123" s="314"/>
      <c r="Q123" s="363"/>
      <c r="R123" s="364"/>
      <c r="S123" s="361"/>
      <c r="T123" s="367"/>
    </row>
    <row r="124" spans="1:20" s="354" customFormat="1" ht="15.75">
      <c r="A124" s="362"/>
      <c r="B124" s="357"/>
      <c r="C124" s="314"/>
      <c r="D124" s="314"/>
      <c r="E124" s="314"/>
      <c r="F124" s="314"/>
      <c r="G124" s="351"/>
      <c r="H124" s="365"/>
      <c r="I124" s="314"/>
      <c r="J124" s="352"/>
      <c r="K124" s="314"/>
      <c r="L124" s="314"/>
      <c r="M124" s="314"/>
      <c r="N124" s="314"/>
      <c r="O124" s="358"/>
      <c r="P124" s="314"/>
      <c r="Q124" s="366"/>
      <c r="R124" s="360"/>
      <c r="S124" s="367"/>
      <c r="T124" s="367"/>
    </row>
    <row r="125" spans="1:20" s="354" customFormat="1" ht="15.75">
      <c r="A125" s="362"/>
      <c r="B125" s="357"/>
      <c r="C125" s="314"/>
      <c r="D125" s="314"/>
      <c r="E125" s="314"/>
      <c r="F125" s="314"/>
      <c r="G125" s="314"/>
      <c r="H125" s="314"/>
      <c r="I125" s="314"/>
      <c r="J125" s="314"/>
      <c r="K125" s="314"/>
      <c r="L125" s="314"/>
      <c r="M125" s="314"/>
      <c r="N125" s="314"/>
      <c r="O125" s="368"/>
      <c r="P125" s="314"/>
      <c r="Q125" s="369"/>
      <c r="R125" s="360"/>
      <c r="S125" s="367"/>
      <c r="T125" s="367"/>
    </row>
    <row r="126" spans="1:20" s="354" customFormat="1" ht="15.75">
      <c r="A126" s="370"/>
      <c r="B126" s="314"/>
      <c r="C126" s="314"/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69"/>
      <c r="R126" s="371"/>
      <c r="S126" s="367"/>
      <c r="T126" s="367"/>
    </row>
    <row r="127" spans="1:20" s="354" customFormat="1" ht="15.75">
      <c r="A127" s="370"/>
      <c r="B127" s="314"/>
      <c r="C127" s="314"/>
      <c r="D127" s="314"/>
      <c r="E127" s="314"/>
      <c r="F127" s="314"/>
      <c r="G127" s="314"/>
      <c r="H127" s="314"/>
      <c r="I127" s="314"/>
      <c r="J127" s="314"/>
      <c r="K127" s="314"/>
      <c r="L127" s="314"/>
      <c r="M127" s="314"/>
      <c r="N127" s="314"/>
      <c r="O127" s="314"/>
      <c r="P127" s="314"/>
      <c r="Q127" s="369"/>
      <c r="R127" s="371"/>
      <c r="S127" s="367"/>
      <c r="T127" s="367"/>
    </row>
    <row r="128" spans="1:20" s="354" customFormat="1" ht="15.75">
      <c r="A128" s="370"/>
      <c r="B128" s="314"/>
      <c r="C128" s="314"/>
      <c r="D128" s="314"/>
      <c r="E128" s="314"/>
      <c r="F128" s="314"/>
      <c r="G128" s="314"/>
      <c r="H128" s="314"/>
      <c r="I128" s="314"/>
      <c r="J128" s="314"/>
      <c r="K128" s="314"/>
      <c r="L128" s="314"/>
      <c r="M128" s="373"/>
      <c r="N128" s="374"/>
      <c r="O128" s="375"/>
      <c r="P128" s="314"/>
      <c r="Q128" s="369"/>
      <c r="R128" s="371"/>
      <c r="S128" s="367"/>
      <c r="T128" s="367"/>
    </row>
    <row r="129" spans="1:20" s="354" customFormat="1" ht="15.75">
      <c r="A129" s="370"/>
      <c r="B129" s="314"/>
      <c r="C129" s="314"/>
      <c r="D129" s="314"/>
      <c r="E129" s="314"/>
      <c r="F129" s="314"/>
      <c r="G129" s="314"/>
      <c r="H129" s="314"/>
      <c r="I129" s="314"/>
      <c r="J129" s="314"/>
      <c r="K129" s="314"/>
      <c r="L129" s="314"/>
      <c r="M129" s="373"/>
      <c r="N129" s="374"/>
      <c r="P129" s="314"/>
      <c r="Q129" s="369"/>
      <c r="R129" s="371"/>
      <c r="S129" s="367"/>
      <c r="T129" s="367"/>
    </row>
    <row r="130" spans="1:20" s="354" customFormat="1" ht="15.75">
      <c r="A130" s="370"/>
      <c r="B130" s="314"/>
      <c r="C130" s="314"/>
      <c r="D130" s="314"/>
      <c r="E130" s="314"/>
      <c r="F130" s="314"/>
      <c r="G130" s="314"/>
      <c r="H130" s="314"/>
      <c r="I130" s="314"/>
      <c r="J130" s="314"/>
      <c r="K130" s="314"/>
      <c r="L130" s="314"/>
      <c r="M130" s="373"/>
      <c r="N130" s="374"/>
      <c r="P130" s="314"/>
      <c r="Q130" s="369"/>
      <c r="R130" s="371"/>
      <c r="S130" s="367"/>
      <c r="T130" s="367"/>
    </row>
    <row r="131" spans="1:20" s="354" customFormat="1" ht="15.75">
      <c r="A131" s="370"/>
      <c r="B131" s="314"/>
      <c r="C131" s="314"/>
      <c r="D131" s="314"/>
      <c r="E131" s="314"/>
      <c r="F131" s="314"/>
      <c r="G131" s="314"/>
      <c r="H131" s="314"/>
      <c r="I131" s="314"/>
      <c r="J131" s="314"/>
      <c r="K131" s="314"/>
      <c r="L131" s="314"/>
      <c r="M131" s="314"/>
      <c r="N131" s="314"/>
      <c r="O131" s="314"/>
      <c r="P131" s="314"/>
      <c r="Q131" s="369"/>
      <c r="R131" s="371"/>
      <c r="S131" s="367"/>
      <c r="T131" s="367"/>
    </row>
    <row r="132" spans="1:20" s="354" customFormat="1">
      <c r="A132" s="353"/>
      <c r="Q132" s="355"/>
      <c r="T132" s="367"/>
    </row>
    <row r="133" spans="1:20" s="354" customFormat="1" ht="15.75">
      <c r="A133" s="356"/>
      <c r="B133" s="357"/>
      <c r="C133" s="314"/>
      <c r="D133" s="350"/>
      <c r="E133" s="350"/>
      <c r="F133" s="351"/>
      <c r="G133" s="351"/>
      <c r="H133" s="314"/>
      <c r="I133" s="314"/>
      <c r="J133" s="314"/>
      <c r="K133" s="314"/>
      <c r="L133" s="314"/>
      <c r="M133" s="314"/>
      <c r="N133" s="314"/>
      <c r="O133" s="358"/>
      <c r="P133" s="314"/>
      <c r="Q133" s="359"/>
      <c r="R133" s="360"/>
      <c r="S133" s="361"/>
      <c r="T133" s="367"/>
    </row>
    <row r="134" spans="1:20" s="354" customFormat="1" ht="15.75">
      <c r="A134" s="362"/>
      <c r="B134" s="357"/>
      <c r="C134" s="314"/>
      <c r="D134" s="351"/>
      <c r="E134" s="351"/>
      <c r="F134" s="351"/>
      <c r="G134" s="352"/>
      <c r="H134" s="351"/>
      <c r="I134" s="314"/>
      <c r="J134" s="352"/>
      <c r="K134" s="352"/>
      <c r="L134" s="314"/>
      <c r="M134" s="314"/>
      <c r="N134" s="314"/>
      <c r="O134" s="358"/>
      <c r="P134" s="314"/>
      <c r="Q134" s="363"/>
      <c r="R134" s="364"/>
      <c r="S134" s="361"/>
      <c r="T134" s="367"/>
    </row>
    <row r="135" spans="1:20" s="354" customFormat="1" ht="15.75">
      <c r="A135" s="362"/>
      <c r="B135" s="357"/>
      <c r="C135" s="314"/>
      <c r="D135" s="314"/>
      <c r="E135" s="314"/>
      <c r="F135" s="314"/>
      <c r="G135" s="351"/>
      <c r="H135" s="365"/>
      <c r="I135" s="314"/>
      <c r="J135" s="352"/>
      <c r="K135" s="314"/>
      <c r="L135" s="314"/>
      <c r="M135" s="314"/>
      <c r="N135" s="314"/>
      <c r="O135" s="358"/>
      <c r="P135" s="314"/>
      <c r="Q135" s="366"/>
      <c r="R135" s="360"/>
      <c r="S135" s="367"/>
      <c r="T135" s="367"/>
    </row>
    <row r="136" spans="1:20" s="354" customFormat="1" ht="15.75">
      <c r="A136" s="362"/>
      <c r="B136" s="357"/>
      <c r="C136" s="314"/>
      <c r="D136" s="314"/>
      <c r="E136" s="314"/>
      <c r="F136" s="314"/>
      <c r="G136" s="314"/>
      <c r="H136" s="314"/>
      <c r="I136" s="314"/>
      <c r="J136" s="314"/>
      <c r="K136" s="314"/>
      <c r="L136" s="314"/>
      <c r="M136" s="314"/>
      <c r="N136" s="314"/>
      <c r="O136" s="368"/>
      <c r="P136" s="314"/>
      <c r="Q136" s="369"/>
      <c r="R136" s="360"/>
      <c r="S136" s="367"/>
      <c r="T136" s="367"/>
    </row>
    <row r="137" spans="1:20" s="354" customFormat="1" ht="15.75">
      <c r="A137" s="370"/>
      <c r="B137" s="314"/>
      <c r="C137" s="314"/>
      <c r="D137" s="314"/>
      <c r="E137" s="314"/>
      <c r="F137" s="314"/>
      <c r="G137" s="314"/>
      <c r="H137" s="314"/>
      <c r="I137" s="314"/>
      <c r="J137" s="314"/>
      <c r="K137" s="314"/>
      <c r="L137" s="314"/>
      <c r="M137" s="314"/>
      <c r="N137" s="314"/>
      <c r="O137" s="314"/>
      <c r="P137" s="314"/>
      <c r="Q137" s="369"/>
      <c r="R137" s="371"/>
      <c r="S137" s="367"/>
      <c r="T137" s="367"/>
    </row>
    <row r="138" spans="1:20" s="354" customFormat="1">
      <c r="A138" s="353"/>
      <c r="T138" s="367"/>
    </row>
    <row r="139" spans="1:20" s="354" customFormat="1">
      <c r="A139" s="353"/>
      <c r="Q139" s="355"/>
      <c r="T139" s="367"/>
    </row>
    <row r="140" spans="1:20" s="354" customFormat="1">
      <c r="A140" s="353"/>
      <c r="Q140" s="359"/>
      <c r="R140" s="360"/>
      <c r="S140" s="376"/>
      <c r="T140" s="367"/>
    </row>
    <row r="141" spans="1:20" s="354" customFormat="1">
      <c r="A141" s="353"/>
      <c r="Q141" s="363"/>
      <c r="R141" s="364"/>
      <c r="S141" s="376"/>
      <c r="T141" s="367"/>
    </row>
    <row r="142" spans="1:20" s="354" customFormat="1">
      <c r="A142" s="353"/>
      <c r="Q142" s="366"/>
      <c r="R142" s="360"/>
      <c r="S142" s="359"/>
      <c r="T142" s="367"/>
    </row>
    <row r="143" spans="1:20" s="354" customFormat="1">
      <c r="A143" s="353"/>
      <c r="Q143" s="369"/>
      <c r="R143" s="360"/>
      <c r="S143" s="359"/>
      <c r="T143" s="367"/>
    </row>
    <row r="144" spans="1:20" s="354" customFormat="1">
      <c r="A144" s="353"/>
      <c r="Q144" s="369"/>
      <c r="R144" s="371"/>
      <c r="S144" s="359"/>
      <c r="T144" s="367"/>
    </row>
    <row r="145" spans="1:20" s="354" customFormat="1">
      <c r="A145" s="353"/>
      <c r="T145" s="367"/>
    </row>
    <row r="146" spans="1:20" s="354" customFormat="1">
      <c r="A146" s="353"/>
      <c r="Q146" s="355"/>
      <c r="T146" s="367"/>
    </row>
    <row r="147" spans="1:20" s="354" customFormat="1">
      <c r="A147" s="353"/>
      <c r="Q147" s="359"/>
      <c r="R147" s="360"/>
      <c r="S147" s="361"/>
      <c r="T147" s="367"/>
    </row>
    <row r="148" spans="1:20" s="354" customFormat="1">
      <c r="A148" s="353"/>
      <c r="Q148" s="363"/>
      <c r="R148" s="364"/>
      <c r="S148" s="361"/>
      <c r="T148" s="367"/>
    </row>
    <row r="149" spans="1:20" s="354" customFormat="1">
      <c r="A149" s="353"/>
      <c r="Q149" s="366"/>
      <c r="R149" s="360"/>
      <c r="S149" s="367"/>
      <c r="T149" s="367"/>
    </row>
    <row r="150" spans="1:20" s="354" customFormat="1">
      <c r="A150" s="353"/>
      <c r="N150" s="377"/>
      <c r="Q150" s="369"/>
      <c r="R150" s="360"/>
      <c r="S150" s="367"/>
      <c r="T150" s="367"/>
    </row>
    <row r="151" spans="1:20" s="354" customFormat="1">
      <c r="A151" s="353"/>
      <c r="Q151" s="369"/>
      <c r="R151" s="371"/>
      <c r="S151" s="367"/>
      <c r="T151" s="367"/>
    </row>
    <row r="152" spans="1:20" s="354" customFormat="1">
      <c r="A152" s="353"/>
      <c r="T152" s="367"/>
    </row>
    <row r="153" spans="1:20" s="354" customFormat="1">
      <c r="A153" s="353"/>
      <c r="Q153" s="355"/>
      <c r="T153" s="367"/>
    </row>
    <row r="154" spans="1:20" s="354" customFormat="1" ht="15.75">
      <c r="A154" s="356"/>
      <c r="B154" s="357"/>
      <c r="C154" s="314"/>
      <c r="D154" s="350"/>
      <c r="E154" s="350"/>
      <c r="F154" s="351"/>
      <c r="G154" s="351"/>
      <c r="H154" s="314"/>
      <c r="I154" s="314"/>
      <c r="J154" s="314"/>
      <c r="K154" s="314"/>
      <c r="L154" s="314"/>
      <c r="M154" s="314"/>
      <c r="N154" s="314"/>
      <c r="O154" s="358"/>
      <c r="P154" s="314"/>
      <c r="Q154" s="359"/>
      <c r="R154" s="360"/>
      <c r="S154" s="361"/>
      <c r="T154" s="367"/>
    </row>
    <row r="155" spans="1:20" s="354" customFormat="1" ht="15.75">
      <c r="A155" s="362"/>
      <c r="B155" s="357"/>
      <c r="C155" s="314"/>
      <c r="D155" s="351"/>
      <c r="E155" s="351"/>
      <c r="F155" s="351"/>
      <c r="G155" s="352"/>
      <c r="H155" s="351"/>
      <c r="I155" s="314"/>
      <c r="J155" s="352"/>
      <c r="K155" s="352"/>
      <c r="L155" s="314"/>
      <c r="M155" s="314"/>
      <c r="N155" s="314"/>
      <c r="O155" s="358"/>
      <c r="P155" s="314"/>
      <c r="Q155" s="363"/>
      <c r="R155" s="364"/>
      <c r="S155" s="361"/>
      <c r="T155" s="367"/>
    </row>
    <row r="156" spans="1:20" s="354" customFormat="1" ht="15.75">
      <c r="A156" s="362"/>
      <c r="B156" s="357"/>
      <c r="C156" s="314"/>
      <c r="D156" s="314"/>
      <c r="E156" s="314"/>
      <c r="F156" s="314"/>
      <c r="G156" s="351"/>
      <c r="H156" s="365"/>
      <c r="I156" s="314"/>
      <c r="J156" s="352"/>
      <c r="K156" s="314"/>
      <c r="L156" s="314"/>
      <c r="M156" s="314"/>
      <c r="N156" s="314"/>
      <c r="O156" s="358"/>
      <c r="P156" s="314"/>
      <c r="Q156" s="366"/>
      <c r="R156" s="360"/>
      <c r="S156" s="367"/>
      <c r="T156" s="367"/>
    </row>
    <row r="157" spans="1:20" s="354" customFormat="1" ht="15.75">
      <c r="A157" s="362"/>
      <c r="B157" s="357"/>
      <c r="C157" s="314"/>
      <c r="D157" s="314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68"/>
      <c r="P157" s="314"/>
      <c r="Q157" s="369"/>
      <c r="R157" s="360"/>
      <c r="S157" s="367"/>
      <c r="T157" s="367"/>
    </row>
    <row r="158" spans="1:20" s="354" customFormat="1" ht="15.75">
      <c r="A158" s="370"/>
      <c r="B158" s="314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69"/>
      <c r="R158" s="371"/>
      <c r="S158" s="367"/>
      <c r="T158" s="367"/>
    </row>
    <row r="159" spans="1:20" s="354" customFormat="1">
      <c r="A159" s="353"/>
      <c r="T159" s="367"/>
    </row>
    <row r="160" spans="1:20" s="354" customFormat="1">
      <c r="A160" s="353"/>
      <c r="Q160" s="355"/>
      <c r="T160" s="367"/>
    </row>
    <row r="161" spans="1:20" s="354" customFormat="1" ht="15.75">
      <c r="A161" s="356"/>
      <c r="B161" s="357"/>
      <c r="C161" s="314"/>
      <c r="D161" s="350"/>
      <c r="E161" s="350"/>
      <c r="F161" s="351"/>
      <c r="G161" s="351"/>
      <c r="H161" s="314"/>
      <c r="I161" s="314"/>
      <c r="J161" s="314"/>
      <c r="K161" s="314"/>
      <c r="L161" s="314"/>
      <c r="M161" s="314"/>
      <c r="N161" s="314"/>
      <c r="O161" s="358"/>
      <c r="P161" s="314"/>
      <c r="Q161" s="359"/>
      <c r="R161" s="360"/>
      <c r="S161" s="361"/>
      <c r="T161" s="367"/>
    </row>
    <row r="162" spans="1:20" s="354" customFormat="1" ht="15.75">
      <c r="A162" s="362"/>
      <c r="B162" s="357"/>
      <c r="C162" s="314"/>
      <c r="D162" s="351"/>
      <c r="E162" s="351"/>
      <c r="F162" s="351"/>
      <c r="G162" s="352"/>
      <c r="H162" s="351"/>
      <c r="I162" s="314"/>
      <c r="J162" s="352"/>
      <c r="K162" s="352"/>
      <c r="L162" s="314"/>
      <c r="M162" s="314"/>
      <c r="N162" s="314"/>
      <c r="O162" s="358"/>
      <c r="P162" s="314"/>
      <c r="Q162" s="363"/>
      <c r="R162" s="364"/>
      <c r="S162" s="361"/>
      <c r="T162" s="367"/>
    </row>
    <row r="163" spans="1:20" s="354" customFormat="1" ht="15.75">
      <c r="A163" s="362"/>
      <c r="B163" s="357"/>
      <c r="C163" s="314"/>
      <c r="D163" s="314"/>
      <c r="E163" s="314"/>
      <c r="F163" s="314"/>
      <c r="G163" s="351"/>
      <c r="H163" s="365"/>
      <c r="I163" s="314"/>
      <c r="J163" s="352"/>
      <c r="K163" s="314"/>
      <c r="L163" s="314"/>
      <c r="M163" s="314"/>
      <c r="N163" s="314"/>
      <c r="O163" s="358"/>
      <c r="P163" s="314"/>
      <c r="Q163" s="366"/>
      <c r="R163" s="360"/>
      <c r="S163" s="367"/>
      <c r="T163" s="367"/>
    </row>
    <row r="164" spans="1:20" s="354" customFormat="1" ht="15.75">
      <c r="A164" s="362"/>
      <c r="B164" s="357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68"/>
      <c r="P164" s="314"/>
      <c r="Q164" s="369"/>
      <c r="R164" s="360"/>
      <c r="S164" s="367"/>
      <c r="T164" s="367"/>
    </row>
    <row r="165" spans="1:20" s="354" customFormat="1" ht="15.75">
      <c r="A165" s="370"/>
      <c r="B165" s="314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69"/>
      <c r="R165" s="371"/>
      <c r="S165" s="367"/>
      <c r="T165" s="367"/>
    </row>
    <row r="166" spans="1:20" s="354" customFormat="1">
      <c r="A166" s="353"/>
      <c r="T166" s="367"/>
    </row>
    <row r="167" spans="1:20" s="354" customFormat="1" ht="15.75">
      <c r="A167" s="356"/>
      <c r="Q167" s="355"/>
      <c r="T167" s="367"/>
    </row>
    <row r="168" spans="1:20" s="354" customFormat="1" ht="15.75">
      <c r="A168" s="356"/>
      <c r="B168" s="357"/>
      <c r="C168" s="314"/>
      <c r="D168" s="350"/>
      <c r="E168" s="350"/>
      <c r="F168" s="351"/>
      <c r="G168" s="351"/>
      <c r="H168" s="314"/>
      <c r="I168" s="314"/>
      <c r="J168" s="314"/>
      <c r="K168" s="314"/>
      <c r="L168" s="314"/>
      <c r="M168" s="314"/>
      <c r="N168" s="314"/>
      <c r="O168" s="358"/>
      <c r="P168" s="314"/>
      <c r="Q168" s="359"/>
      <c r="R168" s="360"/>
      <c r="S168" s="361"/>
      <c r="T168" s="367"/>
    </row>
    <row r="169" spans="1:20" s="354" customFormat="1" ht="15.75">
      <c r="A169" s="362"/>
      <c r="B169" s="357"/>
      <c r="C169" s="314"/>
      <c r="D169" s="351"/>
      <c r="E169" s="351"/>
      <c r="F169" s="351"/>
      <c r="G169" s="352"/>
      <c r="H169" s="351"/>
      <c r="I169" s="314"/>
      <c r="J169" s="352"/>
      <c r="K169" s="352"/>
      <c r="L169" s="314"/>
      <c r="M169" s="314"/>
      <c r="N169" s="314"/>
      <c r="O169" s="358"/>
      <c r="P169" s="314"/>
      <c r="Q169" s="363"/>
      <c r="R169" s="364"/>
      <c r="S169" s="361"/>
      <c r="T169" s="367"/>
    </row>
    <row r="170" spans="1:20" s="354" customFormat="1" ht="15.75">
      <c r="A170" s="362"/>
      <c r="B170" s="357"/>
      <c r="C170" s="314"/>
      <c r="D170" s="314"/>
      <c r="E170" s="314"/>
      <c r="F170" s="314"/>
      <c r="G170" s="351"/>
      <c r="H170" s="365"/>
      <c r="I170" s="314"/>
      <c r="J170" s="352"/>
      <c r="K170" s="314"/>
      <c r="L170" s="314"/>
      <c r="M170" s="314"/>
      <c r="N170" s="314"/>
      <c r="O170" s="358"/>
      <c r="P170" s="314"/>
      <c r="Q170" s="366"/>
      <c r="R170" s="360"/>
      <c r="S170" s="367"/>
      <c r="T170" s="367"/>
    </row>
    <row r="171" spans="1:20" s="354" customFormat="1" ht="15.75">
      <c r="A171" s="362"/>
      <c r="B171" s="357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68"/>
      <c r="P171" s="314"/>
      <c r="Q171" s="369"/>
      <c r="R171" s="360"/>
      <c r="S171" s="367"/>
      <c r="T171" s="367"/>
    </row>
    <row r="172" spans="1:20" s="354" customFormat="1" ht="15.75">
      <c r="A172" s="370"/>
      <c r="B172" s="314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69"/>
      <c r="R172" s="371"/>
      <c r="S172" s="367"/>
      <c r="T172" s="367"/>
    </row>
    <row r="173" spans="1:20" s="354" customFormat="1">
      <c r="A173" s="353"/>
      <c r="T173" s="367"/>
    </row>
    <row r="174" spans="1:20" s="354" customFormat="1" ht="15.75">
      <c r="A174" s="356"/>
      <c r="Q174" s="355"/>
      <c r="T174" s="367"/>
    </row>
    <row r="175" spans="1:20" s="354" customFormat="1" ht="15.75">
      <c r="A175" s="356"/>
      <c r="B175" s="357"/>
      <c r="C175" s="314"/>
      <c r="D175" s="350"/>
      <c r="E175" s="350"/>
      <c r="F175" s="351"/>
      <c r="G175" s="351"/>
      <c r="H175" s="314"/>
      <c r="I175" s="314"/>
      <c r="J175" s="314"/>
      <c r="K175" s="314"/>
      <c r="L175" s="314"/>
      <c r="M175" s="314"/>
      <c r="N175" s="314"/>
      <c r="O175" s="358"/>
      <c r="P175" s="314"/>
      <c r="Q175" s="359"/>
      <c r="R175" s="360"/>
      <c r="S175" s="361"/>
      <c r="T175" s="367"/>
    </row>
    <row r="176" spans="1:20" s="354" customFormat="1" ht="15.75">
      <c r="A176" s="362"/>
      <c r="B176" s="357"/>
      <c r="C176" s="314"/>
      <c r="D176" s="351"/>
      <c r="E176" s="351"/>
      <c r="F176" s="351"/>
      <c r="G176" s="352"/>
      <c r="H176" s="351"/>
      <c r="I176" s="314"/>
      <c r="J176" s="352"/>
      <c r="K176" s="352"/>
      <c r="L176" s="314"/>
      <c r="M176" s="314"/>
      <c r="N176" s="314"/>
      <c r="O176" s="358"/>
      <c r="P176" s="314"/>
      <c r="Q176" s="363"/>
      <c r="R176" s="364"/>
      <c r="S176" s="361"/>
      <c r="T176" s="367"/>
    </row>
    <row r="177" spans="1:20" s="354" customFormat="1" ht="15.75">
      <c r="A177" s="362"/>
      <c r="B177" s="357"/>
      <c r="C177" s="314"/>
      <c r="D177" s="314"/>
      <c r="E177" s="314"/>
      <c r="F177" s="314"/>
      <c r="G177" s="351"/>
      <c r="H177" s="365"/>
      <c r="I177" s="314"/>
      <c r="J177" s="352"/>
      <c r="K177" s="314"/>
      <c r="L177" s="314"/>
      <c r="M177" s="314"/>
      <c r="N177" s="314"/>
      <c r="O177" s="358"/>
      <c r="P177" s="314"/>
      <c r="Q177" s="366"/>
      <c r="R177" s="360"/>
      <c r="S177" s="367"/>
      <c r="T177" s="367"/>
    </row>
    <row r="178" spans="1:20" s="354" customFormat="1" ht="15.75">
      <c r="A178" s="362"/>
      <c r="B178" s="357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68"/>
      <c r="P178" s="314"/>
      <c r="Q178" s="369"/>
      <c r="R178" s="360"/>
      <c r="S178" s="367"/>
      <c r="T178" s="367"/>
    </row>
    <row r="179" spans="1:20" s="354" customFormat="1" ht="15.75">
      <c r="A179" s="370"/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69"/>
      <c r="R179" s="371"/>
      <c r="S179" s="367"/>
      <c r="T179" s="367"/>
    </row>
    <row r="180" spans="1:20" s="354" customFormat="1">
      <c r="A180" s="353"/>
      <c r="T180" s="367"/>
    </row>
    <row r="181" spans="1:20" s="354" customFormat="1">
      <c r="A181" s="353"/>
      <c r="T181" s="367"/>
    </row>
    <row r="182" spans="1:20" s="354" customFormat="1">
      <c r="A182" s="353"/>
      <c r="T182" s="367"/>
    </row>
    <row r="183" spans="1:20" s="354" customFormat="1">
      <c r="A183" s="353"/>
      <c r="T183" s="367"/>
    </row>
    <row r="184" spans="1:20" s="354" customFormat="1">
      <c r="A184" s="353"/>
      <c r="T184" s="367"/>
    </row>
    <row r="185" spans="1:20" s="354" customFormat="1">
      <c r="A185" s="353"/>
      <c r="T185" s="367"/>
    </row>
    <row r="186" spans="1:20" s="354" customFormat="1">
      <c r="A186" s="353"/>
      <c r="T186" s="367"/>
    </row>
    <row r="187" spans="1:20" s="354" customFormat="1">
      <c r="A187" s="353"/>
      <c r="T187" s="367"/>
    </row>
    <row r="188" spans="1:20" s="354" customFormat="1">
      <c r="A188" s="353"/>
      <c r="T188" s="367"/>
    </row>
    <row r="189" spans="1:20" s="354" customFormat="1">
      <c r="A189" s="353"/>
      <c r="T189" s="367"/>
    </row>
    <row r="190" spans="1:20" s="354" customFormat="1">
      <c r="A190" s="353"/>
      <c r="T190" s="367"/>
    </row>
    <row r="191" spans="1:20" s="354" customFormat="1">
      <c r="A191" s="353"/>
      <c r="T191" s="367"/>
    </row>
    <row r="192" spans="1:20" s="354" customFormat="1">
      <c r="A192" s="353"/>
      <c r="T192" s="367"/>
    </row>
    <row r="193" spans="1:20" s="354" customFormat="1">
      <c r="A193" s="353"/>
      <c r="T193" s="367"/>
    </row>
    <row r="194" spans="1:20" s="354" customFormat="1">
      <c r="A194" s="353"/>
      <c r="T194" s="367"/>
    </row>
    <row r="195" spans="1:20" s="354" customFormat="1">
      <c r="A195" s="353"/>
      <c r="T195" s="367"/>
    </row>
    <row r="196" spans="1:20" s="354" customFormat="1">
      <c r="A196" s="353"/>
      <c r="T196" s="367"/>
    </row>
    <row r="197" spans="1:20" s="354" customFormat="1">
      <c r="A197" s="353"/>
      <c r="T197" s="367"/>
    </row>
    <row r="198" spans="1:20" s="354" customFormat="1">
      <c r="A198" s="353"/>
      <c r="T198" s="367"/>
    </row>
    <row r="199" spans="1:20" s="354" customFormat="1">
      <c r="A199" s="353"/>
      <c r="T199" s="367"/>
    </row>
    <row r="200" spans="1:20" s="354" customFormat="1">
      <c r="A200" s="353"/>
      <c r="T200" s="367"/>
    </row>
    <row r="201" spans="1:20" s="354" customFormat="1">
      <c r="A201" s="353"/>
      <c r="T201" s="367"/>
    </row>
    <row r="202" spans="1:20" s="354" customFormat="1">
      <c r="A202" s="353"/>
      <c r="T202" s="367"/>
    </row>
    <row r="203" spans="1:20" s="354" customFormat="1">
      <c r="A203" s="353"/>
      <c r="T203" s="367"/>
    </row>
    <row r="204" spans="1:20" s="354" customFormat="1">
      <c r="A204" s="353"/>
      <c r="T204" s="367"/>
    </row>
    <row r="205" spans="1:20" s="354" customFormat="1">
      <c r="A205" s="353"/>
      <c r="T205" s="367"/>
    </row>
    <row r="206" spans="1:20" s="354" customFormat="1">
      <c r="A206" s="353"/>
      <c r="T206" s="367"/>
    </row>
    <row r="207" spans="1:20" s="354" customFormat="1">
      <c r="A207" s="353"/>
      <c r="T207" s="367"/>
    </row>
    <row r="208" spans="1:20" s="354" customFormat="1">
      <c r="A208" s="353"/>
      <c r="T208" s="367"/>
    </row>
    <row r="209" spans="1:20" s="354" customFormat="1">
      <c r="A209" s="353"/>
      <c r="T209" s="367"/>
    </row>
    <row r="210" spans="1:20" s="354" customFormat="1">
      <c r="A210" s="353"/>
      <c r="T210" s="367"/>
    </row>
    <row r="211" spans="1:20" s="354" customFormat="1">
      <c r="A211" s="353"/>
      <c r="T211" s="367"/>
    </row>
    <row r="212" spans="1:20" s="354" customFormat="1">
      <c r="A212" s="353"/>
      <c r="T212" s="367"/>
    </row>
    <row r="213" spans="1:20" s="354" customFormat="1">
      <c r="A213" s="353"/>
      <c r="T213" s="367"/>
    </row>
    <row r="214" spans="1:20" s="354" customFormat="1">
      <c r="A214" s="353"/>
      <c r="T214" s="367"/>
    </row>
    <row r="215" spans="1:20" s="354" customFormat="1">
      <c r="A215" s="353"/>
      <c r="T215" s="367"/>
    </row>
    <row r="216" spans="1:20" s="354" customFormat="1">
      <c r="A216" s="353"/>
      <c r="T216" s="367"/>
    </row>
    <row r="217" spans="1:20" s="354" customFormat="1">
      <c r="A217" s="353"/>
      <c r="T217" s="367"/>
    </row>
    <row r="218" spans="1:20" s="354" customFormat="1">
      <c r="A218" s="353"/>
      <c r="T218" s="367"/>
    </row>
    <row r="219" spans="1:20" s="354" customFormat="1">
      <c r="A219" s="353"/>
      <c r="T219" s="367"/>
    </row>
    <row r="220" spans="1:20" s="354" customFormat="1">
      <c r="A220" s="353"/>
      <c r="T220" s="367"/>
    </row>
    <row r="221" spans="1:20" s="354" customFormat="1">
      <c r="A221" s="353"/>
      <c r="T221" s="367"/>
    </row>
    <row r="222" spans="1:20" s="354" customFormat="1">
      <c r="A222" s="353"/>
      <c r="T222" s="367"/>
    </row>
    <row r="223" spans="1:20" s="354" customFormat="1">
      <c r="A223" s="353"/>
      <c r="T223" s="367"/>
    </row>
    <row r="224" spans="1:20" s="354" customFormat="1">
      <c r="A224" s="353"/>
      <c r="T224" s="367"/>
    </row>
    <row r="225" spans="1:20" s="354" customFormat="1">
      <c r="A225" s="353"/>
      <c r="T225" s="367"/>
    </row>
    <row r="226" spans="1:20" s="354" customFormat="1">
      <c r="A226" s="353"/>
      <c r="T226" s="367"/>
    </row>
    <row r="227" spans="1:20" s="354" customFormat="1">
      <c r="A227" s="353"/>
      <c r="T227" s="367"/>
    </row>
    <row r="228" spans="1:20" s="354" customFormat="1">
      <c r="A228" s="353"/>
      <c r="T228" s="367"/>
    </row>
    <row r="229" spans="1:20" s="354" customFormat="1">
      <c r="A229" s="353"/>
      <c r="T229" s="367"/>
    </row>
    <row r="230" spans="1:20" s="354" customFormat="1">
      <c r="A230" s="353"/>
      <c r="T230" s="367"/>
    </row>
    <row r="231" spans="1:20" s="354" customFormat="1">
      <c r="A231" s="353"/>
      <c r="T231" s="367"/>
    </row>
    <row r="232" spans="1:20" s="354" customFormat="1">
      <c r="A232" s="353"/>
      <c r="T232" s="367"/>
    </row>
    <row r="233" spans="1:20" s="354" customFormat="1">
      <c r="A233" s="353"/>
      <c r="T233" s="367"/>
    </row>
    <row r="234" spans="1:20" s="354" customFormat="1">
      <c r="A234" s="353"/>
      <c r="T234" s="367"/>
    </row>
    <row r="235" spans="1:20" s="354" customFormat="1">
      <c r="A235" s="353"/>
      <c r="T235" s="367"/>
    </row>
    <row r="236" spans="1:20" s="354" customFormat="1">
      <c r="A236" s="353"/>
      <c r="T236" s="367"/>
    </row>
    <row r="237" spans="1:20" s="354" customFormat="1">
      <c r="A237" s="353"/>
      <c r="T237" s="367"/>
    </row>
    <row r="238" spans="1:20" s="354" customFormat="1">
      <c r="A238" s="353"/>
      <c r="T238" s="367"/>
    </row>
    <row r="239" spans="1:20" s="354" customFormat="1">
      <c r="A239" s="353"/>
      <c r="T239" s="367"/>
    </row>
    <row r="240" spans="1:20" s="354" customFormat="1">
      <c r="A240" s="353"/>
      <c r="T240" s="367"/>
    </row>
    <row r="241" spans="1:20" s="354" customFormat="1">
      <c r="A241" s="353"/>
      <c r="T241" s="367"/>
    </row>
    <row r="242" spans="1:20" s="354" customFormat="1">
      <c r="A242" s="353"/>
      <c r="T242" s="367"/>
    </row>
    <row r="243" spans="1:20" s="354" customFormat="1">
      <c r="A243" s="353"/>
      <c r="T243" s="367"/>
    </row>
    <row r="244" spans="1:20" s="354" customFormat="1">
      <c r="A244" s="353"/>
      <c r="T244" s="367"/>
    </row>
    <row r="245" spans="1:20" s="354" customFormat="1">
      <c r="A245" s="353"/>
      <c r="T245" s="367"/>
    </row>
    <row r="246" spans="1:20" s="354" customFormat="1">
      <c r="A246" s="353"/>
      <c r="T246" s="367"/>
    </row>
    <row r="247" spans="1:20" s="354" customFormat="1">
      <c r="A247" s="353"/>
      <c r="T247" s="367"/>
    </row>
    <row r="248" spans="1:20" s="354" customFormat="1">
      <c r="A248" s="353"/>
      <c r="T248" s="367"/>
    </row>
    <row r="249" spans="1:20" s="354" customFormat="1">
      <c r="A249" s="353"/>
      <c r="T249" s="367"/>
    </row>
    <row r="250" spans="1:20" s="354" customFormat="1">
      <c r="A250" s="353"/>
      <c r="T250" s="367"/>
    </row>
    <row r="251" spans="1:20" s="354" customFormat="1">
      <c r="A251" s="353"/>
      <c r="T251" s="367"/>
    </row>
    <row r="252" spans="1:20" s="354" customFormat="1">
      <c r="A252" s="353"/>
      <c r="T252" s="367"/>
    </row>
    <row r="253" spans="1:20" s="354" customFormat="1">
      <c r="A253" s="353"/>
      <c r="T253" s="367"/>
    </row>
    <row r="254" spans="1:20" s="354" customFormat="1">
      <c r="A254" s="353"/>
      <c r="T254" s="367"/>
    </row>
    <row r="255" spans="1:20" s="354" customFormat="1">
      <c r="A255" s="353"/>
      <c r="T255" s="367"/>
    </row>
    <row r="256" spans="1:20" s="354" customFormat="1">
      <c r="A256" s="353"/>
      <c r="T256" s="367"/>
    </row>
    <row r="257" spans="1:20" s="354" customFormat="1">
      <c r="A257" s="353"/>
      <c r="T257" s="367"/>
    </row>
    <row r="258" spans="1:20" s="354" customFormat="1">
      <c r="A258" s="353"/>
      <c r="T258" s="367"/>
    </row>
    <row r="259" spans="1:20" s="354" customFormat="1">
      <c r="A259" s="353"/>
      <c r="T259" s="367"/>
    </row>
    <row r="260" spans="1:20" s="354" customFormat="1">
      <c r="A260" s="353"/>
      <c r="T260" s="367"/>
    </row>
    <row r="261" spans="1:20" s="354" customFormat="1">
      <c r="A261" s="353"/>
      <c r="T261" s="367"/>
    </row>
    <row r="262" spans="1:20" s="354" customFormat="1">
      <c r="A262" s="353"/>
      <c r="T262" s="367"/>
    </row>
    <row r="263" spans="1:20" s="354" customFormat="1">
      <c r="A263" s="353"/>
      <c r="T263" s="367"/>
    </row>
    <row r="264" spans="1:20" s="354" customFormat="1">
      <c r="A264" s="353"/>
      <c r="T264" s="367"/>
    </row>
    <row r="265" spans="1:20" s="354" customFormat="1">
      <c r="A265" s="353"/>
      <c r="T265" s="367"/>
    </row>
    <row r="266" spans="1:20" s="354" customFormat="1">
      <c r="A266" s="353"/>
      <c r="T266" s="367"/>
    </row>
    <row r="267" spans="1:20" s="354" customFormat="1">
      <c r="A267" s="353"/>
      <c r="T267" s="367"/>
    </row>
    <row r="268" spans="1:20" s="354" customFormat="1">
      <c r="A268" s="353"/>
      <c r="T268" s="367"/>
    </row>
    <row r="269" spans="1:20" s="354" customFormat="1">
      <c r="A269" s="353"/>
      <c r="T269" s="367"/>
    </row>
    <row r="270" spans="1:20" s="354" customFormat="1">
      <c r="A270" s="353"/>
      <c r="T270" s="367"/>
    </row>
    <row r="271" spans="1:20" s="354" customFormat="1">
      <c r="A271" s="353"/>
      <c r="T271" s="367"/>
    </row>
    <row r="272" spans="1:20" s="354" customFormat="1">
      <c r="A272" s="353"/>
      <c r="T272" s="367"/>
    </row>
    <row r="273" spans="1:20" s="354" customFormat="1">
      <c r="A273" s="353"/>
      <c r="T273" s="367"/>
    </row>
    <row r="274" spans="1:20" s="354" customFormat="1">
      <c r="A274" s="353"/>
      <c r="T274" s="367"/>
    </row>
    <row r="275" spans="1:20" s="354" customFormat="1">
      <c r="A275" s="353"/>
      <c r="T275" s="367"/>
    </row>
    <row r="276" spans="1:20" s="354" customFormat="1">
      <c r="A276" s="353"/>
      <c r="T276" s="367"/>
    </row>
    <row r="277" spans="1:20" s="354" customFormat="1">
      <c r="A277" s="353"/>
      <c r="T277" s="367"/>
    </row>
    <row r="278" spans="1:20" s="354" customFormat="1">
      <c r="A278" s="353"/>
      <c r="T278" s="367"/>
    </row>
    <row r="279" spans="1:20" s="354" customFormat="1">
      <c r="A279" s="353"/>
      <c r="T279" s="367"/>
    </row>
    <row r="280" spans="1:20" s="354" customFormat="1">
      <c r="A280" s="353"/>
      <c r="T280" s="367"/>
    </row>
    <row r="281" spans="1:20" s="354" customFormat="1">
      <c r="A281" s="353"/>
      <c r="T281" s="367"/>
    </row>
    <row r="282" spans="1:20" s="354" customFormat="1">
      <c r="A282" s="353"/>
      <c r="T282" s="367"/>
    </row>
    <row r="283" spans="1:20" s="354" customFormat="1">
      <c r="A283" s="353"/>
      <c r="T283" s="367"/>
    </row>
    <row r="284" spans="1:20" s="354" customFormat="1">
      <c r="A284" s="353"/>
      <c r="T284" s="367"/>
    </row>
    <row r="285" spans="1:20" s="354" customFormat="1">
      <c r="A285" s="353"/>
      <c r="T285" s="367"/>
    </row>
    <row r="286" spans="1:20" s="354" customFormat="1">
      <c r="A286" s="353"/>
      <c r="T286" s="367"/>
    </row>
    <row r="287" spans="1:20" s="354" customFormat="1">
      <c r="A287" s="353"/>
      <c r="T287" s="367"/>
    </row>
    <row r="288" spans="1:20" s="354" customFormat="1">
      <c r="A288" s="353"/>
      <c r="T288" s="367"/>
    </row>
    <row r="289" spans="1:20" s="354" customFormat="1">
      <c r="A289" s="353"/>
      <c r="T289" s="367"/>
    </row>
    <row r="290" spans="1:20" s="354" customFormat="1">
      <c r="A290" s="353"/>
      <c r="T290" s="367"/>
    </row>
    <row r="291" spans="1:20" s="354" customFormat="1">
      <c r="A291" s="353"/>
      <c r="T291" s="367"/>
    </row>
    <row r="292" spans="1:20" s="354" customFormat="1">
      <c r="A292" s="353"/>
      <c r="T292" s="367"/>
    </row>
    <row r="293" spans="1:20" s="354" customFormat="1">
      <c r="A293" s="353"/>
      <c r="T293" s="367"/>
    </row>
    <row r="294" spans="1:20" s="354" customFormat="1">
      <c r="A294" s="353"/>
      <c r="T294" s="367"/>
    </row>
    <row r="295" spans="1:20" s="354" customFormat="1">
      <c r="A295" s="353"/>
      <c r="T295" s="367"/>
    </row>
    <row r="296" spans="1:20" s="354" customFormat="1">
      <c r="A296" s="353"/>
      <c r="T296" s="367"/>
    </row>
    <row r="297" spans="1:20" s="354" customFormat="1">
      <c r="A297" s="353"/>
      <c r="T297" s="367"/>
    </row>
    <row r="298" spans="1:20" s="354" customFormat="1">
      <c r="A298" s="353"/>
      <c r="T298" s="367"/>
    </row>
    <row r="299" spans="1:20" s="354" customFormat="1">
      <c r="A299" s="353"/>
      <c r="T299" s="367"/>
    </row>
    <row r="300" spans="1:20">
      <c r="T300" s="367"/>
    </row>
    <row r="301" spans="1:20">
      <c r="T301" s="367"/>
    </row>
    <row r="302" spans="1:20">
      <c r="T302" s="367"/>
    </row>
    <row r="303" spans="1:20">
      <c r="T303" s="367"/>
    </row>
    <row r="304" spans="1:20">
      <c r="T304" s="367"/>
    </row>
    <row r="305" spans="20:20">
      <c r="T305" s="367"/>
    </row>
    <row r="306" spans="20:20">
      <c r="T306" s="367"/>
    </row>
    <row r="307" spans="20:20">
      <c r="T307" s="367"/>
    </row>
    <row r="308" spans="20:20">
      <c r="T308" s="367"/>
    </row>
    <row r="309" spans="20:20">
      <c r="T309" s="367"/>
    </row>
    <row r="310" spans="20:20">
      <c r="T310" s="367"/>
    </row>
    <row r="311" spans="20:20">
      <c r="T311" s="367"/>
    </row>
    <row r="312" spans="20:20">
      <c r="T312" s="367"/>
    </row>
    <row r="313" spans="20:20">
      <c r="T313" s="367"/>
    </row>
    <row r="314" spans="20:20">
      <c r="T314" s="367"/>
    </row>
    <row r="315" spans="20:20">
      <c r="T315" s="367"/>
    </row>
    <row r="316" spans="20:20">
      <c r="T316" s="367"/>
    </row>
    <row r="317" spans="20:20">
      <c r="T317" s="367"/>
    </row>
    <row r="318" spans="20:20">
      <c r="T318" s="367"/>
    </row>
    <row r="319" spans="20:20">
      <c r="T319" s="367"/>
    </row>
    <row r="320" spans="20:20">
      <c r="T320" s="367"/>
    </row>
    <row r="321" spans="20:20">
      <c r="T321" s="367"/>
    </row>
    <row r="322" spans="20:20">
      <c r="T322" s="367"/>
    </row>
    <row r="323" spans="20:20">
      <c r="T323" s="367"/>
    </row>
    <row r="324" spans="20:20">
      <c r="T324" s="367"/>
    </row>
    <row r="325" spans="20:20">
      <c r="T325" s="367"/>
    </row>
    <row r="326" spans="20:20">
      <c r="T326" s="367"/>
    </row>
    <row r="327" spans="20:20">
      <c r="T327" s="367"/>
    </row>
    <row r="328" spans="20:20">
      <c r="T328" s="367"/>
    </row>
    <row r="329" spans="20:20">
      <c r="T329" s="367"/>
    </row>
    <row r="330" spans="20:20">
      <c r="T330" s="367"/>
    </row>
    <row r="331" spans="20:20">
      <c r="T331" s="367"/>
    </row>
    <row r="332" spans="20:20">
      <c r="T332" s="367"/>
    </row>
    <row r="333" spans="20:20">
      <c r="T333" s="367"/>
    </row>
    <row r="334" spans="20:20">
      <c r="T334" s="367"/>
    </row>
    <row r="335" spans="20:20">
      <c r="T335" s="367"/>
    </row>
    <row r="336" spans="20:20">
      <c r="T336" s="367"/>
    </row>
    <row r="337" spans="20:20">
      <c r="T337" s="367"/>
    </row>
    <row r="338" spans="20:20">
      <c r="T338" s="367"/>
    </row>
    <row r="339" spans="20:20">
      <c r="T339" s="367"/>
    </row>
    <row r="340" spans="20:20">
      <c r="T340" s="367"/>
    </row>
    <row r="341" spans="20:20">
      <c r="T341" s="367"/>
    </row>
    <row r="342" spans="20:20">
      <c r="T342" s="367"/>
    </row>
    <row r="343" spans="20:20">
      <c r="T343" s="367"/>
    </row>
    <row r="344" spans="20:20">
      <c r="T344" s="367"/>
    </row>
    <row r="345" spans="20:20">
      <c r="T345" s="367"/>
    </row>
    <row r="346" spans="20:20">
      <c r="T346" s="367"/>
    </row>
    <row r="347" spans="20:20">
      <c r="T347" s="367"/>
    </row>
    <row r="348" spans="20:20">
      <c r="T348" s="367"/>
    </row>
    <row r="349" spans="20:20">
      <c r="T349" s="367"/>
    </row>
    <row r="350" spans="20:20">
      <c r="T350" s="367"/>
    </row>
    <row r="351" spans="20:20">
      <c r="T351" s="367"/>
    </row>
    <row r="352" spans="20:20">
      <c r="T352" s="367"/>
    </row>
    <row r="353" spans="20:20">
      <c r="T353" s="367"/>
    </row>
    <row r="354" spans="20:20">
      <c r="T354" s="367"/>
    </row>
    <row r="355" spans="20:20">
      <c r="T355" s="367"/>
    </row>
    <row r="356" spans="20:20">
      <c r="T356" s="367"/>
    </row>
    <row r="357" spans="20:20">
      <c r="T357" s="367"/>
    </row>
    <row r="358" spans="20:20">
      <c r="T358" s="367"/>
    </row>
    <row r="359" spans="20:20">
      <c r="T359" s="367"/>
    </row>
    <row r="360" spans="20:20">
      <c r="T360" s="367"/>
    </row>
    <row r="361" spans="20:20">
      <c r="T361" s="367"/>
    </row>
    <row r="362" spans="20:20">
      <c r="T362" s="367"/>
    </row>
    <row r="363" spans="20:20">
      <c r="T363" s="367"/>
    </row>
    <row r="364" spans="20:20">
      <c r="T364" s="367"/>
    </row>
    <row r="365" spans="20:20">
      <c r="T365" s="367"/>
    </row>
    <row r="366" spans="20:20">
      <c r="T366" s="367"/>
    </row>
    <row r="367" spans="20:20">
      <c r="T367" s="367"/>
    </row>
    <row r="368" spans="20:20">
      <c r="T368" s="367"/>
    </row>
    <row r="369" spans="20:20">
      <c r="T369" s="367"/>
    </row>
    <row r="370" spans="20:20">
      <c r="T370" s="367"/>
    </row>
    <row r="371" spans="20:20">
      <c r="T371" s="367"/>
    </row>
    <row r="372" spans="20:20">
      <c r="T372" s="367"/>
    </row>
    <row r="373" spans="20:20">
      <c r="T373" s="367"/>
    </row>
    <row r="374" spans="20:20">
      <c r="T374" s="367"/>
    </row>
    <row r="375" spans="20:20">
      <c r="T375" s="367"/>
    </row>
    <row r="376" spans="20:20">
      <c r="T376" s="367"/>
    </row>
    <row r="377" spans="20:20">
      <c r="T377" s="367"/>
    </row>
    <row r="378" spans="20:20">
      <c r="T378" s="367"/>
    </row>
    <row r="379" spans="20:20">
      <c r="T379" s="367"/>
    </row>
    <row r="380" spans="20:20">
      <c r="T380" s="367"/>
    </row>
    <row r="381" spans="20:20">
      <c r="T381" s="367"/>
    </row>
    <row r="382" spans="20:20">
      <c r="T382" s="367"/>
    </row>
    <row r="383" spans="20:20">
      <c r="T383" s="367"/>
    </row>
    <row r="384" spans="20:20">
      <c r="T384" s="367"/>
    </row>
    <row r="385" spans="20:20">
      <c r="T385" s="367"/>
    </row>
    <row r="386" spans="20:20">
      <c r="T386" s="367"/>
    </row>
    <row r="387" spans="20:20">
      <c r="T387" s="367"/>
    </row>
    <row r="388" spans="20:20">
      <c r="T388" s="367"/>
    </row>
    <row r="389" spans="20:20">
      <c r="T389" s="367"/>
    </row>
    <row r="390" spans="20:20">
      <c r="T390" s="367"/>
    </row>
    <row r="391" spans="20:20">
      <c r="T391" s="367"/>
    </row>
    <row r="392" spans="20:20">
      <c r="T392" s="367"/>
    </row>
    <row r="393" spans="20:20">
      <c r="T393" s="367"/>
    </row>
    <row r="394" spans="20:20">
      <c r="T394" s="367"/>
    </row>
    <row r="395" spans="20:20">
      <c r="T395" s="367"/>
    </row>
    <row r="396" spans="20:20">
      <c r="T396" s="367"/>
    </row>
    <row r="397" spans="20:20">
      <c r="T397" s="367"/>
    </row>
    <row r="398" spans="20:20">
      <c r="T398" s="367"/>
    </row>
    <row r="399" spans="20:20">
      <c r="T399" s="367"/>
    </row>
    <row r="400" spans="20:20">
      <c r="T400" s="367"/>
    </row>
    <row r="401" spans="20:20">
      <c r="T401" s="367"/>
    </row>
    <row r="402" spans="20:20">
      <c r="T402" s="367"/>
    </row>
    <row r="403" spans="20:20">
      <c r="T403" s="367"/>
    </row>
    <row r="404" spans="20:20">
      <c r="T404" s="367"/>
    </row>
    <row r="405" spans="20:20">
      <c r="T405" s="367"/>
    </row>
    <row r="406" spans="20:20">
      <c r="T406" s="367"/>
    </row>
    <row r="407" spans="20:20">
      <c r="T407" s="367"/>
    </row>
    <row r="408" spans="20:20">
      <c r="T408" s="367"/>
    </row>
    <row r="409" spans="20:20">
      <c r="T409" s="367"/>
    </row>
    <row r="410" spans="20:20">
      <c r="T410" s="367"/>
    </row>
    <row r="411" spans="20:20">
      <c r="T411" s="367"/>
    </row>
    <row r="412" spans="20:20">
      <c r="T412" s="367"/>
    </row>
    <row r="413" spans="20:20">
      <c r="T413" s="367"/>
    </row>
    <row r="414" spans="20:20">
      <c r="T414" s="367"/>
    </row>
    <row r="415" spans="20:20">
      <c r="T415" s="367"/>
    </row>
    <row r="416" spans="20:20">
      <c r="T416" s="367"/>
    </row>
    <row r="417" spans="20:20">
      <c r="T417" s="367"/>
    </row>
    <row r="418" spans="20:20">
      <c r="T418" s="367"/>
    </row>
    <row r="419" spans="20:20">
      <c r="T419" s="367"/>
    </row>
    <row r="420" spans="20:20">
      <c r="T420" s="367"/>
    </row>
    <row r="421" spans="20:20">
      <c r="T421" s="367"/>
    </row>
    <row r="422" spans="20:20">
      <c r="T422" s="367"/>
    </row>
    <row r="423" spans="20:20">
      <c r="T423" s="367"/>
    </row>
    <row r="424" spans="20:20">
      <c r="T424" s="367"/>
    </row>
    <row r="425" spans="20:20">
      <c r="T425" s="367"/>
    </row>
    <row r="426" spans="20:20">
      <c r="T426" s="367"/>
    </row>
    <row r="427" spans="20:20">
      <c r="T427" s="367"/>
    </row>
    <row r="428" spans="20:20">
      <c r="T428" s="367"/>
    </row>
    <row r="429" spans="20:20">
      <c r="T429" s="367"/>
    </row>
    <row r="430" spans="20:20">
      <c r="T430" s="367"/>
    </row>
    <row r="431" spans="20:20">
      <c r="T431" s="367"/>
    </row>
    <row r="432" spans="20:20">
      <c r="T432" s="367"/>
    </row>
    <row r="433" spans="20:20">
      <c r="T433" s="367"/>
    </row>
    <row r="434" spans="20:20">
      <c r="T434" s="367"/>
    </row>
    <row r="435" spans="20:20">
      <c r="T435" s="367"/>
    </row>
    <row r="436" spans="20:20">
      <c r="T436" s="367"/>
    </row>
    <row r="437" spans="20:20">
      <c r="T437" s="367"/>
    </row>
    <row r="438" spans="20:20">
      <c r="T438" s="367"/>
    </row>
    <row r="439" spans="20:20">
      <c r="T439" s="367"/>
    </row>
    <row r="440" spans="20:20">
      <c r="T440" s="367"/>
    </row>
    <row r="441" spans="20:20">
      <c r="T441" s="367"/>
    </row>
    <row r="442" spans="20:20">
      <c r="T442" s="367"/>
    </row>
    <row r="443" spans="20:20">
      <c r="T443" s="367"/>
    </row>
    <row r="444" spans="20:20">
      <c r="T444" s="367"/>
    </row>
    <row r="445" spans="20:20">
      <c r="T445" s="367"/>
    </row>
    <row r="446" spans="20:20">
      <c r="T446" s="367"/>
    </row>
    <row r="447" spans="20:20">
      <c r="T447" s="367"/>
    </row>
    <row r="448" spans="20:20">
      <c r="T448" s="367"/>
    </row>
    <row r="449" spans="20:20">
      <c r="T449" s="367"/>
    </row>
    <row r="1145" spans="3:3">
      <c r="C1145" s="329">
        <v>-2130</v>
      </c>
    </row>
    <row r="1153" spans="3:3">
      <c r="C1153" s="329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40625" defaultRowHeight="15"/>
  <cols>
    <col min="1" max="1" width="29.85546875" style="274" customWidth="1"/>
    <col min="2" max="2" width="6.85546875" style="274" bestFit="1" customWidth="1"/>
    <col min="3" max="3" width="15.85546875" style="274" bestFit="1" customWidth="1"/>
    <col min="4" max="4" width="14.85546875" style="274" bestFit="1" customWidth="1"/>
    <col min="5" max="5" width="16.140625" style="274" bestFit="1" customWidth="1"/>
    <col min="6" max="6" width="9.140625" style="274"/>
    <col min="7" max="7" width="36.28515625" style="274" bestFit="1" customWidth="1"/>
    <col min="8" max="8" width="17.5703125" style="274" bestFit="1" customWidth="1"/>
    <col min="9" max="10" width="15.140625" style="274" bestFit="1" customWidth="1"/>
    <col min="11" max="16384" width="9.140625" style="274"/>
  </cols>
  <sheetData>
    <row r="1" spans="1:10" ht="15.75">
      <c r="A1" s="273" t="s">
        <v>200</v>
      </c>
    </row>
    <row r="2" spans="1:10" ht="15.75">
      <c r="A2" s="445"/>
    </row>
    <row r="3" spans="1:10" ht="15.75">
      <c r="A3" s="273"/>
    </row>
    <row r="4" spans="1:10" ht="15.75" hidden="1">
      <c r="A4" s="289"/>
      <c r="B4" s="289"/>
      <c r="C4" s="283" t="s">
        <v>1</v>
      </c>
      <c r="D4" s="307">
        <v>41274</v>
      </c>
      <c r="E4" s="308">
        <v>280640.39010999998</v>
      </c>
    </row>
    <row r="5" spans="1:10" ht="15.75" hidden="1" thickBot="1"/>
    <row r="6" spans="1:10" ht="15.75" hidden="1">
      <c r="A6" s="678" t="s">
        <v>195</v>
      </c>
      <c r="B6" s="679"/>
      <c r="C6" s="679"/>
      <c r="D6" s="679"/>
      <c r="E6" s="680"/>
      <c r="G6" s="289"/>
      <c r="H6" s="289"/>
      <c r="I6" s="289"/>
    </row>
    <row r="7" spans="1:10" ht="15.75" hidden="1">
      <c r="A7" s="219">
        <v>41305</v>
      </c>
      <c r="B7" s="275"/>
      <c r="C7" s="276" t="s">
        <v>101</v>
      </c>
      <c r="D7" s="277"/>
      <c r="E7" s="278"/>
    </row>
    <row r="8" spans="1:10" ht="16.5" hidden="1" thickBot="1">
      <c r="A8" s="279"/>
      <c r="B8" s="280"/>
      <c r="C8" s="281" t="s">
        <v>21</v>
      </c>
      <c r="D8" s="281" t="s">
        <v>22</v>
      </c>
      <c r="E8" s="282" t="s">
        <v>23</v>
      </c>
    </row>
    <row r="9" spans="1:10" ht="15.75" hidden="1">
      <c r="A9" s="283" t="s">
        <v>24</v>
      </c>
      <c r="B9" s="284">
        <v>101</v>
      </c>
      <c r="C9" s="285">
        <v>22136409</v>
      </c>
      <c r="D9" s="286">
        <v>-2.1900000000000001E-3</v>
      </c>
      <c r="E9" s="287">
        <f>C9*D9</f>
        <v>-48478.735710000001</v>
      </c>
    </row>
    <row r="10" spans="1:10" ht="16.5" hidden="1" thickBot="1">
      <c r="A10" s="283" t="s">
        <v>24</v>
      </c>
      <c r="B10" s="284">
        <v>111</v>
      </c>
      <c r="C10" s="285">
        <v>7525225</v>
      </c>
      <c r="D10" s="286">
        <v>-2.1900000000000001E-3</v>
      </c>
      <c r="E10" s="287">
        <f t="shared" ref="E10:E16" si="0">C10*D10</f>
        <v>-16480.242750000001</v>
      </c>
      <c r="G10" s="288">
        <f>A7</f>
        <v>41305</v>
      </c>
      <c r="H10" s="289"/>
      <c r="I10" s="289"/>
      <c r="J10" s="289"/>
    </row>
    <row r="11" spans="1:10" ht="16.5" hidden="1" thickBot="1">
      <c r="A11" s="283" t="s">
        <v>24</v>
      </c>
      <c r="B11" s="284">
        <v>112</v>
      </c>
      <c r="C11" s="285">
        <v>0</v>
      </c>
      <c r="D11" s="286">
        <v>-2.1900000000000001E-3</v>
      </c>
      <c r="E11" s="287">
        <f t="shared" si="0"/>
        <v>0</v>
      </c>
      <c r="G11" s="290" t="s">
        <v>25</v>
      </c>
      <c r="H11" s="291"/>
      <c r="I11" s="292" t="s">
        <v>18</v>
      </c>
      <c r="J11" s="292" t="s">
        <v>19</v>
      </c>
    </row>
    <row r="12" spans="1:10" ht="15.75" hidden="1">
      <c r="A12" s="283" t="s">
        <v>24</v>
      </c>
      <c r="B12" s="284">
        <v>121</v>
      </c>
      <c r="C12" s="285">
        <v>606431</v>
      </c>
      <c r="D12" s="286">
        <v>-2.1900000000000001E-3</v>
      </c>
      <c r="E12" s="287">
        <f t="shared" si="0"/>
        <v>-1328.0838900000001</v>
      </c>
      <c r="G12" s="293" t="s">
        <v>97</v>
      </c>
      <c r="H12" s="294" t="s">
        <v>26</v>
      </c>
      <c r="I12" s="295">
        <f>-E17</f>
        <v>67542.528509999989</v>
      </c>
      <c r="J12" s="296">
        <v>0</v>
      </c>
    </row>
    <row r="13" spans="1:10" ht="16.5" hidden="1" thickBot="1">
      <c r="A13" s="283" t="s">
        <v>24</v>
      </c>
      <c r="B13" s="284">
        <v>122</v>
      </c>
      <c r="C13" s="285">
        <v>85748</v>
      </c>
      <c r="D13" s="286">
        <v>-2.1900000000000001E-3</v>
      </c>
      <c r="E13" s="287">
        <f t="shared" si="0"/>
        <v>-187.78812000000002</v>
      </c>
      <c r="G13" s="297" t="s">
        <v>196</v>
      </c>
      <c r="H13" s="298" t="s">
        <v>197</v>
      </c>
      <c r="I13" s="299">
        <v>0</v>
      </c>
      <c r="J13" s="300">
        <f>-I12</f>
        <v>-67542.528509999989</v>
      </c>
    </row>
    <row r="14" spans="1:10" ht="15.75" hidden="1">
      <c r="A14" s="283" t="s">
        <v>24</v>
      </c>
      <c r="B14" s="284">
        <v>131</v>
      </c>
      <c r="C14" s="285">
        <v>0</v>
      </c>
      <c r="D14" s="286">
        <v>-2.1900000000000001E-3</v>
      </c>
      <c r="E14" s="287">
        <f t="shared" si="0"/>
        <v>0</v>
      </c>
      <c r="G14" s="289"/>
      <c r="H14" s="289"/>
      <c r="I14" s="289"/>
      <c r="J14" s="301">
        <f>SUM(I12:J13)</f>
        <v>0</v>
      </c>
    </row>
    <row r="15" spans="1:10" ht="15.75" hidden="1">
      <c r="A15" s="283" t="s">
        <v>24</v>
      </c>
      <c r="B15" s="284">
        <v>132</v>
      </c>
      <c r="C15" s="285">
        <v>151236</v>
      </c>
      <c r="D15" s="286">
        <v>-2.1900000000000001E-3</v>
      </c>
      <c r="E15" s="287">
        <f t="shared" si="0"/>
        <v>-331.20684</v>
      </c>
    </row>
    <row r="16" spans="1:10" ht="15.75" hidden="1">
      <c r="A16" s="283" t="s">
        <v>24</v>
      </c>
      <c r="B16" s="284">
        <v>146</v>
      </c>
      <c r="C16" s="285">
        <v>3682356</v>
      </c>
      <c r="D16" s="286">
        <v>-2.0000000000000001E-4</v>
      </c>
      <c r="E16" s="302">
        <f t="shared" si="0"/>
        <v>-736.47120000000007</v>
      </c>
    </row>
    <row r="17" spans="1:10" ht="16.5" hidden="1" thickBot="1">
      <c r="A17" s="283" t="s">
        <v>198</v>
      </c>
      <c r="B17" s="284"/>
      <c r="C17" s="303">
        <f>SUM(C9:C16)</f>
        <v>34187405</v>
      </c>
      <c r="D17" s="304"/>
      <c r="E17" s="305">
        <f>SUM(E9:E16)</f>
        <v>-67542.528509999989</v>
      </c>
    </row>
    <row r="18" spans="1:10" ht="16.5" hidden="1" thickTop="1">
      <c r="A18" s="283"/>
      <c r="B18" s="284"/>
      <c r="C18" s="309">
        <v>34187405</v>
      </c>
      <c r="D18" s="304"/>
      <c r="E18" s="305"/>
    </row>
    <row r="19" spans="1:10" ht="15.75" hidden="1">
      <c r="A19" s="283"/>
      <c r="B19" s="284"/>
      <c r="C19" s="306">
        <f>C18-C17</f>
        <v>0</v>
      </c>
      <c r="D19" s="304"/>
      <c r="E19" s="305"/>
    </row>
    <row r="20" spans="1:10" ht="15.75" hidden="1">
      <c r="A20" s="289"/>
      <c r="B20" s="289"/>
      <c r="C20" s="283" t="s">
        <v>1</v>
      </c>
      <c r="D20" s="307">
        <f>A7</f>
        <v>41305</v>
      </c>
      <c r="E20" s="308">
        <f>E4+E17</f>
        <v>213097.8616</v>
      </c>
    </row>
    <row r="21" spans="1:10" ht="15.75" hidden="1" thickBot="1"/>
    <row r="22" spans="1:10" ht="15.75" hidden="1">
      <c r="A22" s="678" t="s">
        <v>195</v>
      </c>
      <c r="B22" s="679"/>
      <c r="C22" s="679"/>
      <c r="D22" s="679"/>
      <c r="E22" s="680"/>
      <c r="G22" s="289"/>
      <c r="H22" s="289"/>
      <c r="I22" s="289"/>
    </row>
    <row r="23" spans="1:10" ht="15.75" hidden="1">
      <c r="A23" s="219">
        <v>41333</v>
      </c>
      <c r="B23" s="275"/>
      <c r="C23" s="276" t="s">
        <v>101</v>
      </c>
      <c r="D23" s="277"/>
      <c r="E23" s="278"/>
    </row>
    <row r="24" spans="1:10" ht="16.5" hidden="1" thickBot="1">
      <c r="A24" s="279"/>
      <c r="B24" s="280"/>
      <c r="C24" s="281" t="s">
        <v>21</v>
      </c>
      <c r="D24" s="281" t="s">
        <v>22</v>
      </c>
      <c r="E24" s="282" t="s">
        <v>23</v>
      </c>
    </row>
    <row r="25" spans="1:10" ht="15.75" hidden="1">
      <c r="A25" s="283" t="s">
        <v>24</v>
      </c>
      <c r="B25" s="284">
        <v>101</v>
      </c>
      <c r="C25" s="285">
        <v>16585315</v>
      </c>
      <c r="D25" s="286">
        <v>-2.1900000000000001E-3</v>
      </c>
      <c r="E25" s="287">
        <v>-36321.839850000004</v>
      </c>
    </row>
    <row r="26" spans="1:10" ht="16.5" hidden="1" thickBot="1">
      <c r="A26" s="283" t="s">
        <v>24</v>
      </c>
      <c r="B26" s="284">
        <v>111</v>
      </c>
      <c r="C26" s="285">
        <v>5716465</v>
      </c>
      <c r="D26" s="286">
        <v>-2.1900000000000001E-3</v>
      </c>
      <c r="E26" s="287">
        <v>-12519.058350000001</v>
      </c>
      <c r="G26" s="288">
        <f>A23</f>
        <v>41333</v>
      </c>
      <c r="H26" s="289"/>
      <c r="I26" s="289"/>
      <c r="J26" s="289"/>
    </row>
    <row r="27" spans="1:10" ht="16.5" hidden="1" thickBot="1">
      <c r="A27" s="283" t="s">
        <v>24</v>
      </c>
      <c r="B27" s="284">
        <v>112</v>
      </c>
      <c r="C27" s="285">
        <v>0</v>
      </c>
      <c r="D27" s="286">
        <v>-2.1900000000000001E-3</v>
      </c>
      <c r="E27" s="287">
        <v>0</v>
      </c>
      <c r="G27" s="290" t="s">
        <v>25</v>
      </c>
      <c r="H27" s="291"/>
      <c r="I27" s="292" t="s">
        <v>18</v>
      </c>
      <c r="J27" s="292" t="s">
        <v>19</v>
      </c>
    </row>
    <row r="28" spans="1:10" ht="15.75" hidden="1">
      <c r="A28" s="283" t="s">
        <v>24</v>
      </c>
      <c r="B28" s="284">
        <v>121</v>
      </c>
      <c r="C28" s="285">
        <v>416479</v>
      </c>
      <c r="D28" s="286">
        <v>-2.1900000000000001E-3</v>
      </c>
      <c r="E28" s="287">
        <v>-912.08901000000003</v>
      </c>
      <c r="G28" s="293" t="s">
        <v>97</v>
      </c>
      <c r="H28" s="294" t="s">
        <v>26</v>
      </c>
      <c r="I28" s="295">
        <f>-E33</f>
        <v>50910.051820000008</v>
      </c>
      <c r="J28" s="296">
        <v>0</v>
      </c>
    </row>
    <row r="29" spans="1:10" ht="16.5" hidden="1" thickBot="1">
      <c r="A29" s="283" t="s">
        <v>24</v>
      </c>
      <c r="B29" s="284">
        <v>122</v>
      </c>
      <c r="C29" s="285">
        <v>94568</v>
      </c>
      <c r="D29" s="286">
        <v>-2.1900000000000001E-3</v>
      </c>
      <c r="E29" s="287">
        <v>-207.10392000000002</v>
      </c>
      <c r="G29" s="297" t="s">
        <v>196</v>
      </c>
      <c r="H29" s="298" t="s">
        <v>197</v>
      </c>
      <c r="I29" s="299">
        <v>0</v>
      </c>
      <c r="J29" s="300">
        <f>-I28</f>
        <v>-50910.051820000008</v>
      </c>
    </row>
    <row r="30" spans="1:10" ht="15.75" hidden="1">
      <c r="A30" s="283" t="s">
        <v>24</v>
      </c>
      <c r="B30" s="284">
        <v>131</v>
      </c>
      <c r="C30" s="285">
        <v>0</v>
      </c>
      <c r="D30" s="286">
        <v>-2.1900000000000001E-3</v>
      </c>
      <c r="E30" s="287">
        <v>0</v>
      </c>
      <c r="G30" s="289"/>
      <c r="H30" s="289"/>
      <c r="I30" s="289"/>
      <c r="J30" s="301">
        <f>SUM(I28:J29)</f>
        <v>0</v>
      </c>
    </row>
    <row r="31" spans="1:10" ht="15.75" hidden="1">
      <c r="A31" s="283" t="s">
        <v>24</v>
      </c>
      <c r="B31" s="284">
        <v>132</v>
      </c>
      <c r="C31" s="285">
        <v>172051</v>
      </c>
      <c r="D31" s="286">
        <v>-2.1900000000000001E-3</v>
      </c>
      <c r="E31" s="287">
        <v>-376.79169000000002</v>
      </c>
    </row>
    <row r="32" spans="1:10" ht="15.75" hidden="1">
      <c r="A32" s="283" t="s">
        <v>24</v>
      </c>
      <c r="B32" s="284">
        <v>146</v>
      </c>
      <c r="C32" s="285">
        <v>2865845</v>
      </c>
      <c r="D32" s="286">
        <v>-2.0000000000000001E-4</v>
      </c>
      <c r="E32" s="302">
        <v>-573.16899999999998</v>
      </c>
    </row>
    <row r="33" spans="1:10" ht="16.5" hidden="1" thickBot="1">
      <c r="A33" s="283" t="s">
        <v>198</v>
      </c>
      <c r="B33" s="284"/>
      <c r="C33" s="303">
        <f>SUM(C25:C32)</f>
        <v>25850723</v>
      </c>
      <c r="D33" s="304"/>
      <c r="E33" s="305">
        <f>SUM(E25:E32)</f>
        <v>-50910.051820000008</v>
      </c>
    </row>
    <row r="34" spans="1:10" ht="16.5" hidden="1" thickTop="1">
      <c r="A34" s="283"/>
      <c r="B34" s="284"/>
      <c r="C34" s="309">
        <v>25850723</v>
      </c>
      <c r="D34" s="304"/>
      <c r="E34" s="305"/>
    </row>
    <row r="35" spans="1:10" ht="15.75" hidden="1">
      <c r="A35" s="283"/>
      <c r="B35" s="284"/>
      <c r="C35" s="306">
        <f>C34-C33</f>
        <v>0</v>
      </c>
      <c r="D35" s="304"/>
      <c r="E35" s="305"/>
    </row>
    <row r="36" spans="1:10" ht="15.75" hidden="1">
      <c r="A36" s="289"/>
      <c r="B36" s="289"/>
      <c r="C36" s="283" t="s">
        <v>1</v>
      </c>
      <c r="D36" s="307">
        <f>A23</f>
        <v>41333</v>
      </c>
      <c r="E36" s="308">
        <f>E20+E33</f>
        <v>162187.80978000001</v>
      </c>
    </row>
    <row r="37" spans="1:10" ht="15.75" hidden="1" thickBot="1"/>
    <row r="38" spans="1:10" ht="15.75" hidden="1">
      <c r="A38" s="678" t="s">
        <v>195</v>
      </c>
      <c r="B38" s="679"/>
      <c r="C38" s="679"/>
      <c r="D38" s="679"/>
      <c r="E38" s="680"/>
      <c r="G38" s="289"/>
      <c r="H38" s="289"/>
      <c r="I38" s="289"/>
    </row>
    <row r="39" spans="1:10" ht="15.75" hidden="1">
      <c r="A39" s="219">
        <v>41364</v>
      </c>
      <c r="B39" s="275"/>
      <c r="C39" s="276" t="s">
        <v>101</v>
      </c>
      <c r="D39" s="277"/>
      <c r="E39" s="278"/>
    </row>
    <row r="40" spans="1:10" ht="16.5" hidden="1" thickBot="1">
      <c r="A40" s="279"/>
      <c r="B40" s="280"/>
      <c r="C40" s="281" t="s">
        <v>21</v>
      </c>
      <c r="D40" s="281" t="s">
        <v>22</v>
      </c>
      <c r="E40" s="282" t="s">
        <v>23</v>
      </c>
    </row>
    <row r="41" spans="1:10" ht="15.75" hidden="1">
      <c r="A41" s="283" t="s">
        <v>24</v>
      </c>
      <c r="B41" s="284">
        <v>101</v>
      </c>
      <c r="C41" s="285">
        <v>12776328</v>
      </c>
      <c r="D41" s="286">
        <v>-2.1900000000000001E-3</v>
      </c>
      <c r="E41" s="287">
        <v>-27980.158320000002</v>
      </c>
    </row>
    <row r="42" spans="1:10" ht="16.5" hidden="1" thickBot="1">
      <c r="A42" s="283" t="s">
        <v>24</v>
      </c>
      <c r="B42" s="284">
        <v>111</v>
      </c>
      <c r="C42" s="285">
        <v>4890087</v>
      </c>
      <c r="D42" s="286">
        <v>-2.1900000000000001E-3</v>
      </c>
      <c r="E42" s="287">
        <v>-10709.29053</v>
      </c>
      <c r="G42" s="288">
        <f>A39</f>
        <v>41364</v>
      </c>
      <c r="H42" s="289"/>
      <c r="I42" s="289"/>
      <c r="J42" s="289"/>
    </row>
    <row r="43" spans="1:10" ht="16.5" hidden="1" thickBot="1">
      <c r="A43" s="283" t="s">
        <v>24</v>
      </c>
      <c r="B43" s="284">
        <v>112</v>
      </c>
      <c r="C43" s="285">
        <v>0</v>
      </c>
      <c r="D43" s="286">
        <v>-2.1900000000000001E-3</v>
      </c>
      <c r="E43" s="287">
        <v>0</v>
      </c>
      <c r="G43" s="290" t="s">
        <v>25</v>
      </c>
      <c r="H43" s="291"/>
      <c r="I43" s="292" t="s">
        <v>18</v>
      </c>
      <c r="J43" s="292" t="s">
        <v>19</v>
      </c>
    </row>
    <row r="44" spans="1:10" ht="15.75" hidden="1">
      <c r="A44" s="283" t="s">
        <v>24</v>
      </c>
      <c r="B44" s="284">
        <v>121</v>
      </c>
      <c r="C44" s="285">
        <v>526218</v>
      </c>
      <c r="D44" s="286">
        <v>-2.1900000000000001E-3</v>
      </c>
      <c r="E44" s="287">
        <v>-1152.41742</v>
      </c>
      <c r="G44" s="293" t="s">
        <v>97</v>
      </c>
      <c r="H44" s="294" t="s">
        <v>26</v>
      </c>
      <c r="I44" s="295">
        <f>-E49</f>
        <v>40849.65926</v>
      </c>
      <c r="J44" s="296">
        <v>0</v>
      </c>
    </row>
    <row r="45" spans="1:10" ht="16.5" hidden="1" thickBot="1">
      <c r="A45" s="283" t="s">
        <v>24</v>
      </c>
      <c r="B45" s="284">
        <v>122</v>
      </c>
      <c r="C45" s="285">
        <v>71767</v>
      </c>
      <c r="D45" s="286">
        <v>-2.1900000000000001E-3</v>
      </c>
      <c r="E45" s="287">
        <v>-157.16973000000002</v>
      </c>
      <c r="G45" s="297" t="s">
        <v>196</v>
      </c>
      <c r="H45" s="298" t="s">
        <v>197</v>
      </c>
      <c r="I45" s="299">
        <v>0</v>
      </c>
      <c r="J45" s="300">
        <f>-I44</f>
        <v>-40849.65926</v>
      </c>
    </row>
    <row r="46" spans="1:10" ht="15.75" hidden="1">
      <c r="A46" s="283" t="s">
        <v>24</v>
      </c>
      <c r="B46" s="284">
        <v>131</v>
      </c>
      <c r="C46" s="285">
        <v>0</v>
      </c>
      <c r="D46" s="286">
        <v>-2.1900000000000001E-3</v>
      </c>
      <c r="E46" s="287">
        <v>0</v>
      </c>
      <c r="G46" s="289"/>
      <c r="H46" s="289"/>
      <c r="I46" s="289"/>
      <c r="J46" s="301">
        <f>SUM(I44:J45)</f>
        <v>0</v>
      </c>
    </row>
    <row r="47" spans="1:10" ht="15.75" hidden="1">
      <c r="A47" s="283" t="s">
        <v>24</v>
      </c>
      <c r="B47" s="284">
        <v>132</v>
      </c>
      <c r="C47" s="285">
        <v>135254</v>
      </c>
      <c r="D47" s="286">
        <v>-2.1900000000000001E-3</v>
      </c>
      <c r="E47" s="287">
        <v>-296.20625999999999</v>
      </c>
    </row>
    <row r="48" spans="1:10" ht="15.75" hidden="1">
      <c r="A48" s="283" t="s">
        <v>24</v>
      </c>
      <c r="B48" s="284">
        <v>146</v>
      </c>
      <c r="C48" s="285">
        <v>2772085</v>
      </c>
      <c r="D48" s="286">
        <v>-2.0000000000000001E-4</v>
      </c>
      <c r="E48" s="302">
        <v>-554.41700000000003</v>
      </c>
    </row>
    <row r="49" spans="1:10" ht="16.5" hidden="1" thickBot="1">
      <c r="A49" s="283" t="s">
        <v>198</v>
      </c>
      <c r="B49" s="284"/>
      <c r="C49" s="303">
        <f>SUM(C41:C48)</f>
        <v>21171739</v>
      </c>
      <c r="D49" s="304"/>
      <c r="E49" s="305">
        <f>SUM(E41:E48)</f>
        <v>-40849.65926</v>
      </c>
    </row>
    <row r="50" spans="1:10" ht="16.5" hidden="1" thickTop="1">
      <c r="A50" s="283"/>
      <c r="B50" s="284"/>
      <c r="C50" s="309">
        <v>21171739</v>
      </c>
      <c r="D50" s="304"/>
      <c r="E50" s="305"/>
    </row>
    <row r="51" spans="1:10" ht="15.75" hidden="1">
      <c r="A51" s="283"/>
      <c r="B51" s="284"/>
      <c r="C51" s="306">
        <f>C50-C49</f>
        <v>0</v>
      </c>
      <c r="D51" s="304"/>
      <c r="E51" s="305"/>
    </row>
    <row r="52" spans="1:10" ht="15.75" hidden="1">
      <c r="A52" s="289"/>
      <c r="B52" s="289"/>
      <c r="C52" s="283" t="s">
        <v>1</v>
      </c>
      <c r="D52" s="307">
        <f>A39</f>
        <v>41364</v>
      </c>
      <c r="E52" s="308">
        <f>E36+E49</f>
        <v>121338.15052000001</v>
      </c>
    </row>
    <row r="53" spans="1:10" ht="15.75" hidden="1" thickBot="1"/>
    <row r="54" spans="1:10" ht="15.75" hidden="1">
      <c r="A54" s="678" t="s">
        <v>195</v>
      </c>
      <c r="B54" s="679"/>
      <c r="C54" s="679"/>
      <c r="D54" s="679"/>
      <c r="E54" s="680"/>
      <c r="G54" s="289"/>
      <c r="H54" s="289"/>
      <c r="I54" s="289"/>
    </row>
    <row r="55" spans="1:10" ht="15.75" hidden="1">
      <c r="A55" s="219">
        <v>41394</v>
      </c>
      <c r="B55" s="275"/>
      <c r="C55" s="276" t="s">
        <v>101</v>
      </c>
      <c r="D55" s="277"/>
      <c r="E55" s="278"/>
    </row>
    <row r="56" spans="1:10" ht="16.5" hidden="1" thickBot="1">
      <c r="A56" s="279"/>
      <c r="B56" s="280"/>
      <c r="C56" s="281" t="s">
        <v>21</v>
      </c>
      <c r="D56" s="281" t="s">
        <v>22</v>
      </c>
      <c r="E56" s="282" t="s">
        <v>23</v>
      </c>
    </row>
    <row r="57" spans="1:10" ht="15.75" hidden="1">
      <c r="A57" s="283" t="s">
        <v>24</v>
      </c>
      <c r="B57" s="284">
        <v>101</v>
      </c>
      <c r="C57" s="285">
        <v>8689955</v>
      </c>
      <c r="D57" s="286">
        <v>-2.1900000000000001E-3</v>
      </c>
      <c r="E57" s="287">
        <v>-19031.00145</v>
      </c>
    </row>
    <row r="58" spans="1:10" ht="16.5" hidden="1" thickBot="1">
      <c r="A58" s="283" t="s">
        <v>24</v>
      </c>
      <c r="B58" s="284">
        <v>111</v>
      </c>
      <c r="C58" s="285">
        <v>3665435</v>
      </c>
      <c r="D58" s="286">
        <v>-2.1900000000000001E-3</v>
      </c>
      <c r="E58" s="287">
        <v>-8027.3026500000005</v>
      </c>
      <c r="G58" s="288">
        <f>A55</f>
        <v>41394</v>
      </c>
      <c r="H58" s="289"/>
      <c r="I58" s="289"/>
      <c r="J58" s="289"/>
    </row>
    <row r="59" spans="1:10" ht="16.5" hidden="1" thickBot="1">
      <c r="A59" s="283" t="s">
        <v>24</v>
      </c>
      <c r="B59" s="284">
        <v>112</v>
      </c>
      <c r="C59" s="285">
        <v>0</v>
      </c>
      <c r="D59" s="286">
        <v>-2.1900000000000001E-3</v>
      </c>
      <c r="E59" s="287">
        <v>0</v>
      </c>
      <c r="G59" s="290" t="s">
        <v>25</v>
      </c>
      <c r="H59" s="291"/>
      <c r="I59" s="292" t="s">
        <v>18</v>
      </c>
      <c r="J59" s="292" t="s">
        <v>19</v>
      </c>
    </row>
    <row r="60" spans="1:10" ht="15.75" hidden="1">
      <c r="A60" s="283" t="s">
        <v>24</v>
      </c>
      <c r="B60" s="284">
        <v>121</v>
      </c>
      <c r="C60" s="285">
        <v>375679</v>
      </c>
      <c r="D60" s="286">
        <v>-2.1900000000000001E-3</v>
      </c>
      <c r="E60" s="287">
        <v>-822.73701000000005</v>
      </c>
      <c r="G60" s="293" t="s">
        <v>97</v>
      </c>
      <c r="H60" s="294" t="s">
        <v>26</v>
      </c>
      <c r="I60" s="295">
        <f>-E65</f>
        <v>28792.572810000001</v>
      </c>
      <c r="J60" s="296">
        <v>0</v>
      </c>
    </row>
    <row r="61" spans="1:10" ht="16.5" hidden="1" thickBot="1">
      <c r="A61" s="283" t="s">
        <v>24</v>
      </c>
      <c r="B61" s="284">
        <v>122</v>
      </c>
      <c r="C61" s="285">
        <v>67054</v>
      </c>
      <c r="D61" s="286">
        <v>-2.1900000000000001E-3</v>
      </c>
      <c r="E61" s="287">
        <v>-146.84826000000001</v>
      </c>
      <c r="G61" s="297" t="s">
        <v>196</v>
      </c>
      <c r="H61" s="298" t="s">
        <v>197</v>
      </c>
      <c r="I61" s="299">
        <v>0</v>
      </c>
      <c r="J61" s="300">
        <f>-I60</f>
        <v>-28792.572810000001</v>
      </c>
    </row>
    <row r="62" spans="1:10" ht="15.75" hidden="1">
      <c r="A62" s="283" t="s">
        <v>24</v>
      </c>
      <c r="B62" s="284">
        <v>131</v>
      </c>
      <c r="C62" s="285">
        <v>0</v>
      </c>
      <c r="D62" s="286">
        <v>-2.1900000000000001E-3</v>
      </c>
      <c r="E62" s="287">
        <v>0</v>
      </c>
      <c r="G62" s="289"/>
      <c r="H62" s="289"/>
      <c r="I62" s="289"/>
      <c r="J62" s="301">
        <f>SUM(I60:J61)</f>
        <v>0</v>
      </c>
    </row>
    <row r="63" spans="1:10" ht="15.75" hidden="1">
      <c r="A63" s="283" t="s">
        <v>24</v>
      </c>
      <c r="B63" s="284">
        <v>132</v>
      </c>
      <c r="C63" s="285">
        <v>126416</v>
      </c>
      <c r="D63" s="286">
        <v>-2.1900000000000001E-3</v>
      </c>
      <c r="E63" s="287">
        <v>-276.85104000000001</v>
      </c>
    </row>
    <row r="64" spans="1:10" ht="15.75" hidden="1">
      <c r="A64" s="283" t="s">
        <v>24</v>
      </c>
      <c r="B64" s="284">
        <v>146</v>
      </c>
      <c r="C64" s="285">
        <v>2439162</v>
      </c>
      <c r="D64" s="286">
        <v>-2.0000000000000001E-4</v>
      </c>
      <c r="E64" s="302">
        <v>-487.83240000000001</v>
      </c>
    </row>
    <row r="65" spans="1:10" ht="16.5" hidden="1" thickBot="1">
      <c r="A65" s="283" t="s">
        <v>198</v>
      </c>
      <c r="B65" s="284"/>
      <c r="C65" s="303">
        <f>SUM(C57:C64)</f>
        <v>15363701</v>
      </c>
      <c r="D65" s="304"/>
      <c r="E65" s="305">
        <f>SUM(E57:E64)</f>
        <v>-28792.572810000001</v>
      </c>
    </row>
    <row r="66" spans="1:10" ht="16.5" hidden="1" thickTop="1">
      <c r="A66" s="283"/>
      <c r="B66" s="284"/>
      <c r="C66" s="309">
        <v>15363701</v>
      </c>
      <c r="D66" s="304"/>
      <c r="E66" s="305"/>
    </row>
    <row r="67" spans="1:10" ht="15.75" hidden="1">
      <c r="A67" s="283"/>
      <c r="B67" s="284"/>
      <c r="C67" s="306">
        <f>C66-C65</f>
        <v>0</v>
      </c>
      <c r="D67" s="304"/>
      <c r="E67" s="305"/>
    </row>
    <row r="68" spans="1:10" ht="15.75" hidden="1">
      <c r="A68" s="289"/>
      <c r="B68" s="289"/>
      <c r="C68" s="283" t="s">
        <v>1</v>
      </c>
      <c r="D68" s="307">
        <f>A55</f>
        <v>41394</v>
      </c>
      <c r="E68" s="308">
        <f>E52+E65</f>
        <v>92545.577710000012</v>
      </c>
      <c r="G68" s="383"/>
    </row>
    <row r="69" spans="1:10" ht="15.75" hidden="1" thickBot="1"/>
    <row r="70" spans="1:10" ht="15.75" hidden="1">
      <c r="A70" s="678" t="s">
        <v>195</v>
      </c>
      <c r="B70" s="679"/>
      <c r="C70" s="679"/>
      <c r="D70" s="679"/>
      <c r="E70" s="680"/>
      <c r="G70" s="289"/>
      <c r="H70" s="289"/>
      <c r="I70" s="289"/>
    </row>
    <row r="71" spans="1:10" ht="15.75" hidden="1">
      <c r="A71" s="219">
        <v>41425</v>
      </c>
      <c r="B71" s="275"/>
      <c r="C71" s="276" t="s">
        <v>101</v>
      </c>
      <c r="D71" s="277"/>
      <c r="E71" s="278"/>
    </row>
    <row r="72" spans="1:10" ht="16.5" hidden="1" thickBot="1">
      <c r="A72" s="279"/>
      <c r="B72" s="280"/>
      <c r="C72" s="281" t="s">
        <v>21</v>
      </c>
      <c r="D72" s="281" t="s">
        <v>22</v>
      </c>
      <c r="E72" s="282" t="s">
        <v>23</v>
      </c>
    </row>
    <row r="73" spans="1:10" ht="15.75" hidden="1">
      <c r="A73" s="283" t="s">
        <v>24</v>
      </c>
      <c r="B73" s="284">
        <v>101</v>
      </c>
      <c r="C73" s="285">
        <v>4182901</v>
      </c>
      <c r="D73" s="286">
        <v>-2.1900000000000001E-3</v>
      </c>
      <c r="E73" s="287">
        <v>-9160.5531900000005</v>
      </c>
    </row>
    <row r="74" spans="1:10" ht="16.5" hidden="1" thickBot="1">
      <c r="A74" s="283" t="s">
        <v>24</v>
      </c>
      <c r="B74" s="284">
        <v>111</v>
      </c>
      <c r="C74" s="285">
        <v>1970725</v>
      </c>
      <c r="D74" s="286">
        <v>-2.1900000000000001E-3</v>
      </c>
      <c r="E74" s="287">
        <v>-4315.8877499999999</v>
      </c>
      <c r="G74" s="288">
        <f>A71</f>
        <v>41425</v>
      </c>
      <c r="H74" s="289"/>
      <c r="I74" s="289"/>
      <c r="J74" s="289"/>
    </row>
    <row r="75" spans="1:10" ht="16.5" hidden="1" thickBot="1">
      <c r="A75" s="283" t="s">
        <v>24</v>
      </c>
      <c r="B75" s="284">
        <v>112</v>
      </c>
      <c r="C75" s="285">
        <v>0</v>
      </c>
      <c r="D75" s="286">
        <v>-2.1900000000000001E-3</v>
      </c>
      <c r="E75" s="287">
        <v>0</v>
      </c>
      <c r="G75" s="290" t="s">
        <v>25</v>
      </c>
      <c r="H75" s="291"/>
      <c r="I75" s="292" t="s">
        <v>18</v>
      </c>
      <c r="J75" s="292" t="s">
        <v>19</v>
      </c>
    </row>
    <row r="76" spans="1:10" ht="15.75" hidden="1">
      <c r="A76" s="283" t="s">
        <v>24</v>
      </c>
      <c r="B76" s="284">
        <v>121</v>
      </c>
      <c r="C76" s="285">
        <v>339319</v>
      </c>
      <c r="D76" s="286">
        <v>-2.1900000000000001E-3</v>
      </c>
      <c r="E76" s="287">
        <v>-743.10861</v>
      </c>
      <c r="G76" s="293" t="s">
        <v>97</v>
      </c>
      <c r="H76" s="294" t="s">
        <v>26</v>
      </c>
      <c r="I76" s="295">
        <f>-E81</f>
        <v>14976.37256</v>
      </c>
      <c r="J76" s="296">
        <v>0</v>
      </c>
    </row>
    <row r="77" spans="1:10" ht="16.5" hidden="1" thickBot="1">
      <c r="A77" s="283" t="s">
        <v>24</v>
      </c>
      <c r="B77" s="284">
        <v>122</v>
      </c>
      <c r="C77" s="285">
        <v>57247</v>
      </c>
      <c r="D77" s="286">
        <v>-2.1900000000000001E-3</v>
      </c>
      <c r="E77" s="287">
        <v>-125.37093</v>
      </c>
      <c r="G77" s="297" t="s">
        <v>196</v>
      </c>
      <c r="H77" s="298" t="s">
        <v>197</v>
      </c>
      <c r="I77" s="299">
        <v>0</v>
      </c>
      <c r="J77" s="300">
        <f>-I76</f>
        <v>-14976.37256</v>
      </c>
    </row>
    <row r="78" spans="1:10" ht="15.75" hidden="1">
      <c r="A78" s="283" t="s">
        <v>24</v>
      </c>
      <c r="B78" s="284">
        <v>131</v>
      </c>
      <c r="C78" s="285">
        <v>0</v>
      </c>
      <c r="D78" s="286">
        <v>-2.1900000000000001E-3</v>
      </c>
      <c r="E78" s="287">
        <v>0</v>
      </c>
      <c r="G78" s="289"/>
      <c r="H78" s="289"/>
      <c r="I78" s="289"/>
      <c r="J78" s="301">
        <f>SUM(I76:J77)</f>
        <v>0</v>
      </c>
    </row>
    <row r="79" spans="1:10" ht="15.75" hidden="1">
      <c r="A79" s="283" t="s">
        <v>24</v>
      </c>
      <c r="B79" s="284">
        <v>132</v>
      </c>
      <c r="C79" s="285">
        <v>107592</v>
      </c>
      <c r="D79" s="286">
        <v>-2.1900000000000001E-3</v>
      </c>
      <c r="E79" s="287">
        <v>-235.62648000000002</v>
      </c>
    </row>
    <row r="80" spans="1:10" ht="15.75" hidden="1">
      <c r="A80" s="283" t="s">
        <v>24</v>
      </c>
      <c r="B80" s="284">
        <v>146</v>
      </c>
      <c r="C80" s="285">
        <v>1979128</v>
      </c>
      <c r="D80" s="286">
        <v>-2.0000000000000001E-4</v>
      </c>
      <c r="E80" s="302">
        <v>-395.82560000000001</v>
      </c>
    </row>
    <row r="81" spans="1:10" ht="16.5" hidden="1" thickBot="1">
      <c r="A81" s="283" t="s">
        <v>198</v>
      </c>
      <c r="B81" s="284"/>
      <c r="C81" s="303">
        <f>SUM(C73:C80)</f>
        <v>8636912</v>
      </c>
      <c r="D81" s="304"/>
      <c r="E81" s="305">
        <f>SUM(E73:E80)</f>
        <v>-14976.37256</v>
      </c>
    </row>
    <row r="82" spans="1:10" ht="16.5" hidden="1" thickTop="1">
      <c r="A82" s="283"/>
      <c r="B82" s="284"/>
      <c r="C82" s="309">
        <v>8636912</v>
      </c>
      <c r="D82" s="304"/>
      <c r="E82" s="305"/>
    </row>
    <row r="83" spans="1:10" ht="15.75" hidden="1">
      <c r="A83" s="283"/>
      <c r="B83" s="284"/>
      <c r="C83" s="306">
        <f>C82-C81</f>
        <v>0</v>
      </c>
      <c r="D83" s="304"/>
      <c r="E83" s="305"/>
    </row>
    <row r="84" spans="1:10" ht="15.75">
      <c r="A84" s="289"/>
      <c r="B84" s="289"/>
      <c r="C84" s="283" t="s">
        <v>1</v>
      </c>
      <c r="D84" s="307">
        <f>EOMONTH(D68,1)</f>
        <v>41425</v>
      </c>
      <c r="E84" s="308">
        <f>E68+E81</f>
        <v>77569.205150000009</v>
      </c>
    </row>
    <row r="85" spans="1:10" ht="15.75" thickBot="1"/>
    <row r="86" spans="1:10" ht="15.75">
      <c r="A86" s="678" t="s">
        <v>195</v>
      </c>
      <c r="B86" s="679"/>
      <c r="C86" s="679"/>
      <c r="D86" s="679"/>
      <c r="E86" s="680"/>
      <c r="G86" s="289"/>
      <c r="H86" s="289"/>
      <c r="I86" s="289"/>
    </row>
    <row r="87" spans="1:10" ht="15.75">
      <c r="A87" s="219">
        <v>41426</v>
      </c>
      <c r="B87" s="275"/>
      <c r="C87" s="276" t="s">
        <v>101</v>
      </c>
      <c r="D87" s="277"/>
      <c r="E87" s="278"/>
    </row>
    <row r="88" spans="1:10" ht="16.5" thickBot="1">
      <c r="A88" s="279"/>
      <c r="B88" s="280"/>
      <c r="C88" s="281" t="s">
        <v>21</v>
      </c>
      <c r="D88" s="281" t="s">
        <v>22</v>
      </c>
      <c r="E88" s="282" t="s">
        <v>23</v>
      </c>
    </row>
    <row r="89" spans="1:10" ht="15.75">
      <c r="A89" s="283" t="s">
        <v>24</v>
      </c>
      <c r="B89" s="284">
        <v>101</v>
      </c>
      <c r="C89" s="285">
        <v>2800295</v>
      </c>
      <c r="D89" s="286">
        <v>-2.1900000000000001E-3</v>
      </c>
      <c r="E89" s="287">
        <v>-6132.6460500000003</v>
      </c>
    </row>
    <row r="90" spans="1:10" ht="16.5" thickBot="1">
      <c r="A90" s="283" t="s">
        <v>24</v>
      </c>
      <c r="B90" s="284">
        <v>111</v>
      </c>
      <c r="C90" s="285">
        <v>1678252</v>
      </c>
      <c r="D90" s="286">
        <v>-2.1900000000000001E-3</v>
      </c>
      <c r="E90" s="287">
        <v>-3675.3718800000001</v>
      </c>
      <c r="G90" s="288">
        <f>A87</f>
        <v>41426</v>
      </c>
      <c r="H90" s="289"/>
      <c r="I90" s="289"/>
      <c r="J90" s="289"/>
    </row>
    <row r="91" spans="1:10" ht="16.5" thickBot="1">
      <c r="A91" s="283" t="s">
        <v>24</v>
      </c>
      <c r="B91" s="284">
        <v>112</v>
      </c>
      <c r="C91" s="285">
        <v>0</v>
      </c>
      <c r="D91" s="286">
        <v>-2.1900000000000001E-3</v>
      </c>
      <c r="E91" s="287">
        <v>0</v>
      </c>
      <c r="G91" s="290" t="s">
        <v>25</v>
      </c>
      <c r="H91" s="291"/>
      <c r="I91" s="292" t="s">
        <v>18</v>
      </c>
      <c r="J91" s="292" t="s">
        <v>19</v>
      </c>
    </row>
    <row r="92" spans="1:10" ht="15.75">
      <c r="A92" s="283" t="s">
        <v>24</v>
      </c>
      <c r="B92" s="284">
        <v>121</v>
      </c>
      <c r="C92" s="285">
        <v>339158</v>
      </c>
      <c r="D92" s="286">
        <v>-2.1900000000000001E-3</v>
      </c>
      <c r="E92" s="287">
        <v>-742.75602000000003</v>
      </c>
      <c r="G92" s="293" t="s">
        <v>97</v>
      </c>
      <c r="H92" s="294" t="s">
        <v>26</v>
      </c>
      <c r="I92" s="295">
        <f>-E97</f>
        <v>11131.53289</v>
      </c>
      <c r="J92" s="296">
        <v>0</v>
      </c>
    </row>
    <row r="93" spans="1:10" ht="16.5" thickBot="1">
      <c r="A93" s="283" t="s">
        <v>24</v>
      </c>
      <c r="B93" s="284">
        <v>122</v>
      </c>
      <c r="C93" s="285">
        <v>42891</v>
      </c>
      <c r="D93" s="286">
        <v>-2.1900000000000001E-3</v>
      </c>
      <c r="E93" s="287">
        <v>-93.931290000000004</v>
      </c>
      <c r="G93" s="297" t="s">
        <v>196</v>
      </c>
      <c r="H93" s="298" t="s">
        <v>197</v>
      </c>
      <c r="I93" s="299">
        <v>0</v>
      </c>
      <c r="J93" s="300">
        <f>-I92</f>
        <v>-11131.53289</v>
      </c>
    </row>
    <row r="94" spans="1:10" ht="15.75">
      <c r="A94" s="283" t="s">
        <v>24</v>
      </c>
      <c r="B94" s="284">
        <v>131</v>
      </c>
      <c r="C94" s="285">
        <v>0</v>
      </c>
      <c r="D94" s="286">
        <v>-2.1900000000000001E-3</v>
      </c>
      <c r="E94" s="287">
        <v>0</v>
      </c>
      <c r="G94" s="289"/>
      <c r="H94" s="289"/>
      <c r="I94" s="289"/>
      <c r="J94" s="301">
        <f>SUM(I92:J93)</f>
        <v>0</v>
      </c>
    </row>
    <row r="95" spans="1:10" ht="15.75">
      <c r="A95" s="283" t="s">
        <v>24</v>
      </c>
      <c r="B95" s="284">
        <v>132</v>
      </c>
      <c r="C95" s="285">
        <v>77535</v>
      </c>
      <c r="D95" s="286">
        <v>-2.1900000000000001E-3</v>
      </c>
      <c r="E95" s="287">
        <v>-169.80165</v>
      </c>
    </row>
    <row r="96" spans="1:10" ht="15.75">
      <c r="A96" s="283" t="s">
        <v>24</v>
      </c>
      <c r="B96" s="284">
        <v>146</v>
      </c>
      <c r="C96" s="285">
        <v>1585130</v>
      </c>
      <c r="D96" s="286">
        <v>-2.0000000000000001E-4</v>
      </c>
      <c r="E96" s="302">
        <v>-317.02600000000001</v>
      </c>
    </row>
    <row r="97" spans="1:10" ht="16.5" thickBot="1">
      <c r="A97" s="283" t="s">
        <v>198</v>
      </c>
      <c r="B97" s="284"/>
      <c r="C97" s="303">
        <f>SUM(C89:C96)</f>
        <v>6523261</v>
      </c>
      <c r="D97" s="304"/>
      <c r="E97" s="305">
        <f>SUM(E89:E96)</f>
        <v>-11131.53289</v>
      </c>
    </row>
    <row r="98" spans="1:10" ht="16.5" thickTop="1">
      <c r="A98" s="283"/>
      <c r="B98" s="284"/>
      <c r="C98" s="309">
        <v>6523261</v>
      </c>
      <c r="D98" s="304"/>
      <c r="E98" s="305"/>
    </row>
    <row r="99" spans="1:10" ht="15.75">
      <c r="A99" s="283"/>
      <c r="B99" s="284"/>
      <c r="C99" s="306">
        <f>C98-C97</f>
        <v>0</v>
      </c>
      <c r="D99" s="304"/>
      <c r="E99" s="305"/>
    </row>
    <row r="100" spans="1:10" ht="15.75">
      <c r="A100" s="289"/>
      <c r="B100" s="289"/>
      <c r="C100" s="283" t="s">
        <v>1</v>
      </c>
      <c r="D100" s="307">
        <f>EOMONTH(D84,1)</f>
        <v>41455</v>
      </c>
      <c r="E100" s="308">
        <f>E84+E97</f>
        <v>66437.672260000007</v>
      </c>
    </row>
    <row r="101" spans="1:10" ht="15.75" thickBot="1"/>
    <row r="102" spans="1:10" ht="15.75">
      <c r="A102" s="678" t="s">
        <v>195</v>
      </c>
      <c r="B102" s="679"/>
      <c r="C102" s="679"/>
      <c r="D102" s="679"/>
      <c r="E102" s="680"/>
      <c r="G102" s="289"/>
      <c r="H102" s="289"/>
      <c r="I102" s="289"/>
    </row>
    <row r="103" spans="1:10" ht="15.75">
      <c r="A103" s="219">
        <v>41456</v>
      </c>
      <c r="B103" s="275"/>
      <c r="C103" s="276" t="s">
        <v>101</v>
      </c>
      <c r="D103" s="277"/>
      <c r="E103" s="278"/>
    </row>
    <row r="104" spans="1:10" ht="16.5" thickBot="1">
      <c r="A104" s="279"/>
      <c r="B104" s="280"/>
      <c r="C104" s="281" t="s">
        <v>21</v>
      </c>
      <c r="D104" s="281" t="s">
        <v>22</v>
      </c>
      <c r="E104" s="282" t="s">
        <v>23</v>
      </c>
    </row>
    <row r="105" spans="1:10" ht="15.75">
      <c r="A105" s="283" t="s">
        <v>24</v>
      </c>
      <c r="B105" s="284">
        <v>101</v>
      </c>
      <c r="C105" s="285">
        <v>2082299</v>
      </c>
      <c r="D105" s="286">
        <v>-2.1900000000000001E-3</v>
      </c>
      <c r="E105" s="287">
        <v>-4560.2348099999999</v>
      </c>
    </row>
    <row r="106" spans="1:10" ht="16.5" thickBot="1">
      <c r="A106" s="283" t="s">
        <v>24</v>
      </c>
      <c r="B106" s="284">
        <v>111</v>
      </c>
      <c r="C106" s="285">
        <v>1140112</v>
      </c>
      <c r="D106" s="286">
        <v>-2.1900000000000001E-3</v>
      </c>
      <c r="E106" s="287">
        <v>-2496.84528</v>
      </c>
      <c r="G106" s="288">
        <f>A103</f>
        <v>41456</v>
      </c>
      <c r="H106" s="289"/>
      <c r="I106" s="289"/>
      <c r="J106" s="289"/>
    </row>
    <row r="107" spans="1:10" ht="16.5" thickBot="1">
      <c r="A107" s="283" t="s">
        <v>24</v>
      </c>
      <c r="B107" s="284">
        <v>112</v>
      </c>
      <c r="C107" s="285">
        <v>0</v>
      </c>
      <c r="D107" s="286">
        <v>-2.1900000000000001E-3</v>
      </c>
      <c r="E107" s="287">
        <v>0</v>
      </c>
      <c r="G107" s="290" t="s">
        <v>25</v>
      </c>
      <c r="H107" s="291"/>
      <c r="I107" s="292" t="s">
        <v>18</v>
      </c>
      <c r="J107" s="292" t="s">
        <v>19</v>
      </c>
    </row>
    <row r="108" spans="1:10" ht="15.75">
      <c r="A108" s="283" t="s">
        <v>24</v>
      </c>
      <c r="B108" s="284">
        <v>121</v>
      </c>
      <c r="C108" s="285">
        <v>304732</v>
      </c>
      <c r="D108" s="286">
        <v>-2.1900000000000001E-3</v>
      </c>
      <c r="E108" s="287">
        <v>-667.36308000000008</v>
      </c>
      <c r="G108" s="293" t="s">
        <v>97</v>
      </c>
      <c r="H108" s="294" t="s">
        <v>26</v>
      </c>
      <c r="I108" s="295">
        <f>-E113</f>
        <v>8287.0303600000007</v>
      </c>
      <c r="J108" s="296">
        <v>0</v>
      </c>
    </row>
    <row r="109" spans="1:10" ht="16.5" thickBot="1">
      <c r="A109" s="283" t="s">
        <v>24</v>
      </c>
      <c r="B109" s="284">
        <v>122</v>
      </c>
      <c r="C109" s="285">
        <v>30928</v>
      </c>
      <c r="D109" s="286">
        <v>-2.1900000000000001E-3</v>
      </c>
      <c r="E109" s="287">
        <v>-67.732320000000001</v>
      </c>
      <c r="G109" s="297" t="s">
        <v>196</v>
      </c>
      <c r="H109" s="298" t="s">
        <v>197</v>
      </c>
      <c r="I109" s="299">
        <v>0</v>
      </c>
      <c r="J109" s="300">
        <f>-I108</f>
        <v>-8287.0303600000007</v>
      </c>
    </row>
    <row r="110" spans="1:10" ht="15.75">
      <c r="A110" s="283" t="s">
        <v>24</v>
      </c>
      <c r="B110" s="284">
        <v>131</v>
      </c>
      <c r="C110" s="285">
        <v>0</v>
      </c>
      <c r="D110" s="286">
        <v>-2.1900000000000001E-3</v>
      </c>
      <c r="E110" s="287">
        <v>0</v>
      </c>
      <c r="G110" s="289"/>
      <c r="H110" s="289"/>
      <c r="I110" s="289"/>
      <c r="J110" s="301">
        <f>SUM(I108:J109)</f>
        <v>0</v>
      </c>
    </row>
    <row r="111" spans="1:10" ht="15.75">
      <c r="A111" s="283" t="s">
        <v>24</v>
      </c>
      <c r="B111" s="284">
        <v>132</v>
      </c>
      <c r="C111" s="285">
        <v>74633</v>
      </c>
      <c r="D111" s="286">
        <v>-2.1900000000000001E-3</v>
      </c>
      <c r="E111" s="287">
        <v>-163.44627</v>
      </c>
    </row>
    <row r="112" spans="1:10" ht="15.75">
      <c r="A112" s="283" t="s">
        <v>24</v>
      </c>
      <c r="B112" s="284">
        <v>146</v>
      </c>
      <c r="C112" s="285">
        <v>1657043</v>
      </c>
      <c r="D112" s="286">
        <v>-2.0000000000000001E-4</v>
      </c>
      <c r="E112" s="302">
        <v>-331.40860000000004</v>
      </c>
    </row>
    <row r="113" spans="1:10" ht="16.5" thickBot="1">
      <c r="A113" s="283" t="s">
        <v>198</v>
      </c>
      <c r="B113" s="284"/>
      <c r="C113" s="303">
        <f>SUM(C105:C112)</f>
        <v>5289747</v>
      </c>
      <c r="D113" s="304"/>
      <c r="E113" s="305">
        <f>SUM(E105:E112)</f>
        <v>-8287.0303600000007</v>
      </c>
    </row>
    <row r="114" spans="1:10" ht="16.5" thickTop="1">
      <c r="A114" s="283"/>
      <c r="B114" s="284"/>
      <c r="C114" s="309">
        <v>5289747</v>
      </c>
      <c r="D114" s="304"/>
      <c r="E114" s="305"/>
    </row>
    <row r="115" spans="1:10" ht="15.75">
      <c r="A115" s="283"/>
      <c r="B115" s="284"/>
      <c r="C115" s="306">
        <f>C114-C113</f>
        <v>0</v>
      </c>
      <c r="D115" s="304"/>
      <c r="E115" s="305"/>
    </row>
    <row r="116" spans="1:10" ht="15.75">
      <c r="A116" s="289"/>
      <c r="B116" s="289"/>
      <c r="C116" s="283" t="s">
        <v>1</v>
      </c>
      <c r="D116" s="307">
        <f>EOMONTH(D100,1)</f>
        <v>41486</v>
      </c>
      <c r="E116" s="308">
        <f>E100+E113</f>
        <v>58150.641900000002</v>
      </c>
    </row>
    <row r="117" spans="1:10" ht="15.75" thickBot="1"/>
    <row r="118" spans="1:10" ht="15.75">
      <c r="A118" s="678" t="s">
        <v>195</v>
      </c>
      <c r="B118" s="679"/>
      <c r="C118" s="679"/>
      <c r="D118" s="679"/>
      <c r="E118" s="680"/>
      <c r="G118" s="289"/>
      <c r="H118" s="289"/>
      <c r="I118" s="289"/>
    </row>
    <row r="119" spans="1:10" ht="15.75">
      <c r="A119" s="219">
        <v>41487</v>
      </c>
      <c r="B119" s="275"/>
      <c r="C119" s="276" t="s">
        <v>101</v>
      </c>
      <c r="D119" s="277"/>
      <c r="E119" s="278"/>
    </row>
    <row r="120" spans="1:10" ht="16.5" thickBot="1">
      <c r="A120" s="279"/>
      <c r="B120" s="280"/>
      <c r="C120" s="281" t="s">
        <v>21</v>
      </c>
      <c r="D120" s="281" t="s">
        <v>22</v>
      </c>
      <c r="E120" s="282" t="s">
        <v>23</v>
      </c>
    </row>
    <row r="121" spans="1:10" ht="15.75">
      <c r="A121" s="283" t="s">
        <v>24</v>
      </c>
      <c r="B121" s="284">
        <v>101</v>
      </c>
      <c r="C121" s="285">
        <v>2046635</v>
      </c>
      <c r="D121" s="286">
        <v>-2.1900000000000001E-3</v>
      </c>
      <c r="E121" s="287">
        <v>-4482.1306500000001</v>
      </c>
    </row>
    <row r="122" spans="1:10" ht="16.5" thickBot="1">
      <c r="A122" s="283" t="s">
        <v>24</v>
      </c>
      <c r="B122" s="284">
        <v>111</v>
      </c>
      <c r="C122" s="285">
        <v>1287109</v>
      </c>
      <c r="D122" s="286">
        <v>-2.1900000000000001E-3</v>
      </c>
      <c r="E122" s="287">
        <v>-2818.7687100000003</v>
      </c>
      <c r="G122" s="288">
        <f>A119</f>
        <v>41487</v>
      </c>
      <c r="H122" s="289"/>
      <c r="I122" s="289"/>
      <c r="J122" s="289"/>
    </row>
    <row r="123" spans="1:10" ht="16.5" thickBot="1">
      <c r="A123" s="283" t="s">
        <v>24</v>
      </c>
      <c r="B123" s="284">
        <v>112</v>
      </c>
      <c r="C123" s="285">
        <v>0</v>
      </c>
      <c r="D123" s="286">
        <v>-2.1900000000000001E-3</v>
      </c>
      <c r="E123" s="287">
        <v>0</v>
      </c>
      <c r="G123" s="290" t="s">
        <v>25</v>
      </c>
      <c r="H123" s="291"/>
      <c r="I123" s="292" t="s">
        <v>18</v>
      </c>
      <c r="J123" s="292" t="s">
        <v>19</v>
      </c>
    </row>
    <row r="124" spans="1:10" ht="15.75">
      <c r="A124" s="283" t="s">
        <v>24</v>
      </c>
      <c r="B124" s="284">
        <v>121</v>
      </c>
      <c r="C124" s="285">
        <v>364418</v>
      </c>
      <c r="D124" s="286">
        <v>-2.1900000000000001E-3</v>
      </c>
      <c r="E124" s="287">
        <v>-798.07542000000001</v>
      </c>
      <c r="G124" s="293" t="s">
        <v>97</v>
      </c>
      <c r="H124" s="294" t="s">
        <v>26</v>
      </c>
      <c r="I124" s="295">
        <f>-E129</f>
        <v>8611.5948700000008</v>
      </c>
      <c r="J124" s="296">
        <v>0</v>
      </c>
    </row>
    <row r="125" spans="1:10" ht="16.5" thickBot="1">
      <c r="A125" s="283" t="s">
        <v>24</v>
      </c>
      <c r="B125" s="284">
        <v>122</v>
      </c>
      <c r="C125" s="285">
        <v>28500</v>
      </c>
      <c r="D125" s="286">
        <v>-2.1900000000000001E-3</v>
      </c>
      <c r="E125" s="287">
        <v>-62.415000000000006</v>
      </c>
      <c r="G125" s="297" t="s">
        <v>196</v>
      </c>
      <c r="H125" s="298" t="s">
        <v>197</v>
      </c>
      <c r="I125" s="299">
        <v>0</v>
      </c>
      <c r="J125" s="300">
        <f>-I124</f>
        <v>-8611.5948700000008</v>
      </c>
    </row>
    <row r="126" spans="1:10" ht="15.75">
      <c r="A126" s="283" t="s">
        <v>24</v>
      </c>
      <c r="B126" s="284">
        <v>131</v>
      </c>
      <c r="C126" s="285">
        <v>0</v>
      </c>
      <c r="D126" s="286">
        <v>-2.1900000000000001E-3</v>
      </c>
      <c r="E126" s="287">
        <v>0</v>
      </c>
      <c r="G126" s="289"/>
      <c r="H126" s="289"/>
      <c r="I126" s="289"/>
      <c r="J126" s="301">
        <f>SUM(I124:J125)</f>
        <v>0</v>
      </c>
    </row>
    <row r="127" spans="1:10" ht="15.75">
      <c r="A127" s="283" t="s">
        <v>24</v>
      </c>
      <c r="B127" s="284">
        <v>132</v>
      </c>
      <c r="C127" s="285">
        <v>49431</v>
      </c>
      <c r="D127" s="286">
        <v>-2.1900000000000001E-3</v>
      </c>
      <c r="E127" s="287">
        <v>-108.25389</v>
      </c>
    </row>
    <row r="128" spans="1:10" ht="15.75">
      <c r="A128" s="283" t="s">
        <v>24</v>
      </c>
      <c r="B128" s="284">
        <v>146</v>
      </c>
      <c r="C128" s="285">
        <v>1709756</v>
      </c>
      <c r="D128" s="286">
        <v>-2.0000000000000001E-4</v>
      </c>
      <c r="E128" s="302">
        <v>-341.95120000000003</v>
      </c>
    </row>
    <row r="129" spans="1:10" ht="16.5" thickBot="1">
      <c r="A129" s="283" t="s">
        <v>198</v>
      </c>
      <c r="B129" s="284"/>
      <c r="C129" s="303">
        <f>SUM(C121:C128)</f>
        <v>5485849</v>
      </c>
      <c r="D129" s="304"/>
      <c r="E129" s="305">
        <f>SUM(E121:E128)</f>
        <v>-8611.5948700000008</v>
      </c>
    </row>
    <row r="130" spans="1:10" ht="16.5" thickTop="1">
      <c r="A130" s="283"/>
      <c r="B130" s="284"/>
      <c r="C130" s="309">
        <v>5485849</v>
      </c>
      <c r="D130" s="304"/>
      <c r="E130" s="305"/>
    </row>
    <row r="131" spans="1:10" ht="15.75">
      <c r="A131" s="283"/>
      <c r="B131" s="284"/>
      <c r="C131" s="306">
        <f>C130-C129</f>
        <v>0</v>
      </c>
      <c r="D131" s="304"/>
      <c r="E131" s="305"/>
    </row>
    <row r="132" spans="1:10" ht="15.75">
      <c r="A132" s="289"/>
      <c r="B132" s="289"/>
      <c r="C132" s="283" t="s">
        <v>1</v>
      </c>
      <c r="D132" s="307">
        <f>EOMONTH(D116,1)</f>
        <v>41517</v>
      </c>
      <c r="E132" s="308">
        <f>E116+E129</f>
        <v>49539.047030000002</v>
      </c>
    </row>
    <row r="133" spans="1:10" ht="15.75" thickBot="1"/>
    <row r="134" spans="1:10" ht="15.75">
      <c r="A134" s="678" t="s">
        <v>195</v>
      </c>
      <c r="B134" s="679"/>
      <c r="C134" s="679"/>
      <c r="D134" s="679"/>
      <c r="E134" s="680"/>
      <c r="G134" s="289"/>
      <c r="H134" s="289"/>
      <c r="I134" s="289"/>
    </row>
    <row r="135" spans="1:10" ht="15.75">
      <c r="A135" s="219">
        <v>41518</v>
      </c>
      <c r="B135" s="275"/>
      <c r="C135" s="276" t="s">
        <v>101</v>
      </c>
      <c r="D135" s="277"/>
      <c r="E135" s="278"/>
    </row>
    <row r="136" spans="1:10" ht="16.5" thickBot="1">
      <c r="A136" s="279"/>
      <c r="B136" s="280"/>
      <c r="C136" s="281" t="s">
        <v>21</v>
      </c>
      <c r="D136" s="281" t="s">
        <v>22</v>
      </c>
      <c r="E136" s="282" t="s">
        <v>23</v>
      </c>
    </row>
    <row r="137" spans="1:10" ht="15.75">
      <c r="A137" s="283" t="s">
        <v>24</v>
      </c>
      <c r="B137" s="284">
        <v>101</v>
      </c>
      <c r="C137" s="285">
        <v>2647538</v>
      </c>
      <c r="D137" s="286">
        <v>-2.1900000000000001E-3</v>
      </c>
      <c r="E137" s="287">
        <v>-5798.1082200000001</v>
      </c>
    </row>
    <row r="138" spans="1:10" ht="16.5" thickBot="1">
      <c r="A138" s="283" t="s">
        <v>24</v>
      </c>
      <c r="B138" s="284">
        <v>111</v>
      </c>
      <c r="C138" s="285">
        <v>1599551</v>
      </c>
      <c r="D138" s="286">
        <v>-2.1900000000000001E-3</v>
      </c>
      <c r="E138" s="287">
        <v>-3503.0166900000004</v>
      </c>
      <c r="G138" s="288">
        <f>A135</f>
        <v>41518</v>
      </c>
      <c r="H138" s="289"/>
      <c r="I138" s="289"/>
      <c r="J138" s="289"/>
    </row>
    <row r="139" spans="1:10" ht="16.5" thickBot="1">
      <c r="A139" s="283" t="s">
        <v>24</v>
      </c>
      <c r="B139" s="284">
        <v>112</v>
      </c>
      <c r="C139" s="285">
        <v>0</v>
      </c>
      <c r="D139" s="286">
        <v>-2.1900000000000001E-3</v>
      </c>
      <c r="E139" s="287">
        <v>0</v>
      </c>
      <c r="G139" s="290" t="s">
        <v>25</v>
      </c>
      <c r="H139" s="291"/>
      <c r="I139" s="292" t="s">
        <v>18</v>
      </c>
      <c r="J139" s="292" t="s">
        <v>19</v>
      </c>
    </row>
    <row r="140" spans="1:10" ht="15.75">
      <c r="A140" s="283" t="s">
        <v>24</v>
      </c>
      <c r="B140" s="284">
        <v>121</v>
      </c>
      <c r="C140" s="285">
        <v>344046</v>
      </c>
      <c r="D140" s="286">
        <v>-2.1900000000000001E-3</v>
      </c>
      <c r="E140" s="287">
        <v>-753.46073999999999</v>
      </c>
      <c r="G140" s="293" t="s">
        <v>97</v>
      </c>
      <c r="H140" s="294" t="s">
        <v>26</v>
      </c>
      <c r="I140" s="295">
        <f>-E145</f>
        <v>10606.31724</v>
      </c>
      <c r="J140" s="296">
        <v>0</v>
      </c>
    </row>
    <row r="141" spans="1:10" ht="16.5" thickBot="1">
      <c r="A141" s="283" t="s">
        <v>24</v>
      </c>
      <c r="B141" s="284">
        <v>122</v>
      </c>
      <c r="C141" s="285">
        <v>31388</v>
      </c>
      <c r="D141" s="286">
        <v>-2.1900000000000001E-3</v>
      </c>
      <c r="E141" s="287">
        <v>-68.739720000000005</v>
      </c>
      <c r="G141" s="297" t="s">
        <v>196</v>
      </c>
      <c r="H141" s="298" t="s">
        <v>197</v>
      </c>
      <c r="I141" s="299">
        <v>0</v>
      </c>
      <c r="J141" s="300">
        <f>-I140</f>
        <v>-10606.31724</v>
      </c>
    </row>
    <row r="142" spans="1:10" ht="15.75">
      <c r="A142" s="283" t="s">
        <v>24</v>
      </c>
      <c r="B142" s="284">
        <v>131</v>
      </c>
      <c r="C142" s="285">
        <v>0</v>
      </c>
      <c r="D142" s="286">
        <v>-2.1900000000000001E-3</v>
      </c>
      <c r="E142" s="287">
        <v>0</v>
      </c>
      <c r="G142" s="289"/>
      <c r="H142" s="289"/>
      <c r="I142" s="289"/>
      <c r="J142" s="301">
        <f>SUM(I140:J141)</f>
        <v>0</v>
      </c>
    </row>
    <row r="143" spans="1:10" ht="15.75">
      <c r="A143" s="283" t="s">
        <v>24</v>
      </c>
      <c r="B143" s="284">
        <v>132</v>
      </c>
      <c r="C143" s="285">
        <v>54453</v>
      </c>
      <c r="D143" s="286">
        <v>-2.1900000000000001E-3</v>
      </c>
      <c r="E143" s="287">
        <v>-119.25207</v>
      </c>
    </row>
    <row r="144" spans="1:10" ht="15.75">
      <c r="A144" s="283" t="s">
        <v>24</v>
      </c>
      <c r="B144" s="284">
        <v>146</v>
      </c>
      <c r="C144" s="285">
        <v>1818699</v>
      </c>
      <c r="D144" s="286">
        <v>-2.0000000000000001E-4</v>
      </c>
      <c r="E144" s="302">
        <v>-363.7398</v>
      </c>
    </row>
    <row r="145" spans="1:10" ht="16.5" thickBot="1">
      <c r="A145" s="283" t="s">
        <v>198</v>
      </c>
      <c r="B145" s="284"/>
      <c r="C145" s="303">
        <f>SUM(C137:C144)</f>
        <v>6495675</v>
      </c>
      <c r="D145" s="304"/>
      <c r="E145" s="305">
        <f>SUM(E137:E144)</f>
        <v>-10606.31724</v>
      </c>
    </row>
    <row r="146" spans="1:10" ht="16.5" thickTop="1">
      <c r="A146" s="283"/>
      <c r="B146" s="284"/>
      <c r="C146" s="309">
        <v>6495675</v>
      </c>
      <c r="D146" s="304"/>
      <c r="E146" s="305"/>
    </row>
    <row r="147" spans="1:10" ht="15.75">
      <c r="A147" s="283"/>
      <c r="B147" s="284"/>
      <c r="C147" s="306">
        <f>C146-C145</f>
        <v>0</v>
      </c>
      <c r="D147" s="304"/>
      <c r="E147" s="305"/>
    </row>
    <row r="148" spans="1:10" ht="15.75">
      <c r="A148" s="289"/>
      <c r="B148" s="289"/>
      <c r="C148" s="283" t="s">
        <v>1</v>
      </c>
      <c r="D148" s="307">
        <f>EOMONTH(D132,1)</f>
        <v>41547</v>
      </c>
      <c r="E148" s="308">
        <f>E132+E145</f>
        <v>38932.729789999998</v>
      </c>
    </row>
    <row r="149" spans="1:10" ht="15.75" thickBot="1"/>
    <row r="150" spans="1:10" ht="15.75">
      <c r="A150" s="678" t="s">
        <v>195</v>
      </c>
      <c r="B150" s="679"/>
      <c r="C150" s="679"/>
      <c r="D150" s="679"/>
      <c r="E150" s="680"/>
      <c r="G150" s="289"/>
      <c r="H150" s="289"/>
      <c r="I150" s="289"/>
    </row>
    <row r="151" spans="1:10" ht="15.75">
      <c r="A151" s="219">
        <v>41578</v>
      </c>
      <c r="B151" s="275"/>
      <c r="C151" s="276" t="s">
        <v>101</v>
      </c>
      <c r="D151" s="277"/>
      <c r="E151" s="278"/>
    </row>
    <row r="152" spans="1:10" ht="16.5" thickBot="1">
      <c r="A152" s="279"/>
      <c r="B152" s="280"/>
      <c r="C152" s="281" t="s">
        <v>21</v>
      </c>
      <c r="D152" s="281" t="s">
        <v>22</v>
      </c>
      <c r="E152" s="282" t="s">
        <v>23</v>
      </c>
    </row>
    <row r="153" spans="1:10" ht="15.75">
      <c r="A153" s="283" t="s">
        <v>24</v>
      </c>
      <c r="B153" s="284">
        <v>101</v>
      </c>
      <c r="C153" s="285">
        <v>9244353</v>
      </c>
      <c r="D153" s="286">
        <v>-2.1900000000000001E-3</v>
      </c>
      <c r="E153" s="287">
        <v>-20245.13307</v>
      </c>
    </row>
    <row r="154" spans="1:10" ht="16.5" thickBot="1">
      <c r="A154" s="283" t="s">
        <v>24</v>
      </c>
      <c r="B154" s="284">
        <v>111</v>
      </c>
      <c r="C154" s="285">
        <v>3880001</v>
      </c>
      <c r="D154" s="286">
        <v>-2.1900000000000001E-3</v>
      </c>
      <c r="E154" s="287">
        <v>-8497.20219</v>
      </c>
      <c r="G154" s="288">
        <f>A151</f>
        <v>41578</v>
      </c>
      <c r="H154" s="289"/>
      <c r="I154" s="289"/>
      <c r="J154" s="289"/>
    </row>
    <row r="155" spans="1:10" ht="16.5" thickBot="1">
      <c r="A155" s="283" t="s">
        <v>24</v>
      </c>
      <c r="B155" s="284">
        <v>112</v>
      </c>
      <c r="C155" s="285">
        <v>0</v>
      </c>
      <c r="D155" s="286">
        <v>-2.1900000000000001E-3</v>
      </c>
      <c r="E155" s="287">
        <v>0</v>
      </c>
      <c r="G155" s="290" t="s">
        <v>25</v>
      </c>
      <c r="H155" s="291"/>
      <c r="I155" s="292" t="s">
        <v>18</v>
      </c>
      <c r="J155" s="292" t="s">
        <v>19</v>
      </c>
    </row>
    <row r="156" spans="1:10" ht="15.75">
      <c r="A156" s="283" t="s">
        <v>24</v>
      </c>
      <c r="B156" s="284">
        <v>121</v>
      </c>
      <c r="C156" s="285">
        <v>595792</v>
      </c>
      <c r="D156" s="286">
        <v>-2.1900000000000001E-3</v>
      </c>
      <c r="E156" s="287">
        <v>-1304.78448</v>
      </c>
      <c r="G156" s="293" t="s">
        <v>97</v>
      </c>
      <c r="H156" s="294" t="s">
        <v>26</v>
      </c>
      <c r="I156" s="295">
        <f>-E161</f>
        <v>30792.491249999999</v>
      </c>
      <c r="J156" s="296">
        <v>0</v>
      </c>
    </row>
    <row r="157" spans="1:10" ht="16.5" thickBot="1">
      <c r="A157" s="283" t="s">
        <v>24</v>
      </c>
      <c r="B157" s="284">
        <v>122</v>
      </c>
      <c r="C157" s="285">
        <v>40500</v>
      </c>
      <c r="D157" s="286">
        <v>-2.1900000000000001E-3</v>
      </c>
      <c r="E157" s="287">
        <v>-88.695000000000007</v>
      </c>
      <c r="G157" s="297" t="s">
        <v>196</v>
      </c>
      <c r="H157" s="298" t="s">
        <v>197</v>
      </c>
      <c r="I157" s="299">
        <v>0</v>
      </c>
      <c r="J157" s="300">
        <f>-I156</f>
        <v>-30792.491249999999</v>
      </c>
    </row>
    <row r="158" spans="1:10" ht="15.75">
      <c r="A158" s="283" t="s">
        <v>24</v>
      </c>
      <c r="B158" s="284">
        <v>131</v>
      </c>
      <c r="C158" s="285">
        <v>0</v>
      </c>
      <c r="D158" s="286">
        <v>-2.1900000000000001E-3</v>
      </c>
      <c r="E158" s="287">
        <v>0</v>
      </c>
      <c r="G158" s="289"/>
      <c r="H158" s="289"/>
      <c r="I158" s="289"/>
      <c r="J158" s="301">
        <f>SUM(I156:J157)</f>
        <v>0</v>
      </c>
    </row>
    <row r="159" spans="1:10" ht="15.75">
      <c r="A159" s="283" t="s">
        <v>24</v>
      </c>
      <c r="B159" s="284">
        <v>132</v>
      </c>
      <c r="C159" s="285">
        <v>68629</v>
      </c>
      <c r="D159" s="286">
        <v>-2.1900000000000001E-3</v>
      </c>
      <c r="E159" s="287">
        <v>-150.29751000000002</v>
      </c>
    </row>
    <row r="160" spans="1:10" ht="15.75">
      <c r="A160" s="283" t="s">
        <v>24</v>
      </c>
      <c r="B160" s="284">
        <v>146</v>
      </c>
      <c r="C160" s="285">
        <v>2531895</v>
      </c>
      <c r="D160" s="286">
        <v>-2.0000000000000001E-4</v>
      </c>
      <c r="E160" s="302">
        <v>-506.37900000000002</v>
      </c>
    </row>
    <row r="161" spans="1:10" ht="16.5" thickBot="1">
      <c r="A161" s="283" t="s">
        <v>198</v>
      </c>
      <c r="B161" s="284"/>
      <c r="C161" s="303">
        <f>SUM(C153:C160)</f>
        <v>16361170</v>
      </c>
      <c r="D161" s="304"/>
      <c r="E161" s="305">
        <f>SUM(E153:E160)</f>
        <v>-30792.491249999999</v>
      </c>
    </row>
    <row r="162" spans="1:10" ht="16.5" thickTop="1">
      <c r="A162" s="283"/>
      <c r="B162" s="284"/>
      <c r="C162" s="309">
        <v>16361170</v>
      </c>
      <c r="D162" s="304"/>
      <c r="E162" s="305"/>
    </row>
    <row r="163" spans="1:10" ht="15.75">
      <c r="A163" s="283"/>
      <c r="B163" s="284"/>
      <c r="C163" s="306">
        <f>C162-C161</f>
        <v>0</v>
      </c>
      <c r="D163" s="304"/>
      <c r="E163" s="305"/>
    </row>
    <row r="164" spans="1:10" ht="15.75">
      <c r="A164" s="289"/>
      <c r="B164" s="289"/>
      <c r="C164" s="283" t="s">
        <v>1</v>
      </c>
      <c r="D164" s="307">
        <f>EOMONTH(D148,1)</f>
        <v>41578</v>
      </c>
      <c r="E164" s="308">
        <f>E148+E161</f>
        <v>8140.2385399999985</v>
      </c>
    </row>
    <row r="165" spans="1:10" ht="15.75" thickBot="1"/>
    <row r="166" spans="1:10" ht="15.75">
      <c r="A166" s="678" t="s">
        <v>195</v>
      </c>
      <c r="B166" s="679"/>
      <c r="C166" s="679"/>
      <c r="D166" s="679"/>
      <c r="E166" s="680"/>
      <c r="G166" s="289"/>
      <c r="H166" s="289"/>
      <c r="I166" s="289"/>
    </row>
    <row r="167" spans="1:10" ht="15.75">
      <c r="A167" s="219">
        <f>EOMONTH(A151,1)</f>
        <v>41608</v>
      </c>
      <c r="B167" s="275"/>
      <c r="C167" s="276" t="s">
        <v>101</v>
      </c>
      <c r="D167" s="277"/>
      <c r="E167" s="278"/>
    </row>
    <row r="168" spans="1:10" ht="16.5" thickBot="1">
      <c r="A168" s="279"/>
      <c r="B168" s="280"/>
      <c r="C168" s="281" t="s">
        <v>21</v>
      </c>
      <c r="D168" s="281" t="s">
        <v>22</v>
      </c>
      <c r="E168" s="282" t="s">
        <v>23</v>
      </c>
    </row>
    <row r="169" spans="1:10" ht="15.75">
      <c r="A169" s="283" t="s">
        <v>24</v>
      </c>
      <c r="B169" s="284">
        <v>101</v>
      </c>
      <c r="C169" s="285">
        <v>15070678</v>
      </c>
      <c r="D169" s="286" t="s">
        <v>187</v>
      </c>
      <c r="E169" s="287">
        <v>0</v>
      </c>
    </row>
    <row r="170" spans="1:10" ht="16.5" thickBot="1">
      <c r="A170" s="283" t="s">
        <v>24</v>
      </c>
      <c r="B170" s="284">
        <v>111</v>
      </c>
      <c r="C170" s="285">
        <v>5651303</v>
      </c>
      <c r="D170" s="286" t="s">
        <v>187</v>
      </c>
      <c r="E170" s="287">
        <v>0</v>
      </c>
      <c r="G170" s="288">
        <f>A167</f>
        <v>41608</v>
      </c>
      <c r="H170" s="289"/>
      <c r="I170" s="289"/>
      <c r="J170" s="289"/>
    </row>
    <row r="171" spans="1:10" ht="16.5" thickBot="1">
      <c r="A171" s="283" t="s">
        <v>24</v>
      </c>
      <c r="B171" s="284">
        <v>112</v>
      </c>
      <c r="C171" s="285">
        <v>0</v>
      </c>
      <c r="D171" s="286" t="s">
        <v>187</v>
      </c>
      <c r="E171" s="287">
        <v>0</v>
      </c>
      <c r="G171" s="290" t="s">
        <v>25</v>
      </c>
      <c r="H171" s="291"/>
      <c r="I171" s="292" t="s">
        <v>18</v>
      </c>
      <c r="J171" s="292" t="s">
        <v>19</v>
      </c>
    </row>
    <row r="172" spans="1:10" ht="15.75">
      <c r="A172" s="283" t="s">
        <v>24</v>
      </c>
      <c r="B172" s="284">
        <v>121</v>
      </c>
      <c r="C172" s="285">
        <v>396185</v>
      </c>
      <c r="D172" s="286" t="s">
        <v>187</v>
      </c>
      <c r="E172" s="287">
        <v>0</v>
      </c>
      <c r="G172" s="293" t="s">
        <v>97</v>
      </c>
      <c r="H172" s="294" t="s">
        <v>26</v>
      </c>
      <c r="I172" s="295">
        <f>-E177</f>
        <v>8833.92</v>
      </c>
      <c r="J172" s="296">
        <v>0</v>
      </c>
    </row>
    <row r="173" spans="1:10" ht="16.5" thickBot="1">
      <c r="A173" s="283" t="s">
        <v>24</v>
      </c>
      <c r="B173" s="284">
        <v>122</v>
      </c>
      <c r="C173" s="285">
        <v>51667</v>
      </c>
      <c r="D173" s="286" t="s">
        <v>187</v>
      </c>
      <c r="E173" s="287">
        <v>0</v>
      </c>
      <c r="G173" s="297" t="s">
        <v>196</v>
      </c>
      <c r="H173" s="298" t="s">
        <v>197</v>
      </c>
      <c r="I173" s="299">
        <v>0</v>
      </c>
      <c r="J173" s="300">
        <f>-I172</f>
        <v>-8833.92</v>
      </c>
    </row>
    <row r="174" spans="1:10" ht="15.75">
      <c r="A174" s="283" t="s">
        <v>24</v>
      </c>
      <c r="B174" s="284">
        <v>131</v>
      </c>
      <c r="C174" s="285">
        <v>0</v>
      </c>
      <c r="D174" s="286" t="s">
        <v>187</v>
      </c>
      <c r="E174" s="287">
        <v>0</v>
      </c>
      <c r="G174" s="289"/>
      <c r="H174" s="289"/>
      <c r="I174" s="289"/>
      <c r="J174" s="301">
        <f>SUM(I172:J173)</f>
        <v>0</v>
      </c>
    </row>
    <row r="175" spans="1:10" ht="15.75">
      <c r="A175" s="283" t="s">
        <v>24</v>
      </c>
      <c r="B175" s="284">
        <v>132</v>
      </c>
      <c r="C175" s="285">
        <v>142001</v>
      </c>
      <c r="D175" s="286" t="s">
        <v>187</v>
      </c>
      <c r="E175" s="287">
        <v>0</v>
      </c>
    </row>
    <row r="176" spans="1:10" ht="15.75">
      <c r="A176" s="283" t="s">
        <v>24</v>
      </c>
      <c r="B176" s="284">
        <v>146</v>
      </c>
      <c r="C176" s="285">
        <v>2936207</v>
      </c>
      <c r="D176" s="286" t="s">
        <v>187</v>
      </c>
      <c r="E176" s="302">
        <v>0</v>
      </c>
    </row>
    <row r="177" spans="1:10" ht="16.5" thickBot="1">
      <c r="A177" s="283" t="s">
        <v>198</v>
      </c>
      <c r="B177" s="284"/>
      <c r="C177" s="303">
        <f>SUM(C169:C176)</f>
        <v>24248041</v>
      </c>
      <c r="D177" s="304"/>
      <c r="E177" s="305">
        <v>-8833.92</v>
      </c>
    </row>
    <row r="178" spans="1:10" ht="16.5" thickTop="1">
      <c r="A178" s="283"/>
      <c r="B178" s="284"/>
      <c r="C178" s="309">
        <v>24248041</v>
      </c>
      <c r="D178" s="304"/>
      <c r="E178" s="305"/>
    </row>
    <row r="179" spans="1:10" ht="15.75">
      <c r="A179" s="283"/>
      <c r="B179" s="284"/>
      <c r="C179" s="306">
        <f>C178-C177</f>
        <v>0</v>
      </c>
      <c r="D179" s="304"/>
      <c r="E179" s="305"/>
    </row>
    <row r="180" spans="1:10" ht="15.75">
      <c r="A180" s="289"/>
      <c r="B180" s="289"/>
      <c r="C180" s="283" t="s">
        <v>1</v>
      </c>
      <c r="D180" s="307">
        <f>EOMONTH(D164,1)</f>
        <v>41608</v>
      </c>
      <c r="E180" s="308">
        <f>E164+E177</f>
        <v>-693.68146000000161</v>
      </c>
    </row>
    <row r="181" spans="1:10" ht="15.75" thickBot="1"/>
    <row r="182" spans="1:10" ht="15.75">
      <c r="A182" s="678" t="s">
        <v>195</v>
      </c>
      <c r="B182" s="679"/>
      <c r="C182" s="679"/>
      <c r="D182" s="679"/>
      <c r="E182" s="680"/>
      <c r="G182" s="289"/>
      <c r="H182" s="289"/>
      <c r="I182" s="289"/>
    </row>
    <row r="183" spans="1:10" ht="15.75">
      <c r="A183" s="219">
        <f>EOMONTH(A167,1)</f>
        <v>41639</v>
      </c>
      <c r="B183" s="275"/>
      <c r="C183" s="276" t="s">
        <v>101</v>
      </c>
      <c r="D183" s="277"/>
      <c r="E183" s="278"/>
    </row>
    <row r="184" spans="1:10" ht="16.5" thickBot="1">
      <c r="A184" s="279"/>
      <c r="B184" s="280"/>
      <c r="C184" s="281" t="s">
        <v>21</v>
      </c>
      <c r="D184" s="281" t="s">
        <v>22</v>
      </c>
      <c r="E184" s="282" t="s">
        <v>23</v>
      </c>
    </row>
    <row r="185" spans="1:10" ht="15.75">
      <c r="A185" s="283" t="s">
        <v>24</v>
      </c>
      <c r="B185" s="284">
        <v>101</v>
      </c>
      <c r="C185" s="285">
        <f>Jan!$G$23</f>
        <v>20257484</v>
      </c>
      <c r="D185" s="286" t="s">
        <v>187</v>
      </c>
      <c r="E185" s="287">
        <v>0</v>
      </c>
    </row>
    <row r="186" spans="1:10" ht="16.5" thickBot="1">
      <c r="A186" s="283" t="s">
        <v>24</v>
      </c>
      <c r="B186" s="284">
        <v>111</v>
      </c>
      <c r="C186" s="285">
        <f>Jan!$G$25</f>
        <v>6608892</v>
      </c>
      <c r="D186" s="286" t="s">
        <v>187</v>
      </c>
      <c r="E186" s="287">
        <v>0</v>
      </c>
      <c r="G186" s="288">
        <f>A183</f>
        <v>41639</v>
      </c>
      <c r="H186" s="289"/>
      <c r="I186" s="289"/>
      <c r="J186" s="289"/>
    </row>
    <row r="187" spans="1:10" ht="16.5" thickBot="1">
      <c r="A187" s="283" t="s">
        <v>24</v>
      </c>
      <c r="B187" s="284">
        <v>112</v>
      </c>
      <c r="C187" s="285">
        <f>Jan!$G$26</f>
        <v>10558</v>
      </c>
      <c r="D187" s="286" t="s">
        <v>187</v>
      </c>
      <c r="E187" s="287">
        <v>0</v>
      </c>
      <c r="G187" s="290" t="s">
        <v>25</v>
      </c>
      <c r="H187" s="291"/>
      <c r="I187" s="292" t="s">
        <v>18</v>
      </c>
      <c r="J187" s="292" t="s">
        <v>19</v>
      </c>
    </row>
    <row r="188" spans="1:10" ht="15.75">
      <c r="A188" s="283" t="s">
        <v>24</v>
      </c>
      <c r="B188" s="284">
        <v>121</v>
      </c>
      <c r="C188" s="285">
        <f>Jan!$G$27</f>
        <v>362835</v>
      </c>
      <c r="D188" s="286" t="s">
        <v>187</v>
      </c>
      <c r="E188" s="287">
        <v>0</v>
      </c>
      <c r="G188" s="293" t="s">
        <v>97</v>
      </c>
      <c r="H188" s="294" t="s">
        <v>26</v>
      </c>
      <c r="I188" s="295">
        <f>-E193</f>
        <v>13002.04</v>
      </c>
      <c r="J188" s="296">
        <v>0</v>
      </c>
    </row>
    <row r="189" spans="1:10" ht="16.5" thickBot="1">
      <c r="A189" s="283" t="s">
        <v>24</v>
      </c>
      <c r="B189" s="284">
        <v>122</v>
      </c>
      <c r="C189" s="285">
        <f>Jan!$G$28</f>
        <v>65295</v>
      </c>
      <c r="D189" s="286" t="s">
        <v>187</v>
      </c>
      <c r="E189" s="287">
        <v>0</v>
      </c>
      <c r="G189" s="297" t="s">
        <v>196</v>
      </c>
      <c r="H189" s="298" t="s">
        <v>197</v>
      </c>
      <c r="I189" s="299">
        <v>0</v>
      </c>
      <c r="J189" s="300">
        <f>-I188</f>
        <v>-13002.04</v>
      </c>
    </row>
    <row r="190" spans="1:10" ht="15.75">
      <c r="A190" s="283" t="s">
        <v>24</v>
      </c>
      <c r="B190" s="284">
        <v>131</v>
      </c>
      <c r="C190" s="285">
        <f>Jan!$G$29</f>
        <v>0</v>
      </c>
      <c r="D190" s="286" t="s">
        <v>187</v>
      </c>
      <c r="E190" s="287">
        <v>0</v>
      </c>
      <c r="G190" s="289"/>
      <c r="H190" s="289"/>
      <c r="I190" s="289"/>
      <c r="J190" s="301">
        <f>SUM(I188:J189)</f>
        <v>0</v>
      </c>
    </row>
    <row r="191" spans="1:10" ht="15.75">
      <c r="A191" s="283" t="s">
        <v>24</v>
      </c>
      <c r="B191" s="284">
        <v>132</v>
      </c>
      <c r="C191" s="285">
        <f>Jan!$G$30</f>
        <v>139102</v>
      </c>
      <c r="D191" s="286" t="s">
        <v>187</v>
      </c>
      <c r="E191" s="287">
        <v>0</v>
      </c>
    </row>
    <row r="192" spans="1:10" ht="15.75">
      <c r="A192" s="283" t="s">
        <v>24</v>
      </c>
      <c r="B192" s="284">
        <v>146</v>
      </c>
      <c r="C192" s="285">
        <f>Jan!$G$31</f>
        <v>3629622</v>
      </c>
      <c r="D192" s="286" t="s">
        <v>187</v>
      </c>
      <c r="E192" s="302">
        <v>0</v>
      </c>
    </row>
    <row r="193" spans="1:9" ht="16.5" thickBot="1">
      <c r="A193" s="283" t="s">
        <v>198</v>
      </c>
      <c r="B193" s="284"/>
      <c r="C193" s="303">
        <f>SUM(C185:C192)</f>
        <v>31073788</v>
      </c>
      <c r="D193" s="304"/>
      <c r="E193" s="305">
        <v>-13002.04</v>
      </c>
    </row>
    <row r="194" spans="1:9" ht="16.5" thickTop="1">
      <c r="A194" s="283"/>
      <c r="B194" s="284"/>
      <c r="C194" s="309">
        <v>34635509</v>
      </c>
      <c r="D194" s="304"/>
      <c r="E194" s="305"/>
    </row>
    <row r="195" spans="1:9" ht="15.75">
      <c r="A195" s="283"/>
      <c r="B195" s="284"/>
      <c r="C195" s="306">
        <f>C194-C193</f>
        <v>3561721</v>
      </c>
      <c r="D195" s="304"/>
      <c r="E195" s="305"/>
    </row>
    <row r="196" spans="1:9" ht="15.75">
      <c r="C196" s="283" t="s">
        <v>1</v>
      </c>
      <c r="D196" s="307">
        <f>EOMONTH(D180,1)</f>
        <v>41639</v>
      </c>
      <c r="E196" s="308">
        <f>E180+E193</f>
        <v>-13695.721460000002</v>
      </c>
      <c r="G196" s="473" t="s">
        <v>244</v>
      </c>
      <c r="H196" s="474">
        <f>_xll.Get_Balance(I196,"YTD","USD","Total","A","","001","191025","GD","WA","DL")-E196</f>
        <v>1.4600000031350646E-3</v>
      </c>
      <c r="I196" s="475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7" orientation="portrait" r:id="rId1"/>
  <customProperties>
    <customPr name="xxe4aP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40625" defaultRowHeight="15"/>
  <cols>
    <col min="1" max="1" width="12.42578125" style="1" customWidth="1"/>
    <col min="2" max="2" width="9.42578125" style="1" bestFit="1" customWidth="1"/>
    <col min="3" max="3" width="17" style="1" customWidth="1"/>
    <col min="4" max="4" width="25.7109375" style="1" customWidth="1"/>
    <col min="5" max="5" width="21.85546875" style="1" bestFit="1" customWidth="1"/>
    <col min="6" max="6" width="16.28515625" style="1" bestFit="1" customWidth="1"/>
    <col min="7" max="7" width="32.42578125" style="1" customWidth="1"/>
    <col min="8" max="8" width="19.28515625" style="1" customWidth="1"/>
    <col min="9" max="9" width="20.42578125" style="1" customWidth="1"/>
    <col min="10" max="10" width="19.57031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0</v>
      </c>
    </row>
    <row r="3" spans="1:10" ht="15.75">
      <c r="A3" s="51" t="s">
        <v>172</v>
      </c>
    </row>
    <row r="4" spans="1:10" ht="15.75">
      <c r="A4" s="51" t="s">
        <v>171</v>
      </c>
    </row>
    <row r="6" spans="1:10" ht="15.75">
      <c r="B6" s="17"/>
      <c r="C6" s="2"/>
      <c r="D6" s="3"/>
      <c r="E6" s="4"/>
    </row>
    <row r="7" spans="1:10" s="329" customFormat="1" ht="15.75" hidden="1">
      <c r="A7" s="331"/>
      <c r="B7" s="331"/>
      <c r="C7" s="50" t="s">
        <v>1</v>
      </c>
      <c r="D7" s="90">
        <v>41213</v>
      </c>
      <c r="E7" s="50">
        <v>2351759.8593735616</v>
      </c>
      <c r="F7" s="331"/>
      <c r="G7" s="245"/>
    </row>
    <row r="8" spans="1:10" s="382" customFormat="1" ht="15.75" hidden="1">
      <c r="A8" s="383"/>
      <c r="B8" s="383"/>
      <c r="C8" s="50"/>
      <c r="D8" s="90"/>
      <c r="E8" s="50"/>
      <c r="F8" s="383"/>
      <c r="G8" s="245"/>
    </row>
    <row r="9" spans="1:10" s="202" customFormat="1" ht="15.75" hidden="1">
      <c r="D9" s="258" t="s">
        <v>212</v>
      </c>
      <c r="E9" s="161">
        <f>'WA Def 191010'!R14</f>
        <v>-7340824.0093394704</v>
      </c>
    </row>
    <row r="10" spans="1:10" s="202" customFormat="1" ht="16.5" hidden="1" thickBot="1">
      <c r="D10" s="258" t="s">
        <v>210</v>
      </c>
      <c r="E10" s="388">
        <f>E9+E7</f>
        <v>-4989064.1499659084</v>
      </c>
    </row>
    <row r="11" spans="1:10" s="382" customFormat="1" ht="16.5" hidden="1" thickTop="1" thickBot="1"/>
    <row r="12" spans="1:10" s="382" customFormat="1" ht="15.75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2" customFormat="1" ht="15.75" hidden="1">
      <c r="A13" s="219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2" customFormat="1" ht="16.5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3"/>
      <c r="G14" s="383"/>
      <c r="H14" s="383"/>
      <c r="I14" s="383"/>
      <c r="J14" s="383"/>
    </row>
    <row r="15" spans="1:10" s="382" customFormat="1" ht="15.75" hidden="1">
      <c r="A15" s="50" t="s">
        <v>24</v>
      </c>
      <c r="B15" s="95">
        <v>101</v>
      </c>
      <c r="C15" s="206">
        <v>12694976</v>
      </c>
      <c r="D15" s="387">
        <v>3.3950000000000001E-2</v>
      </c>
      <c r="E15" s="168">
        <v>427531.76</v>
      </c>
      <c r="F15" s="383" t="s">
        <v>187</v>
      </c>
      <c r="G15" s="383"/>
      <c r="H15" s="383"/>
      <c r="I15" s="383"/>
      <c r="J15" s="383"/>
    </row>
    <row r="16" spans="1:10" s="382" customFormat="1" ht="16.5" hidden="1" thickBot="1">
      <c r="A16" s="50" t="s">
        <v>24</v>
      </c>
      <c r="B16" s="95">
        <v>111</v>
      </c>
      <c r="C16" s="206">
        <v>4637935</v>
      </c>
      <c r="D16" s="387">
        <v>3.0599999999999999E-2</v>
      </c>
      <c r="E16" s="168">
        <v>143027.17000000001</v>
      </c>
      <c r="F16" s="383" t="s">
        <v>187</v>
      </c>
      <c r="G16" s="123">
        <f>A13</f>
        <v>41243</v>
      </c>
      <c r="H16" s="383"/>
      <c r="I16" s="383"/>
      <c r="J16" s="383"/>
    </row>
    <row r="17" spans="1:10" s="382" customFormat="1" ht="16.5" hidden="1" thickBot="1">
      <c r="A17" s="50" t="s">
        <v>24</v>
      </c>
      <c r="B17" s="95">
        <v>112</v>
      </c>
      <c r="C17" s="206">
        <v>0</v>
      </c>
      <c r="D17" s="387"/>
      <c r="E17" s="168">
        <v>0</v>
      </c>
      <c r="F17" s="383" t="s">
        <v>187</v>
      </c>
      <c r="G17" s="113" t="s">
        <v>25</v>
      </c>
      <c r="H17" s="205"/>
      <c r="I17" s="126" t="s">
        <v>18</v>
      </c>
      <c r="J17" s="126" t="s">
        <v>19</v>
      </c>
    </row>
    <row r="18" spans="1:10" s="382" customFormat="1" ht="15.75" hidden="1">
      <c r="A18" s="50" t="s">
        <v>24</v>
      </c>
      <c r="B18" s="95">
        <v>121</v>
      </c>
      <c r="C18" s="206">
        <v>347215</v>
      </c>
      <c r="D18" s="387">
        <v>2.998E-2</v>
      </c>
      <c r="E18" s="168">
        <v>11613.6</v>
      </c>
      <c r="F18" s="383" t="s">
        <v>187</v>
      </c>
      <c r="G18" s="151" t="s">
        <v>28</v>
      </c>
      <c r="H18" s="152" t="s">
        <v>75</v>
      </c>
      <c r="I18" s="152"/>
      <c r="J18" s="97">
        <v>0</v>
      </c>
    </row>
    <row r="19" spans="1:10" s="382" customFormat="1" ht="15.75" hidden="1">
      <c r="A19" s="50" t="s">
        <v>24</v>
      </c>
      <c r="B19" s="95">
        <v>122</v>
      </c>
      <c r="C19" s="206">
        <v>0</v>
      </c>
      <c r="D19" s="387"/>
      <c r="E19" s="168">
        <v>0</v>
      </c>
      <c r="F19" s="383" t="s">
        <v>187</v>
      </c>
      <c r="G19" s="153" t="s">
        <v>29</v>
      </c>
      <c r="H19" s="7" t="s">
        <v>76</v>
      </c>
      <c r="I19" s="7">
        <v>12723.82</v>
      </c>
      <c r="J19" s="223"/>
    </row>
    <row r="20" spans="1:10" s="382" customFormat="1" ht="15.75" hidden="1">
      <c r="A20" s="50" t="s">
        <v>24</v>
      </c>
      <c r="B20" s="95">
        <v>131</v>
      </c>
      <c r="C20" s="206">
        <v>0</v>
      </c>
      <c r="D20" s="387">
        <v>5.7389999999999997E-2</v>
      </c>
      <c r="E20" s="168">
        <v>0</v>
      </c>
      <c r="F20" s="383" t="s">
        <v>187</v>
      </c>
      <c r="G20" s="153" t="s">
        <v>97</v>
      </c>
      <c r="H20" s="7" t="s">
        <v>26</v>
      </c>
      <c r="I20" s="8"/>
      <c r="J20" s="98">
        <v>-582079.61</v>
      </c>
    </row>
    <row r="21" spans="1:10" s="382" customFormat="1" ht="15.75" hidden="1">
      <c r="A21" s="50" t="s">
        <v>24</v>
      </c>
      <c r="B21" s="95">
        <v>132</v>
      </c>
      <c r="C21" s="206">
        <v>0</v>
      </c>
      <c r="D21" s="387"/>
      <c r="E21" s="168">
        <v>0</v>
      </c>
      <c r="F21" s="383" t="s">
        <v>187</v>
      </c>
      <c r="G21" s="153" t="s">
        <v>10</v>
      </c>
      <c r="H21" s="7" t="s">
        <v>17</v>
      </c>
      <c r="I21" s="7">
        <v>0</v>
      </c>
      <c r="J21" s="98"/>
    </row>
    <row r="22" spans="1:10" s="382" customFormat="1" ht="16.5" hidden="1" thickBot="1">
      <c r="A22" s="50" t="s">
        <v>24</v>
      </c>
      <c r="B22" s="95">
        <v>146</v>
      </c>
      <c r="C22" s="206">
        <v>2701032</v>
      </c>
      <c r="D22" s="238"/>
      <c r="E22" s="168">
        <v>0</v>
      </c>
      <c r="F22" s="383" t="s">
        <v>187</v>
      </c>
      <c r="G22" s="154" t="s">
        <v>98</v>
      </c>
      <c r="H22" s="147" t="s">
        <v>27</v>
      </c>
      <c r="I22" s="110">
        <v>569355.79</v>
      </c>
      <c r="J22" s="107"/>
    </row>
    <row r="23" spans="1:10" s="382" customFormat="1" ht="15.75" hidden="1">
      <c r="A23" s="50" t="s">
        <v>151</v>
      </c>
      <c r="B23" s="95"/>
      <c r="C23" s="206"/>
      <c r="D23" s="121"/>
      <c r="E23" s="168">
        <v>0</v>
      </c>
      <c r="F23" s="383" t="s">
        <v>187</v>
      </c>
      <c r="G23" s="383"/>
      <c r="H23" s="383"/>
      <c r="I23" s="383"/>
      <c r="J23" s="336">
        <f>SUM(I18:J22)</f>
        <v>0</v>
      </c>
    </row>
    <row r="24" spans="1:10" s="382" customFormat="1" ht="15.75" hidden="1">
      <c r="A24" s="141" t="s">
        <v>143</v>
      </c>
      <c r="B24" s="95">
        <v>146</v>
      </c>
      <c r="C24" s="206"/>
      <c r="D24" s="121"/>
      <c r="E24" s="168">
        <v>0</v>
      </c>
      <c r="F24" s="383" t="s">
        <v>187</v>
      </c>
      <c r="G24" s="123"/>
      <c r="H24" s="7"/>
      <c r="I24" s="7"/>
      <c r="J24" s="7"/>
    </row>
    <row r="25" spans="1:10" s="382" customFormat="1" ht="15.75" hidden="1">
      <c r="A25" s="141" t="s">
        <v>105</v>
      </c>
      <c r="B25" s="95"/>
      <c r="C25" s="206"/>
      <c r="D25" s="121"/>
      <c r="E25" s="226">
        <v>0</v>
      </c>
      <c r="F25" s="383"/>
      <c r="G25" s="123"/>
      <c r="H25" s="7"/>
      <c r="I25" s="12"/>
      <c r="J25" s="12"/>
    </row>
    <row r="26" spans="1:10" s="382" customFormat="1" ht="16.5" hidden="1" thickBot="1">
      <c r="A26" s="50"/>
      <c r="B26" s="95"/>
      <c r="C26" s="159">
        <f>SUM(C15:C25)</f>
        <v>20381158</v>
      </c>
      <c r="D26" s="142"/>
      <c r="E26" s="207">
        <f>SUM(E15:E25)</f>
        <v>582172.53</v>
      </c>
      <c r="F26" s="383"/>
      <c r="G26" s="123"/>
      <c r="H26" s="7"/>
      <c r="I26" s="7"/>
      <c r="J26" s="8"/>
    </row>
    <row r="27" spans="1:10" s="382" customFormat="1" ht="16.5" hidden="1" thickTop="1">
      <c r="A27" s="50"/>
      <c r="B27" s="95"/>
      <c r="C27" s="224">
        <v>20381158</v>
      </c>
      <c r="D27" s="142" t="s">
        <v>161</v>
      </c>
      <c r="E27" s="156">
        <v>0</v>
      </c>
      <c r="F27" s="383"/>
      <c r="G27" s="11"/>
      <c r="H27" s="7"/>
      <c r="I27" s="8"/>
      <c r="J27" s="7"/>
    </row>
    <row r="28" spans="1:10" s="382" customFormat="1" ht="16.5" hidden="1" thickBot="1">
      <c r="A28" s="50"/>
      <c r="B28" s="95"/>
      <c r="C28" s="230">
        <f>C27-C26</f>
        <v>0</v>
      </c>
      <c r="D28" s="142"/>
      <c r="E28" s="160">
        <f>SUM(E26:E27)</f>
        <v>582172.53</v>
      </c>
      <c r="F28" s="383"/>
      <c r="G28" s="65" t="s">
        <v>158</v>
      </c>
      <c r="H28" s="7"/>
      <c r="I28" s="7"/>
      <c r="J28" s="7"/>
    </row>
    <row r="29" spans="1:10" s="382" customFormat="1" ht="16.5" hidden="1" thickTop="1">
      <c r="A29" s="383"/>
      <c r="B29" s="383"/>
      <c r="C29" s="383"/>
      <c r="D29" s="142" t="s">
        <v>87</v>
      </c>
      <c r="E29" s="50">
        <f>E28+E10</f>
        <v>-4406891.6199659081</v>
      </c>
      <c r="F29" s="383"/>
      <c r="G29" s="8">
        <f>(E10*(D30/12))+(E28*(D30/24))</f>
        <v>-12723.690105116002</v>
      </c>
      <c r="H29" s="394"/>
      <c r="I29" s="394"/>
      <c r="J29" s="7"/>
    </row>
    <row r="30" spans="1:10" s="382" customFormat="1" ht="15.75" hidden="1">
      <c r="A30" s="383"/>
      <c r="B30" s="383"/>
      <c r="C30" s="50" t="s">
        <v>57</v>
      </c>
      <c r="D30" s="225">
        <v>3.2500000000000001E-2</v>
      </c>
      <c r="E30" s="119">
        <f>ROUND(((E10)+(SUM(E28))/2)*(D30/12),2)</f>
        <v>-12723.69</v>
      </c>
      <c r="F30" s="383"/>
      <c r="G30" s="8"/>
      <c r="H30" s="7"/>
      <c r="I30" s="12"/>
      <c r="J30" s="12"/>
    </row>
    <row r="31" spans="1:10" s="382" customFormat="1" ht="15.75" hidden="1">
      <c r="A31" s="383"/>
      <c r="B31" s="383"/>
      <c r="C31" s="50" t="s">
        <v>1</v>
      </c>
      <c r="D31" s="90">
        <f>A13</f>
        <v>41243</v>
      </c>
      <c r="E31" s="50">
        <f>SUM(E29:E30)</f>
        <v>-4419615.3099659085</v>
      </c>
      <c r="F31" s="383"/>
      <c r="G31" s="245"/>
    </row>
    <row r="32" spans="1:10" s="382" customFormat="1" ht="15.75" hidden="1">
      <c r="A32" s="383"/>
      <c r="B32" s="383"/>
      <c r="C32" s="50"/>
      <c r="D32" s="441" t="s">
        <v>199</v>
      </c>
      <c r="E32" s="64">
        <v>-4419708.3600000003</v>
      </c>
      <c r="F32" s="383"/>
      <c r="G32" s="245"/>
    </row>
    <row r="33" spans="1:10" s="382" customFormat="1" ht="15.75" hidden="1">
      <c r="A33" s="383"/>
      <c r="B33" s="383"/>
      <c r="C33" s="50"/>
      <c r="D33" s="441" t="s">
        <v>218</v>
      </c>
      <c r="E33" s="442">
        <f>E31-E32</f>
        <v>93.050034091807902</v>
      </c>
      <c r="F33" s="383"/>
      <c r="G33" s="245"/>
    </row>
    <row r="34" spans="1:10" s="382" customFormat="1" ht="15.75" hidden="1" thickBot="1"/>
    <row r="35" spans="1:10" s="382" customFormat="1" ht="15.75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2" customFormat="1" ht="15.75" hidden="1">
      <c r="A36" s="219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2" customFormat="1" ht="16.5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3"/>
      <c r="G37" s="383"/>
      <c r="H37" s="383"/>
      <c r="I37" s="383"/>
      <c r="J37" s="383"/>
    </row>
    <row r="38" spans="1:10" s="382" customFormat="1" ht="15.75" hidden="1">
      <c r="A38" s="50" t="s">
        <v>24</v>
      </c>
      <c r="B38" s="95">
        <v>101</v>
      </c>
      <c r="C38" s="206">
        <v>18054358</v>
      </c>
      <c r="D38" s="387">
        <v>3.3950000000000001E-2</v>
      </c>
      <c r="E38" s="168">
        <v>610563.22</v>
      </c>
      <c r="F38" s="383" t="s">
        <v>187</v>
      </c>
      <c r="G38" s="383"/>
      <c r="H38" s="383"/>
      <c r="I38" s="383"/>
      <c r="J38" s="383"/>
    </row>
    <row r="39" spans="1:10" s="382" customFormat="1" ht="16.5" hidden="1" thickBot="1">
      <c r="A39" s="50" t="s">
        <v>24</v>
      </c>
      <c r="B39" s="95">
        <v>111</v>
      </c>
      <c r="C39" s="206">
        <v>6151406</v>
      </c>
      <c r="D39" s="387">
        <v>3.0599999999999999E-2</v>
      </c>
      <c r="E39" s="168">
        <v>187548.98</v>
      </c>
      <c r="F39" s="383" t="s">
        <v>187</v>
      </c>
      <c r="G39" s="123">
        <f>A36</f>
        <v>41274</v>
      </c>
      <c r="H39" s="383"/>
      <c r="I39" s="383"/>
      <c r="J39" s="383"/>
    </row>
    <row r="40" spans="1:10" s="382" customFormat="1" ht="16.5" hidden="1" thickBot="1">
      <c r="A40" s="50" t="s">
        <v>24</v>
      </c>
      <c r="B40" s="95">
        <v>112</v>
      </c>
      <c r="C40" s="206">
        <v>0</v>
      </c>
      <c r="D40" s="387"/>
      <c r="E40" s="168">
        <f t="shared" ref="E40" si="0">C40*D40</f>
        <v>0</v>
      </c>
      <c r="F40" s="383" t="s">
        <v>187</v>
      </c>
      <c r="G40" s="113" t="s">
        <v>25</v>
      </c>
      <c r="H40" s="205"/>
      <c r="I40" s="126" t="s">
        <v>18</v>
      </c>
      <c r="J40" s="126" t="s">
        <v>19</v>
      </c>
    </row>
    <row r="41" spans="1:10" s="382" customFormat="1" ht="15.75" hidden="1">
      <c r="A41" s="50" t="s">
        <v>24</v>
      </c>
      <c r="B41" s="95">
        <v>121</v>
      </c>
      <c r="C41" s="206">
        <v>385155</v>
      </c>
      <c r="D41" s="387">
        <v>2.998E-2</v>
      </c>
      <c r="E41" s="168">
        <v>11473.63</v>
      </c>
      <c r="F41" s="383" t="s">
        <v>187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2" customFormat="1" ht="15.75" hidden="1">
      <c r="A42" s="50" t="s">
        <v>24</v>
      </c>
      <c r="B42" s="95">
        <v>122</v>
      </c>
      <c r="C42" s="206">
        <v>0</v>
      </c>
      <c r="D42" s="387"/>
      <c r="E42" s="168">
        <f t="shared" ref="E42:E47" si="1">C42*D42</f>
        <v>0</v>
      </c>
      <c r="F42" s="383" t="s">
        <v>187</v>
      </c>
      <c r="G42" s="153" t="s">
        <v>29</v>
      </c>
      <c r="H42" s="7" t="s">
        <v>76</v>
      </c>
      <c r="I42" s="7">
        <f>IF(-E53&gt;0,-E53,0)</f>
        <v>10764.89</v>
      </c>
      <c r="J42" s="223"/>
    </row>
    <row r="43" spans="1:10" s="382" customFormat="1" ht="15.75" hidden="1">
      <c r="A43" s="50" t="s">
        <v>24</v>
      </c>
      <c r="B43" s="95">
        <v>131</v>
      </c>
      <c r="C43" s="206">
        <v>0</v>
      </c>
      <c r="D43" s="387">
        <v>5.7389999999999997E-2</v>
      </c>
      <c r="E43" s="168">
        <f t="shared" si="1"/>
        <v>0</v>
      </c>
      <c r="F43" s="383" t="s">
        <v>187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2" customFormat="1" ht="15.75" hidden="1">
      <c r="A44" s="50" t="s">
        <v>24</v>
      </c>
      <c r="B44" s="95">
        <v>132</v>
      </c>
      <c r="C44" s="206">
        <v>0</v>
      </c>
      <c r="D44" s="387"/>
      <c r="E44" s="168">
        <f t="shared" si="1"/>
        <v>0</v>
      </c>
      <c r="F44" s="383" t="s">
        <v>187</v>
      </c>
      <c r="G44" s="153" t="s">
        <v>10</v>
      </c>
      <c r="H44" s="7" t="s">
        <v>17</v>
      </c>
      <c r="I44" s="7">
        <v>0</v>
      </c>
      <c r="J44" s="98"/>
    </row>
    <row r="45" spans="1:10" s="382" customFormat="1" ht="16.5" hidden="1" thickBot="1">
      <c r="A45" s="50" t="s">
        <v>24</v>
      </c>
      <c r="B45" s="95">
        <v>146</v>
      </c>
      <c r="C45" s="206">
        <v>3066817</v>
      </c>
      <c r="D45" s="238"/>
      <c r="E45" s="168">
        <f t="shared" si="1"/>
        <v>0</v>
      </c>
      <c r="F45" s="383" t="s">
        <v>187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2" customFormat="1" ht="15.75" hidden="1">
      <c r="A46" s="50" t="s">
        <v>151</v>
      </c>
      <c r="B46" s="95"/>
      <c r="C46" s="206"/>
      <c r="D46" s="121"/>
      <c r="E46" s="168">
        <f t="shared" si="1"/>
        <v>0</v>
      </c>
      <c r="F46" s="383" t="s">
        <v>187</v>
      </c>
      <c r="G46" s="383"/>
      <c r="H46" s="383"/>
      <c r="I46" s="383"/>
      <c r="J46" s="336">
        <f>SUM(I41:J45)</f>
        <v>0</v>
      </c>
    </row>
    <row r="47" spans="1:10" s="382" customFormat="1" ht="15.75" hidden="1">
      <c r="A47" s="141" t="s">
        <v>143</v>
      </c>
      <c r="B47" s="95">
        <v>146</v>
      </c>
      <c r="C47" s="206"/>
      <c r="D47" s="121"/>
      <c r="E47" s="168">
        <f t="shared" si="1"/>
        <v>0</v>
      </c>
      <c r="F47" s="383" t="s">
        <v>187</v>
      </c>
      <c r="G47" s="123"/>
      <c r="H47" s="7"/>
      <c r="I47" s="7"/>
      <c r="J47" s="7"/>
    </row>
    <row r="48" spans="1:10" s="382" customFormat="1" ht="15.75" hidden="1">
      <c r="A48" s="141" t="s">
        <v>105</v>
      </c>
      <c r="B48" s="95"/>
      <c r="C48" s="206"/>
      <c r="D48" s="121"/>
      <c r="E48" s="226">
        <v>80091.87</v>
      </c>
      <c r="F48" s="383"/>
      <c r="G48" s="123"/>
      <c r="H48" s="7"/>
      <c r="I48" s="12"/>
      <c r="J48" s="12"/>
    </row>
    <row r="49" spans="1:10" s="382" customFormat="1" ht="16.5" hidden="1" thickBot="1">
      <c r="A49" s="50"/>
      <c r="B49" s="95"/>
      <c r="C49" s="159">
        <f>SUM(C38:C48)</f>
        <v>27657736</v>
      </c>
      <c r="D49" s="142"/>
      <c r="E49" s="207">
        <f>SUM(E38:E48)</f>
        <v>889677.7</v>
      </c>
      <c r="F49" s="383"/>
      <c r="G49" s="123"/>
      <c r="H49" s="7"/>
      <c r="I49" s="7"/>
      <c r="J49" s="8"/>
    </row>
    <row r="50" spans="1:10" s="382" customFormat="1" ht="16.5" hidden="1" thickTop="1">
      <c r="A50" s="50"/>
      <c r="B50" s="95"/>
      <c r="C50" s="224">
        <v>27657736</v>
      </c>
      <c r="D50" s="142" t="s">
        <v>161</v>
      </c>
      <c r="E50" s="156">
        <f>E33</f>
        <v>93.050034091807902</v>
      </c>
      <c r="F50" s="383"/>
      <c r="G50" s="11"/>
      <c r="H50" s="7"/>
      <c r="I50" s="8"/>
      <c r="J50" s="7"/>
    </row>
    <row r="51" spans="1:10" s="382" customFormat="1" ht="16.5" hidden="1" thickBot="1">
      <c r="A51" s="50"/>
      <c r="B51" s="95"/>
      <c r="C51" s="230">
        <f>C50-C49</f>
        <v>0</v>
      </c>
      <c r="D51" s="142"/>
      <c r="E51" s="160">
        <f>SUM(E49:E50)</f>
        <v>889770.75003409176</v>
      </c>
      <c r="F51" s="383"/>
      <c r="G51" s="65" t="s">
        <v>158</v>
      </c>
      <c r="H51" s="7"/>
      <c r="I51" s="7"/>
      <c r="J51" s="7"/>
    </row>
    <row r="52" spans="1:10" s="382" customFormat="1" ht="16.5" hidden="1" thickTop="1">
      <c r="A52" s="383"/>
      <c r="B52" s="383"/>
      <c r="C52" s="383"/>
      <c r="D52" s="142" t="s">
        <v>87</v>
      </c>
      <c r="E52" s="50">
        <f>E51+E32</f>
        <v>-3529937.6099659083</v>
      </c>
      <c r="F52" s="383"/>
      <c r="G52" s="8">
        <f>(E31*(D53/12))+(E51*(D53/24))</f>
        <v>-10764.893573819838</v>
      </c>
      <c r="H52" s="396"/>
      <c r="I52" s="396"/>
      <c r="J52" s="7"/>
    </row>
    <row r="53" spans="1:10" s="382" customFormat="1" ht="15.75" hidden="1">
      <c r="A53" s="383"/>
      <c r="B53" s="383"/>
      <c r="C53" s="50" t="s">
        <v>57</v>
      </c>
      <c r="D53" s="225">
        <v>3.2500000000000001E-2</v>
      </c>
      <c r="E53" s="119">
        <f>ROUND(((E31)+(SUM(E51))/2)*(D53/12),2)</f>
        <v>-10764.89</v>
      </c>
      <c r="F53" s="383"/>
      <c r="G53" s="8"/>
      <c r="H53" s="7"/>
      <c r="I53" s="12"/>
      <c r="J53" s="12"/>
    </row>
    <row r="54" spans="1:10" s="382" customFormat="1" ht="15.75" hidden="1">
      <c r="A54" s="383"/>
      <c r="B54" s="383"/>
      <c r="C54" s="50" t="s">
        <v>1</v>
      </c>
      <c r="D54" s="90">
        <f>A36</f>
        <v>41274</v>
      </c>
      <c r="E54" s="50">
        <f>SUM(E52:E53)</f>
        <v>-3540702.4999659085</v>
      </c>
      <c r="F54" s="383"/>
      <c r="G54" s="245"/>
    </row>
    <row r="55" spans="1:10" s="329" customFormat="1" ht="15.75" hidden="1" thickBot="1"/>
    <row r="56" spans="1:10" ht="15.75" hidden="1">
      <c r="A56" s="73" t="s">
        <v>141</v>
      </c>
      <c r="B56" s="78"/>
      <c r="C56" s="79"/>
      <c r="D56" s="80"/>
      <c r="E56" s="81"/>
      <c r="F56" s="382"/>
      <c r="G56" s="5"/>
      <c r="H56" s="5"/>
      <c r="I56" s="48"/>
      <c r="J56" s="48"/>
    </row>
    <row r="57" spans="1:10" ht="15.75" hidden="1">
      <c r="A57" s="219">
        <v>41305</v>
      </c>
      <c r="B57" s="137"/>
      <c r="C57" s="11"/>
      <c r="D57" s="138"/>
      <c r="E57" s="77"/>
      <c r="F57" s="382"/>
      <c r="G57" s="5"/>
      <c r="H57" s="5"/>
      <c r="I57" s="48"/>
      <c r="J57" s="48"/>
    </row>
    <row r="58" spans="1:10" ht="16.5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3"/>
      <c r="G58" s="383"/>
      <c r="H58" s="383"/>
      <c r="I58" s="383"/>
      <c r="J58" s="383"/>
    </row>
    <row r="59" spans="1:10" ht="15.75" hidden="1">
      <c r="A59" s="50" t="s">
        <v>24</v>
      </c>
      <c r="B59" s="95">
        <v>101</v>
      </c>
      <c r="C59" s="206">
        <v>22136409</v>
      </c>
      <c r="D59" s="387">
        <v>3.3950000000000001E-2</v>
      </c>
      <c r="E59" s="168">
        <f>C59*D59</f>
        <v>751531.08555000008</v>
      </c>
      <c r="F59" s="383"/>
      <c r="G59" s="383"/>
      <c r="H59" s="383"/>
      <c r="I59" s="383"/>
      <c r="J59" s="383"/>
    </row>
    <row r="60" spans="1:10" ht="16.5" hidden="1" thickBot="1">
      <c r="A60" s="50" t="s">
        <v>24</v>
      </c>
      <c r="B60" s="95">
        <v>111</v>
      </c>
      <c r="C60" s="206">
        <v>7525225</v>
      </c>
      <c r="D60" s="387">
        <v>3.0599999999999999E-2</v>
      </c>
      <c r="E60" s="168">
        <f>C60*D60</f>
        <v>230271.88499999998</v>
      </c>
      <c r="F60" s="383"/>
      <c r="G60" s="123">
        <f>A57</f>
        <v>41305</v>
      </c>
      <c r="H60" s="383"/>
      <c r="I60" s="383"/>
      <c r="J60" s="383"/>
    </row>
    <row r="61" spans="1:10" ht="16.5" hidden="1" thickBot="1">
      <c r="A61" s="50" t="s">
        <v>24</v>
      </c>
      <c r="B61" s="95">
        <v>112</v>
      </c>
      <c r="C61" s="206">
        <v>0</v>
      </c>
      <c r="D61" s="387"/>
      <c r="E61" s="168">
        <f t="shared" ref="E61:E68" si="2">C61*D61</f>
        <v>0</v>
      </c>
      <c r="F61" s="383"/>
      <c r="G61" s="113" t="s">
        <v>25</v>
      </c>
      <c r="H61" s="205"/>
      <c r="I61" s="126" t="s">
        <v>18</v>
      </c>
      <c r="J61" s="126" t="s">
        <v>19</v>
      </c>
    </row>
    <row r="62" spans="1:10" ht="15.75" hidden="1">
      <c r="A62" s="50" t="s">
        <v>24</v>
      </c>
      <c r="B62" s="95">
        <v>121</v>
      </c>
      <c r="C62" s="206">
        <v>606431</v>
      </c>
      <c r="D62" s="387">
        <v>2.998E-2</v>
      </c>
      <c r="E62" s="168">
        <f>C62*D62</f>
        <v>18180.801380000001</v>
      </c>
      <c r="F62" s="383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75" hidden="1">
      <c r="A63" s="50" t="s">
        <v>24</v>
      </c>
      <c r="B63" s="95">
        <v>122</v>
      </c>
      <c r="C63" s="206">
        <v>0</v>
      </c>
      <c r="D63" s="387"/>
      <c r="E63" s="168">
        <f t="shared" si="2"/>
        <v>0</v>
      </c>
      <c r="F63" s="383"/>
      <c r="G63" s="153" t="s">
        <v>29</v>
      </c>
      <c r="H63" s="7" t="s">
        <v>76</v>
      </c>
      <c r="I63" s="7">
        <f>IF(-E74&gt;0,-E74,0)</f>
        <v>8235.26</v>
      </c>
      <c r="J63" s="223"/>
    </row>
    <row r="64" spans="1:10" ht="15.75" hidden="1">
      <c r="A64" s="50" t="s">
        <v>24</v>
      </c>
      <c r="B64" s="95">
        <v>131</v>
      </c>
      <c r="C64" s="206">
        <v>0</v>
      </c>
      <c r="D64" s="387">
        <v>5.7389999999999997E-2</v>
      </c>
      <c r="E64" s="168">
        <f t="shared" si="2"/>
        <v>0</v>
      </c>
      <c r="F64" s="383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75" hidden="1">
      <c r="A65" s="50" t="s">
        <v>24</v>
      </c>
      <c r="B65" s="95">
        <v>132</v>
      </c>
      <c r="C65" s="206">
        <v>0</v>
      </c>
      <c r="D65" s="387"/>
      <c r="E65" s="168">
        <f t="shared" si="2"/>
        <v>0</v>
      </c>
      <c r="F65" s="383"/>
      <c r="G65" s="153" t="s">
        <v>10</v>
      </c>
      <c r="H65" s="7" t="s">
        <v>17</v>
      </c>
      <c r="I65" s="7">
        <v>0</v>
      </c>
      <c r="J65" s="98"/>
    </row>
    <row r="66" spans="1:10" ht="16.5" hidden="1" thickBot="1">
      <c r="A66" s="50" t="s">
        <v>24</v>
      </c>
      <c r="B66" s="95">
        <v>146</v>
      </c>
      <c r="C66" s="206">
        <v>3682356</v>
      </c>
      <c r="D66" s="238"/>
      <c r="E66" s="168">
        <f t="shared" si="2"/>
        <v>0</v>
      </c>
      <c r="F66" s="383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75" hidden="1">
      <c r="A67" s="50" t="s">
        <v>151</v>
      </c>
      <c r="B67" s="95"/>
      <c r="C67" s="206"/>
      <c r="D67" s="121"/>
      <c r="E67" s="168">
        <f t="shared" si="2"/>
        <v>0</v>
      </c>
      <c r="F67" s="383"/>
      <c r="G67" s="681"/>
      <c r="H67" s="681"/>
      <c r="I67" s="681"/>
      <c r="J67" s="336">
        <f>SUM(I62:J66)</f>
        <v>0</v>
      </c>
    </row>
    <row r="68" spans="1:10" ht="15.75" hidden="1">
      <c r="A68" s="141" t="s">
        <v>143</v>
      </c>
      <c r="B68" s="95">
        <v>146</v>
      </c>
      <c r="C68" s="206"/>
      <c r="D68" s="121"/>
      <c r="E68" s="168">
        <f t="shared" si="2"/>
        <v>0</v>
      </c>
      <c r="F68" s="383"/>
      <c r="G68" s="682"/>
      <c r="H68" s="682"/>
      <c r="I68" s="682"/>
      <c r="J68" s="7"/>
    </row>
    <row r="69" spans="1:10" ht="15.75" hidden="1">
      <c r="A69" s="141" t="s">
        <v>105</v>
      </c>
      <c r="B69" s="95"/>
      <c r="C69" s="206"/>
      <c r="D69" s="121"/>
      <c r="E69" s="226">
        <v>0</v>
      </c>
      <c r="F69" s="383"/>
      <c r="G69" s="682"/>
      <c r="H69" s="682"/>
      <c r="I69" s="682"/>
      <c r="J69" s="12"/>
    </row>
    <row r="70" spans="1:10" ht="16.5" hidden="1" thickBot="1">
      <c r="A70" s="50"/>
      <c r="B70" s="95"/>
      <c r="C70" s="159">
        <f>SUM(C59:C69)</f>
        <v>33950421</v>
      </c>
      <c r="D70" s="142"/>
      <c r="E70" s="207">
        <f>SUM(E59:E69)</f>
        <v>999983.77193000005</v>
      </c>
      <c r="F70" s="383"/>
      <c r="G70" s="682"/>
      <c r="H70" s="682"/>
      <c r="I70" s="682"/>
      <c r="J70" s="8"/>
    </row>
    <row r="71" spans="1:10" ht="16.5" hidden="1" thickTop="1">
      <c r="A71" s="50"/>
      <c r="B71" s="95"/>
      <c r="C71" s="224">
        <v>33950421</v>
      </c>
      <c r="D71" s="142" t="s">
        <v>161</v>
      </c>
      <c r="E71" s="156">
        <v>0</v>
      </c>
      <c r="F71" s="383"/>
      <c r="G71" s="11"/>
      <c r="H71" s="7"/>
      <c r="I71" s="8"/>
      <c r="J71" s="7"/>
    </row>
    <row r="72" spans="1:10" ht="16.5" hidden="1" thickBot="1">
      <c r="A72" s="50"/>
      <c r="B72" s="95"/>
      <c r="C72" s="230">
        <f>C71-C70</f>
        <v>0</v>
      </c>
      <c r="D72" s="142"/>
      <c r="E72" s="160">
        <f>SUM(E70:E71)</f>
        <v>999983.77193000005</v>
      </c>
      <c r="F72" s="383"/>
      <c r="G72" s="65" t="s">
        <v>158</v>
      </c>
      <c r="H72" s="7"/>
      <c r="I72" s="7"/>
      <c r="J72" s="7"/>
    </row>
    <row r="73" spans="1:10" ht="16.5" hidden="1" thickTop="1">
      <c r="A73" s="383"/>
      <c r="B73" s="383"/>
      <c r="C73" s="383"/>
      <c r="D73" s="142" t="s">
        <v>87</v>
      </c>
      <c r="E73" s="50">
        <f>E72+E54</f>
        <v>-2540718.7280359082</v>
      </c>
      <c r="F73" s="383"/>
      <c r="G73" s="8">
        <f>(E54*(D74/12))+(E72*(D74/24))</f>
        <v>-8235.2579129191272</v>
      </c>
      <c r="H73" s="444"/>
      <c r="I73" s="444"/>
      <c r="J73" s="7"/>
    </row>
    <row r="74" spans="1:10" ht="15.75" hidden="1">
      <c r="A74" s="383"/>
      <c r="B74" s="383"/>
      <c r="C74" s="50" t="s">
        <v>57</v>
      </c>
      <c r="D74" s="225">
        <v>3.2500000000000001E-2</v>
      </c>
      <c r="E74" s="119">
        <f>ROUND(((E54)+(SUM(E72))/2)*(D74/12),2)</f>
        <v>-8235.26</v>
      </c>
      <c r="F74" s="383"/>
      <c r="G74" s="8"/>
      <c r="H74" s="7"/>
      <c r="I74" s="12"/>
      <c r="J74" s="12"/>
    </row>
    <row r="75" spans="1:10" ht="15.75" hidden="1">
      <c r="A75" s="383"/>
      <c r="B75" s="383"/>
      <c r="C75" s="50" t="s">
        <v>1</v>
      </c>
      <c r="D75" s="90">
        <f>A57</f>
        <v>41305</v>
      </c>
      <c r="E75" s="50">
        <f>SUM(E73:E74)</f>
        <v>-2548953.988035908</v>
      </c>
      <c r="F75" s="383"/>
      <c r="G75" s="245"/>
      <c r="H75" s="382"/>
      <c r="I75" s="382"/>
      <c r="J75" s="382"/>
    </row>
    <row r="76" spans="1:10" s="382" customFormat="1" ht="15.75" hidden="1" thickBot="1"/>
    <row r="77" spans="1:10" s="382" customFormat="1" ht="15.75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2" customFormat="1" ht="15.75" hidden="1">
      <c r="A78" s="219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2" customFormat="1" ht="16.5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3"/>
      <c r="G79" s="383"/>
      <c r="H79" s="383"/>
      <c r="I79" s="383"/>
      <c r="J79" s="383"/>
    </row>
    <row r="80" spans="1:10" s="382" customFormat="1" ht="15.75" hidden="1">
      <c r="A80" s="50" t="s">
        <v>24</v>
      </c>
      <c r="B80" s="95">
        <v>101</v>
      </c>
      <c r="C80" s="206">
        <v>16585315</v>
      </c>
      <c r="D80" s="387">
        <v>3.3950000000000001E-2</v>
      </c>
      <c r="E80" s="168">
        <v>563071.44425000006</v>
      </c>
      <c r="F80" s="383"/>
      <c r="G80" s="383"/>
      <c r="H80" s="383"/>
      <c r="I80" s="383"/>
      <c r="J80" s="383"/>
    </row>
    <row r="81" spans="1:10" s="382" customFormat="1" ht="16.5" hidden="1" thickBot="1">
      <c r="A81" s="50" t="s">
        <v>24</v>
      </c>
      <c r="B81" s="95">
        <v>111</v>
      </c>
      <c r="C81" s="206">
        <v>5716465</v>
      </c>
      <c r="D81" s="387">
        <v>3.0599999999999999E-2</v>
      </c>
      <c r="E81" s="168">
        <v>174923.829</v>
      </c>
      <c r="F81" s="383"/>
      <c r="G81" s="123">
        <f>A78</f>
        <v>41333</v>
      </c>
      <c r="H81" s="383"/>
      <c r="I81" s="383"/>
      <c r="J81" s="383"/>
    </row>
    <row r="82" spans="1:10" s="382" customFormat="1" ht="16.5" hidden="1" thickBot="1">
      <c r="A82" s="50" t="s">
        <v>24</v>
      </c>
      <c r="B82" s="95">
        <v>112</v>
      </c>
      <c r="C82" s="206">
        <v>0</v>
      </c>
      <c r="D82" s="387"/>
      <c r="E82" s="168">
        <v>0</v>
      </c>
      <c r="F82" s="383"/>
      <c r="G82" s="113" t="s">
        <v>25</v>
      </c>
      <c r="H82" s="205"/>
      <c r="I82" s="126" t="s">
        <v>18</v>
      </c>
      <c r="J82" s="126" t="s">
        <v>19</v>
      </c>
    </row>
    <row r="83" spans="1:10" s="382" customFormat="1" ht="15.75" hidden="1">
      <c r="A83" s="50" t="s">
        <v>24</v>
      </c>
      <c r="B83" s="95">
        <v>121</v>
      </c>
      <c r="C83" s="206">
        <v>416479</v>
      </c>
      <c r="D83" s="387">
        <v>2.998E-2</v>
      </c>
      <c r="E83" s="168">
        <v>12486.040419999999</v>
      </c>
      <c r="F83" s="383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2" customFormat="1" ht="15.75" hidden="1">
      <c r="A84" s="50" t="s">
        <v>24</v>
      </c>
      <c r="B84" s="95">
        <v>122</v>
      </c>
      <c r="C84" s="206">
        <v>0</v>
      </c>
      <c r="D84" s="387"/>
      <c r="E84" s="168">
        <v>0</v>
      </c>
      <c r="F84" s="383"/>
      <c r="G84" s="153" t="s">
        <v>29</v>
      </c>
      <c r="H84" s="7" t="s">
        <v>76</v>
      </c>
      <c r="I84" s="7">
        <f>IF(-E95&gt;0,-E95,0)</f>
        <v>5887.14</v>
      </c>
      <c r="J84" s="223"/>
    </row>
    <row r="85" spans="1:10" s="382" customFormat="1" ht="15.75" hidden="1">
      <c r="A85" s="50" t="s">
        <v>24</v>
      </c>
      <c r="B85" s="95">
        <v>131</v>
      </c>
      <c r="C85" s="206">
        <v>0</v>
      </c>
      <c r="D85" s="387">
        <v>5.7389999999999997E-2</v>
      </c>
      <c r="E85" s="168">
        <v>0</v>
      </c>
      <c r="F85" s="383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2" customFormat="1" ht="15.75" hidden="1">
      <c r="A86" s="50" t="s">
        <v>24</v>
      </c>
      <c r="B86" s="95">
        <v>132</v>
      </c>
      <c r="C86" s="206">
        <v>0</v>
      </c>
      <c r="D86" s="387"/>
      <c r="E86" s="168">
        <v>0</v>
      </c>
      <c r="F86" s="383"/>
      <c r="G86" s="153" t="s">
        <v>10</v>
      </c>
      <c r="H86" s="7" t="s">
        <v>17</v>
      </c>
      <c r="I86" s="7">
        <v>0</v>
      </c>
      <c r="J86" s="98"/>
    </row>
    <row r="87" spans="1:10" s="382" customFormat="1" ht="16.5" hidden="1" thickBot="1">
      <c r="A87" s="50" t="s">
        <v>24</v>
      </c>
      <c r="B87" s="95">
        <v>146</v>
      </c>
      <c r="C87" s="206">
        <v>2865845</v>
      </c>
      <c r="D87" s="238"/>
      <c r="E87" s="168">
        <v>0</v>
      </c>
      <c r="F87" s="383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2" customFormat="1" ht="15.75" hidden="1">
      <c r="A88" s="50" t="s">
        <v>151</v>
      </c>
      <c r="B88" s="95"/>
      <c r="C88" s="206"/>
      <c r="D88" s="121"/>
      <c r="E88" s="168">
        <v>0</v>
      </c>
      <c r="F88" s="383"/>
      <c r="G88" s="383"/>
      <c r="H88" s="383"/>
      <c r="I88" s="383"/>
      <c r="J88" s="336">
        <f>SUM(I83:J87)</f>
        <v>0</v>
      </c>
    </row>
    <row r="89" spans="1:10" s="382" customFormat="1" ht="15.75" hidden="1">
      <c r="A89" s="141" t="s">
        <v>143</v>
      </c>
      <c r="B89" s="95">
        <v>146</v>
      </c>
      <c r="C89" s="206"/>
      <c r="D89" s="121"/>
      <c r="E89" s="168">
        <v>0</v>
      </c>
      <c r="F89" s="383"/>
      <c r="G89" s="123"/>
      <c r="H89" s="7"/>
      <c r="I89" s="7"/>
      <c r="J89" s="7"/>
    </row>
    <row r="90" spans="1:10" s="382" customFormat="1" ht="15.75" hidden="1">
      <c r="A90" s="141" t="s">
        <v>105</v>
      </c>
      <c r="B90" s="95"/>
      <c r="C90" s="206"/>
      <c r="D90" s="121"/>
      <c r="E90" s="226">
        <v>0</v>
      </c>
      <c r="F90" s="383"/>
      <c r="G90" s="123"/>
      <c r="H90" s="7"/>
      <c r="I90" s="12"/>
      <c r="J90" s="12"/>
    </row>
    <row r="91" spans="1:10" s="382" customFormat="1" ht="16.5" hidden="1" thickBot="1">
      <c r="A91" s="50"/>
      <c r="B91" s="95"/>
      <c r="C91" s="159">
        <f>SUM(C80:C90)</f>
        <v>25584104</v>
      </c>
      <c r="D91" s="142"/>
      <c r="E91" s="207">
        <f>SUM(E80:E90)</f>
        <v>750481.31367000006</v>
      </c>
      <c r="F91" s="383"/>
      <c r="G91" s="123"/>
      <c r="H91" s="7"/>
      <c r="I91" s="7"/>
      <c r="J91" s="8"/>
    </row>
    <row r="92" spans="1:10" s="382" customFormat="1" ht="16.5" hidden="1" thickTop="1">
      <c r="A92" s="50"/>
      <c r="B92" s="95"/>
      <c r="C92" s="224">
        <v>25584104</v>
      </c>
      <c r="D92" s="142" t="s">
        <v>161</v>
      </c>
      <c r="E92" s="156">
        <v>0</v>
      </c>
      <c r="F92" s="383"/>
      <c r="G92" s="11"/>
      <c r="H92" s="7"/>
      <c r="I92" s="8"/>
      <c r="J92" s="7"/>
    </row>
    <row r="93" spans="1:10" s="382" customFormat="1" ht="16.5" hidden="1" thickBot="1">
      <c r="A93" s="50"/>
      <c r="B93" s="95"/>
      <c r="C93" s="230">
        <f>C92-C91</f>
        <v>0</v>
      </c>
      <c r="D93" s="142"/>
      <c r="E93" s="160">
        <f>SUM(E91:E92)</f>
        <v>750481.31367000006</v>
      </c>
      <c r="F93" s="383"/>
      <c r="G93" s="65" t="s">
        <v>158</v>
      </c>
      <c r="H93" s="7"/>
      <c r="I93" s="7"/>
      <c r="J93" s="7"/>
    </row>
    <row r="94" spans="1:10" s="382" customFormat="1" ht="16.5" hidden="1" thickTop="1">
      <c r="A94" s="383"/>
      <c r="B94" s="383"/>
      <c r="C94" s="383"/>
      <c r="D94" s="142" t="s">
        <v>87</v>
      </c>
      <c r="E94" s="50">
        <f>E93+E75</f>
        <v>-1798472.6743659079</v>
      </c>
      <c r="F94" s="383"/>
      <c r="G94" s="8">
        <f>(E75*(D95/12))+(E93*(D95/24))</f>
        <v>-5887.1402720024589</v>
      </c>
      <c r="H94" s="446"/>
      <c r="I94" s="446"/>
      <c r="J94" s="7"/>
    </row>
    <row r="95" spans="1:10" s="382" customFormat="1" ht="15.75" hidden="1">
      <c r="A95" s="383"/>
      <c r="B95" s="383"/>
      <c r="C95" s="50" t="s">
        <v>57</v>
      </c>
      <c r="D95" s="225">
        <v>3.2500000000000001E-2</v>
      </c>
      <c r="E95" s="119">
        <f>ROUND(((E75)+(SUM(E93))/2)*(D95/12),2)</f>
        <v>-5887.14</v>
      </c>
      <c r="F95" s="383"/>
      <c r="G95" s="8"/>
      <c r="H95" s="7"/>
      <c r="I95" s="12"/>
      <c r="J95" s="12"/>
    </row>
    <row r="96" spans="1:10" s="382" customFormat="1" ht="15.75" hidden="1">
      <c r="A96" s="383"/>
      <c r="B96" s="383"/>
      <c r="C96" s="50" t="s">
        <v>1</v>
      </c>
      <c r="D96" s="90">
        <f>A78</f>
        <v>41333</v>
      </c>
      <c r="E96" s="50">
        <f>SUM(E94:E95)</f>
        <v>-1804359.8143659078</v>
      </c>
      <c r="F96" s="383"/>
      <c r="G96" s="245"/>
    </row>
    <row r="97" spans="1:10" s="382" customFormat="1" ht="15.75" hidden="1" thickBot="1"/>
    <row r="98" spans="1:10" s="382" customFormat="1" ht="15.75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2" customFormat="1" ht="15.75" hidden="1">
      <c r="A99" s="219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2" customFormat="1" ht="16.5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3"/>
      <c r="G100" s="383"/>
      <c r="H100" s="383"/>
      <c r="I100" s="383"/>
      <c r="J100" s="383"/>
    </row>
    <row r="101" spans="1:10" s="382" customFormat="1" ht="15.75" hidden="1">
      <c r="A101" s="50" t="s">
        <v>24</v>
      </c>
      <c r="B101" s="95">
        <v>101</v>
      </c>
      <c r="C101" s="206">
        <v>12776328</v>
      </c>
      <c r="D101" s="387">
        <v>3.3950000000000001E-2</v>
      </c>
      <c r="E101" s="168">
        <v>433756.33559999999</v>
      </c>
      <c r="F101" s="383"/>
      <c r="G101" s="383"/>
      <c r="H101" s="383"/>
      <c r="I101" s="383"/>
      <c r="J101" s="383"/>
    </row>
    <row r="102" spans="1:10" s="382" customFormat="1" ht="16.5" hidden="1" thickBot="1">
      <c r="A102" s="50" t="s">
        <v>24</v>
      </c>
      <c r="B102" s="95">
        <v>111</v>
      </c>
      <c r="C102" s="206">
        <v>4890087</v>
      </c>
      <c r="D102" s="387">
        <v>3.0599999999999999E-2</v>
      </c>
      <c r="E102" s="168">
        <v>149636.66219999999</v>
      </c>
      <c r="F102" s="383"/>
      <c r="G102" s="123">
        <f>A99</f>
        <v>41364</v>
      </c>
      <c r="H102" s="383"/>
      <c r="I102" s="383"/>
      <c r="J102" s="383"/>
    </row>
    <row r="103" spans="1:10" s="382" customFormat="1" ht="16.5" hidden="1" thickBot="1">
      <c r="A103" s="50" t="s">
        <v>24</v>
      </c>
      <c r="B103" s="95">
        <v>112</v>
      </c>
      <c r="C103" s="206">
        <v>0</v>
      </c>
      <c r="D103" s="387"/>
      <c r="E103" s="168">
        <v>0</v>
      </c>
      <c r="F103" s="383"/>
      <c r="G103" s="113" t="s">
        <v>25</v>
      </c>
      <c r="H103" s="205"/>
      <c r="I103" s="126" t="s">
        <v>18</v>
      </c>
      <c r="J103" s="126" t="s">
        <v>19</v>
      </c>
    </row>
    <row r="104" spans="1:10" s="382" customFormat="1" ht="15.75" hidden="1">
      <c r="A104" s="50" t="s">
        <v>24</v>
      </c>
      <c r="B104" s="95">
        <v>121</v>
      </c>
      <c r="C104" s="206">
        <v>526218</v>
      </c>
      <c r="D104" s="387">
        <v>2.998E-2</v>
      </c>
      <c r="E104" s="168">
        <v>15776.01564</v>
      </c>
      <c r="F104" s="383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2" customFormat="1" ht="15.75" hidden="1">
      <c r="A105" s="50" t="s">
        <v>24</v>
      </c>
      <c r="B105" s="95">
        <v>122</v>
      </c>
      <c r="C105" s="206">
        <v>0</v>
      </c>
      <c r="D105" s="387"/>
      <c r="E105" s="168">
        <v>0</v>
      </c>
      <c r="F105" s="383"/>
      <c r="G105" s="153" t="s">
        <v>29</v>
      </c>
      <c r="H105" s="7" t="s">
        <v>76</v>
      </c>
      <c r="I105" s="7">
        <f>IF(-E116&gt;0,-E116,0)</f>
        <v>4075.43</v>
      </c>
      <c r="J105" s="223"/>
    </row>
    <row r="106" spans="1:10" s="382" customFormat="1" ht="15.75" hidden="1">
      <c r="A106" s="50" t="s">
        <v>24</v>
      </c>
      <c r="B106" s="95">
        <v>131</v>
      </c>
      <c r="C106" s="206">
        <v>0</v>
      </c>
      <c r="D106" s="387">
        <v>5.7389999999999997E-2</v>
      </c>
      <c r="E106" s="168">
        <v>0</v>
      </c>
      <c r="F106" s="383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2" customFormat="1" ht="15.75" hidden="1">
      <c r="A107" s="50" t="s">
        <v>24</v>
      </c>
      <c r="B107" s="95">
        <v>132</v>
      </c>
      <c r="C107" s="206">
        <v>0</v>
      </c>
      <c r="D107" s="387"/>
      <c r="E107" s="168">
        <v>0</v>
      </c>
      <c r="F107" s="383"/>
      <c r="G107" s="153" t="s">
        <v>10</v>
      </c>
      <c r="H107" s="7" t="s">
        <v>17</v>
      </c>
      <c r="I107" s="7">
        <v>0</v>
      </c>
      <c r="J107" s="98"/>
    </row>
    <row r="108" spans="1:10" s="382" customFormat="1" ht="16.5" hidden="1" thickBot="1">
      <c r="A108" s="50" t="s">
        <v>24</v>
      </c>
      <c r="B108" s="95">
        <v>146</v>
      </c>
      <c r="C108" s="206">
        <v>2772085</v>
      </c>
      <c r="D108" s="238"/>
      <c r="E108" s="168">
        <v>0</v>
      </c>
      <c r="F108" s="383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2" customFormat="1" ht="15.75" hidden="1">
      <c r="A109" s="50" t="s">
        <v>151</v>
      </c>
      <c r="B109" s="95"/>
      <c r="C109" s="206"/>
      <c r="D109" s="121"/>
      <c r="E109" s="168">
        <v>0</v>
      </c>
      <c r="F109" s="383"/>
      <c r="G109" s="383"/>
      <c r="H109" s="383"/>
      <c r="I109" s="383"/>
      <c r="J109" s="336">
        <f>SUM(I104:J108)</f>
        <v>0</v>
      </c>
    </row>
    <row r="110" spans="1:10" s="382" customFormat="1" ht="15.75" hidden="1">
      <c r="A110" s="141" t="s">
        <v>143</v>
      </c>
      <c r="B110" s="95">
        <v>146</v>
      </c>
      <c r="C110" s="206"/>
      <c r="D110" s="121"/>
      <c r="E110" s="168">
        <v>0</v>
      </c>
      <c r="F110" s="383"/>
      <c r="G110" s="123"/>
      <c r="H110" s="7"/>
      <c r="I110" s="7"/>
      <c r="J110" s="7"/>
    </row>
    <row r="111" spans="1:10" s="382" customFormat="1" ht="15.75" hidden="1">
      <c r="A111" s="141" t="s">
        <v>105</v>
      </c>
      <c r="B111" s="95"/>
      <c r="C111" s="206"/>
      <c r="D111" s="121"/>
      <c r="E111" s="226">
        <v>0</v>
      </c>
      <c r="F111" s="383"/>
      <c r="G111" s="123"/>
      <c r="H111" s="7"/>
      <c r="I111" s="12"/>
      <c r="J111" s="12"/>
    </row>
    <row r="112" spans="1:10" s="382" customFormat="1" ht="16.5" hidden="1" thickBot="1">
      <c r="A112" s="50"/>
      <c r="B112" s="95"/>
      <c r="C112" s="159">
        <f>SUM(C101:C111)</f>
        <v>20964718</v>
      </c>
      <c r="D112" s="142"/>
      <c r="E112" s="207">
        <f>SUM(E101:E111)</f>
        <v>599169.01344000001</v>
      </c>
      <c r="F112" s="383"/>
      <c r="G112" s="123"/>
      <c r="H112" s="7"/>
      <c r="I112" s="7"/>
      <c r="J112" s="8"/>
    </row>
    <row r="113" spans="1:10" s="382" customFormat="1" ht="16.5" hidden="1" thickTop="1">
      <c r="A113" s="50"/>
      <c r="B113" s="95"/>
      <c r="C113" s="224">
        <v>20964718</v>
      </c>
      <c r="D113" s="142" t="s">
        <v>161</v>
      </c>
      <c r="E113" s="156">
        <v>0</v>
      </c>
      <c r="F113" s="383"/>
      <c r="G113" s="11"/>
      <c r="H113" s="7"/>
      <c r="I113" s="8"/>
      <c r="J113" s="7"/>
    </row>
    <row r="114" spans="1:10" s="382" customFormat="1" ht="16.5" hidden="1" thickBot="1">
      <c r="A114" s="50"/>
      <c r="B114" s="95"/>
      <c r="C114" s="230">
        <f>C113-C112</f>
        <v>0</v>
      </c>
      <c r="D114" s="142"/>
      <c r="E114" s="160">
        <f>SUM(E112:E113)</f>
        <v>599169.01344000001</v>
      </c>
      <c r="F114" s="383"/>
      <c r="G114" s="65" t="s">
        <v>158</v>
      </c>
      <c r="H114" s="7"/>
      <c r="I114" s="7"/>
      <c r="J114" s="7"/>
    </row>
    <row r="115" spans="1:10" s="382" customFormat="1" ht="16.5" hidden="1" thickTop="1">
      <c r="A115" s="383"/>
      <c r="B115" s="383"/>
      <c r="C115" s="383"/>
      <c r="D115" s="142" t="s">
        <v>87</v>
      </c>
      <c r="E115" s="50">
        <f>E114+E96</f>
        <v>-1205190.8009259077</v>
      </c>
      <c r="F115" s="383"/>
      <c r="G115" s="8">
        <f>(E96*(D116/12))+(E114*(D116/24))</f>
        <v>-4075.4331248743338</v>
      </c>
      <c r="H115" s="448"/>
      <c r="I115" s="448"/>
      <c r="J115" s="7"/>
    </row>
    <row r="116" spans="1:10" s="382" customFormat="1" ht="15.75" hidden="1">
      <c r="A116" s="383"/>
      <c r="B116" s="383"/>
      <c r="C116" s="50" t="s">
        <v>57</v>
      </c>
      <c r="D116" s="225">
        <v>3.2500000000000001E-2</v>
      </c>
      <c r="E116" s="119">
        <f>ROUND(((E96)+(SUM(E114))/2)*(D116/12),2)</f>
        <v>-4075.43</v>
      </c>
      <c r="F116" s="383"/>
      <c r="G116" s="8"/>
      <c r="H116" s="7"/>
      <c r="I116" s="12"/>
      <c r="J116" s="12"/>
    </row>
    <row r="117" spans="1:10" s="382" customFormat="1" ht="15.75" hidden="1">
      <c r="A117" s="383"/>
      <c r="B117" s="383"/>
      <c r="C117" s="50" t="s">
        <v>1</v>
      </c>
      <c r="D117" s="90">
        <f>A99</f>
        <v>41364</v>
      </c>
      <c r="E117" s="50">
        <f>SUM(E115:E116)</f>
        <v>-1209266.2309259076</v>
      </c>
      <c r="F117" s="383"/>
      <c r="G117" s="245"/>
    </row>
    <row r="118" spans="1:10" s="382" customFormat="1" ht="15.75" hidden="1" thickBot="1"/>
    <row r="119" spans="1:10" s="382" customFormat="1" ht="15.75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2" customFormat="1" ht="15.75" hidden="1">
      <c r="A120" s="219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2" customFormat="1" ht="16.5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3"/>
      <c r="G121" s="383"/>
      <c r="H121" s="383"/>
      <c r="I121" s="383"/>
      <c r="J121" s="383"/>
    </row>
    <row r="122" spans="1:10" s="382" customFormat="1" ht="15.75" hidden="1">
      <c r="A122" s="50" t="s">
        <v>24</v>
      </c>
      <c r="B122" s="95">
        <v>101</v>
      </c>
      <c r="C122" s="206">
        <v>8689955</v>
      </c>
      <c r="D122" s="387">
        <v>3.3950000000000001E-2</v>
      </c>
      <c r="E122" s="168">
        <v>295023.97224999999</v>
      </c>
      <c r="F122" s="383"/>
      <c r="G122" s="383"/>
      <c r="H122" s="383"/>
      <c r="I122" s="383"/>
      <c r="J122" s="383"/>
    </row>
    <row r="123" spans="1:10" s="382" customFormat="1" ht="16.5" hidden="1" thickBot="1">
      <c r="A123" s="50" t="s">
        <v>24</v>
      </c>
      <c r="B123" s="95">
        <v>111</v>
      </c>
      <c r="C123" s="206">
        <v>3665435</v>
      </c>
      <c r="D123" s="387">
        <v>3.0599999999999999E-2</v>
      </c>
      <c r="E123" s="168">
        <v>112162.311</v>
      </c>
      <c r="F123" s="383"/>
      <c r="G123" s="123">
        <f>A120</f>
        <v>41394</v>
      </c>
      <c r="H123" s="383"/>
      <c r="I123" s="383"/>
      <c r="J123" s="383"/>
    </row>
    <row r="124" spans="1:10" s="382" customFormat="1" ht="16.5" hidden="1" thickBot="1">
      <c r="A124" s="50" t="s">
        <v>24</v>
      </c>
      <c r="B124" s="95">
        <v>112</v>
      </c>
      <c r="C124" s="206">
        <v>0</v>
      </c>
      <c r="D124" s="387"/>
      <c r="E124" s="168">
        <v>0</v>
      </c>
      <c r="F124" s="383"/>
      <c r="G124" s="113" t="s">
        <v>25</v>
      </c>
      <c r="H124" s="205"/>
      <c r="I124" s="126" t="s">
        <v>18</v>
      </c>
      <c r="J124" s="126" t="s">
        <v>19</v>
      </c>
    </row>
    <row r="125" spans="1:10" s="382" customFormat="1" ht="15.75" hidden="1">
      <c r="A125" s="50" t="s">
        <v>24</v>
      </c>
      <c r="B125" s="95">
        <v>121</v>
      </c>
      <c r="C125" s="206">
        <v>375679</v>
      </c>
      <c r="D125" s="387">
        <v>2.998E-2</v>
      </c>
      <c r="E125" s="168">
        <v>11262.85642</v>
      </c>
      <c r="F125" s="383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2" customFormat="1" ht="15.75" hidden="1">
      <c r="A126" s="50" t="s">
        <v>24</v>
      </c>
      <c r="B126" s="95">
        <v>122</v>
      </c>
      <c r="C126" s="206">
        <v>0</v>
      </c>
      <c r="D126" s="387"/>
      <c r="E126" s="168">
        <v>0</v>
      </c>
      <c r="F126" s="383"/>
      <c r="G126" s="153" t="s">
        <v>29</v>
      </c>
      <c r="H126" s="7" t="s">
        <v>76</v>
      </c>
      <c r="I126" s="7">
        <f>IF(-E137&gt;0,-E137,0)</f>
        <v>2708.45</v>
      </c>
      <c r="J126" s="223"/>
    </row>
    <row r="127" spans="1:10" s="382" customFormat="1" ht="15.75" hidden="1">
      <c r="A127" s="50" t="s">
        <v>24</v>
      </c>
      <c r="B127" s="95">
        <v>131</v>
      </c>
      <c r="C127" s="206">
        <v>0</v>
      </c>
      <c r="D127" s="387">
        <v>5.7389999999999997E-2</v>
      </c>
      <c r="E127" s="168">
        <v>0</v>
      </c>
      <c r="F127" s="383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2" customFormat="1" ht="15.75" hidden="1">
      <c r="A128" s="50" t="s">
        <v>24</v>
      </c>
      <c r="B128" s="95">
        <v>132</v>
      </c>
      <c r="C128" s="206">
        <v>0</v>
      </c>
      <c r="D128" s="387"/>
      <c r="E128" s="168">
        <v>0</v>
      </c>
      <c r="F128" s="383"/>
      <c r="G128" s="153" t="s">
        <v>10</v>
      </c>
      <c r="H128" s="7" t="s">
        <v>17</v>
      </c>
      <c r="I128" s="7">
        <v>0</v>
      </c>
      <c r="J128" s="98"/>
    </row>
    <row r="129" spans="1:10" s="382" customFormat="1" ht="16.5" hidden="1" thickBot="1">
      <c r="A129" s="50" t="s">
        <v>24</v>
      </c>
      <c r="B129" s="95">
        <v>146</v>
      </c>
      <c r="C129" s="206">
        <v>2439162</v>
      </c>
      <c r="D129" s="238"/>
      <c r="E129" s="168">
        <v>0</v>
      </c>
      <c r="F129" s="383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2" customFormat="1" ht="15.75" hidden="1">
      <c r="A130" s="50" t="s">
        <v>151</v>
      </c>
      <c r="B130" s="95"/>
      <c r="C130" s="206"/>
      <c r="D130" s="121"/>
      <c r="E130" s="168">
        <v>0</v>
      </c>
      <c r="F130" s="383"/>
      <c r="G130" s="383"/>
      <c r="H130" s="383"/>
      <c r="I130" s="383"/>
      <c r="J130" s="336">
        <f>SUM(I125:J129)</f>
        <v>0</v>
      </c>
    </row>
    <row r="131" spans="1:10" s="382" customFormat="1" ht="15.75" hidden="1">
      <c r="A131" s="141" t="s">
        <v>143</v>
      </c>
      <c r="B131" s="95">
        <v>146</v>
      </c>
      <c r="C131" s="206"/>
      <c r="D131" s="121"/>
      <c r="E131" s="168">
        <v>0</v>
      </c>
      <c r="F131" s="383"/>
      <c r="G131" s="123"/>
      <c r="H131" s="7"/>
      <c r="I131" s="7"/>
      <c r="J131" s="7"/>
    </row>
    <row r="132" spans="1:10" s="382" customFormat="1" ht="15.75" hidden="1">
      <c r="A132" s="141" t="s">
        <v>105</v>
      </c>
      <c r="B132" s="95"/>
      <c r="C132" s="206"/>
      <c r="D132" s="121"/>
      <c r="E132" s="226">
        <v>0</v>
      </c>
      <c r="F132" s="383"/>
      <c r="G132" s="123"/>
      <c r="H132" s="7"/>
      <c r="I132" s="12"/>
      <c r="J132" s="12"/>
    </row>
    <row r="133" spans="1:10" s="382" customFormat="1" ht="16.5" hidden="1" thickBot="1">
      <c r="A133" s="50"/>
      <c r="B133" s="95"/>
      <c r="C133" s="159">
        <f>SUM(C122:C132)</f>
        <v>15170231</v>
      </c>
      <c r="D133" s="142"/>
      <c r="E133" s="207">
        <f>SUM(E122:E132)</f>
        <v>418449.13967</v>
      </c>
      <c r="F133" s="383"/>
      <c r="G133" s="123"/>
      <c r="H133" s="7"/>
      <c r="I133" s="7"/>
      <c r="J133" s="8"/>
    </row>
    <row r="134" spans="1:10" s="382" customFormat="1" ht="16.5" hidden="1" thickTop="1">
      <c r="A134" s="50"/>
      <c r="B134" s="95"/>
      <c r="C134" s="224">
        <v>15170231</v>
      </c>
      <c r="D134" s="142" t="s">
        <v>161</v>
      </c>
      <c r="E134" s="156">
        <v>0</v>
      </c>
      <c r="F134" s="383"/>
      <c r="G134" s="11"/>
      <c r="H134" s="7"/>
      <c r="I134" s="8"/>
      <c r="J134" s="7"/>
    </row>
    <row r="135" spans="1:10" s="382" customFormat="1" ht="16.5" hidden="1" thickBot="1">
      <c r="A135" s="50"/>
      <c r="B135" s="95"/>
      <c r="C135" s="230">
        <f>C134-C133</f>
        <v>0</v>
      </c>
      <c r="D135" s="142"/>
      <c r="E135" s="160">
        <f>SUM(E133:E134)</f>
        <v>418449.13967</v>
      </c>
      <c r="F135" s="383"/>
      <c r="G135" s="65" t="s">
        <v>158</v>
      </c>
      <c r="H135" s="7"/>
      <c r="I135" s="7"/>
      <c r="J135" s="7"/>
    </row>
    <row r="136" spans="1:10" s="382" customFormat="1" ht="16.5" hidden="1" thickTop="1">
      <c r="A136" s="383"/>
      <c r="B136" s="383"/>
      <c r="C136" s="383"/>
      <c r="D136" s="142" t="s">
        <v>87</v>
      </c>
      <c r="E136" s="50">
        <f>E135+E117</f>
        <v>-790817.09125590767</v>
      </c>
      <c r="F136" s="383"/>
      <c r="G136" s="8">
        <f>(E117*(D137/12))+(E135*(D137/24))</f>
        <v>-2708.4461654545416</v>
      </c>
      <c r="H136" s="449"/>
      <c r="I136" s="449"/>
      <c r="J136" s="7"/>
    </row>
    <row r="137" spans="1:10" s="382" customFormat="1" ht="15.75" hidden="1">
      <c r="A137" s="383"/>
      <c r="B137" s="383"/>
      <c r="C137" s="50" t="s">
        <v>57</v>
      </c>
      <c r="D137" s="225">
        <v>3.2500000000000001E-2</v>
      </c>
      <c r="E137" s="119">
        <f>ROUND(((E117)+(SUM(E135))/2)*(D137/12),2)</f>
        <v>-2708.45</v>
      </c>
      <c r="F137" s="383"/>
      <c r="G137" s="8"/>
      <c r="H137" s="7"/>
      <c r="I137" s="12"/>
      <c r="J137" s="12"/>
    </row>
    <row r="138" spans="1:10" s="382" customFormat="1" ht="15.75" hidden="1">
      <c r="A138" s="383"/>
      <c r="B138" s="383"/>
      <c r="C138" s="50" t="s">
        <v>1</v>
      </c>
      <c r="D138" s="90">
        <f>A120</f>
        <v>41394</v>
      </c>
      <c r="E138" s="50">
        <f>SUM(E136:E137)</f>
        <v>-793525.54125590762</v>
      </c>
      <c r="F138" s="383"/>
      <c r="G138" s="383"/>
    </row>
    <row r="139" spans="1:10" s="382" customFormat="1" ht="15.75" hidden="1" thickBot="1"/>
    <row r="140" spans="1:10" s="382" customFormat="1" ht="15.75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2" customFormat="1" ht="15.75" hidden="1">
      <c r="A141" s="219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2" customFormat="1" ht="16.5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3"/>
      <c r="G142" s="383"/>
      <c r="H142" s="383"/>
      <c r="I142" s="383"/>
      <c r="J142" s="383"/>
    </row>
    <row r="143" spans="1:10" s="382" customFormat="1" ht="15.75" hidden="1">
      <c r="A143" s="50" t="s">
        <v>24</v>
      </c>
      <c r="B143" s="95">
        <v>101</v>
      </c>
      <c r="C143" s="206">
        <v>4182901</v>
      </c>
      <c r="D143" s="387">
        <v>3.3950000000000001E-2</v>
      </c>
      <c r="E143" s="168">
        <v>142009.48895</v>
      </c>
      <c r="F143" s="383"/>
      <c r="G143" s="383"/>
      <c r="H143" s="383"/>
      <c r="I143" s="383"/>
      <c r="J143" s="383"/>
    </row>
    <row r="144" spans="1:10" s="382" customFormat="1" ht="16.5" hidden="1" thickBot="1">
      <c r="A144" s="50" t="s">
        <v>24</v>
      </c>
      <c r="B144" s="95">
        <v>111</v>
      </c>
      <c r="C144" s="206">
        <v>1970725</v>
      </c>
      <c r="D144" s="387">
        <v>3.0599999999999999E-2</v>
      </c>
      <c r="E144" s="168">
        <v>60304.184999999998</v>
      </c>
      <c r="F144" s="383"/>
      <c r="G144" s="123">
        <f>A141</f>
        <v>41425</v>
      </c>
      <c r="H144" s="383"/>
      <c r="I144" s="383"/>
      <c r="J144" s="383"/>
    </row>
    <row r="145" spans="1:10" s="382" customFormat="1" ht="16.5" hidden="1" thickBot="1">
      <c r="A145" s="50" t="s">
        <v>24</v>
      </c>
      <c r="B145" s="95">
        <v>112</v>
      </c>
      <c r="C145" s="206">
        <v>0</v>
      </c>
      <c r="D145" s="387"/>
      <c r="E145" s="168">
        <v>0</v>
      </c>
      <c r="F145" s="383"/>
      <c r="G145" s="113" t="s">
        <v>25</v>
      </c>
      <c r="H145" s="205"/>
      <c r="I145" s="126" t="s">
        <v>18</v>
      </c>
      <c r="J145" s="126" t="s">
        <v>19</v>
      </c>
    </row>
    <row r="146" spans="1:10" s="382" customFormat="1" ht="15.75" hidden="1">
      <c r="A146" s="50" t="s">
        <v>24</v>
      </c>
      <c r="B146" s="95">
        <v>121</v>
      </c>
      <c r="C146" s="206">
        <v>339319</v>
      </c>
      <c r="D146" s="387">
        <v>2.998E-2</v>
      </c>
      <c r="E146" s="168">
        <v>10172.78362</v>
      </c>
      <c r="F146" s="383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2" customFormat="1" ht="15.75" hidden="1">
      <c r="A147" s="50" t="s">
        <v>24</v>
      </c>
      <c r="B147" s="95">
        <v>122</v>
      </c>
      <c r="C147" s="206">
        <v>0</v>
      </c>
      <c r="D147" s="387"/>
      <c r="E147" s="168">
        <v>0</v>
      </c>
      <c r="F147" s="383"/>
      <c r="G147" s="153" t="s">
        <v>29</v>
      </c>
      <c r="H147" s="7" t="s">
        <v>76</v>
      </c>
      <c r="I147" s="7">
        <f>IF(-E158&gt;0,-E158,0)</f>
        <v>1861.39</v>
      </c>
      <c r="J147" s="223"/>
    </row>
    <row r="148" spans="1:10" s="382" customFormat="1" ht="15.75" hidden="1">
      <c r="A148" s="50" t="s">
        <v>24</v>
      </c>
      <c r="B148" s="95">
        <v>131</v>
      </c>
      <c r="C148" s="206">
        <v>0</v>
      </c>
      <c r="D148" s="387">
        <v>5.7389999999999997E-2</v>
      </c>
      <c r="E148" s="168">
        <v>0</v>
      </c>
      <c r="F148" s="383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2" customFormat="1" ht="15.75" hidden="1">
      <c r="A149" s="50" t="s">
        <v>24</v>
      </c>
      <c r="B149" s="95">
        <v>132</v>
      </c>
      <c r="C149" s="206">
        <v>0</v>
      </c>
      <c r="D149" s="387"/>
      <c r="E149" s="168">
        <v>0</v>
      </c>
      <c r="F149" s="383"/>
      <c r="G149" s="153" t="s">
        <v>10</v>
      </c>
      <c r="H149" s="7" t="s">
        <v>17</v>
      </c>
      <c r="I149" s="7">
        <v>0</v>
      </c>
      <c r="J149" s="98"/>
    </row>
    <row r="150" spans="1:10" s="382" customFormat="1" ht="16.5" hidden="1" thickBot="1">
      <c r="A150" s="50" t="s">
        <v>24</v>
      </c>
      <c r="B150" s="95">
        <v>146</v>
      </c>
      <c r="C150" s="206">
        <v>1979128</v>
      </c>
      <c r="D150" s="238"/>
      <c r="E150" s="168">
        <v>0</v>
      </c>
      <c r="F150" s="383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2" customFormat="1" ht="15.75" hidden="1">
      <c r="A151" s="50" t="s">
        <v>151</v>
      </c>
      <c r="B151" s="95"/>
      <c r="C151" s="206"/>
      <c r="D151" s="121"/>
      <c r="E151" s="168">
        <v>0</v>
      </c>
      <c r="F151" s="383"/>
      <c r="G151" s="383"/>
      <c r="H151" s="383"/>
      <c r="I151" s="383"/>
      <c r="J151" s="336">
        <f>SUM(I146:J150)</f>
        <v>0</v>
      </c>
    </row>
    <row r="152" spans="1:10" s="382" customFormat="1" ht="15.75" hidden="1">
      <c r="A152" s="141" t="s">
        <v>143</v>
      </c>
      <c r="B152" s="95">
        <v>146</v>
      </c>
      <c r="C152" s="206"/>
      <c r="D152" s="121"/>
      <c r="E152" s="168">
        <v>0</v>
      </c>
      <c r="F152" s="383"/>
      <c r="G152" s="123"/>
      <c r="H152" s="7"/>
      <c r="I152" s="7"/>
      <c r="J152" s="7"/>
    </row>
    <row r="153" spans="1:10" s="382" customFormat="1" ht="15.75" hidden="1">
      <c r="A153" s="141" t="s">
        <v>105</v>
      </c>
      <c r="B153" s="95"/>
      <c r="C153" s="206"/>
      <c r="D153" s="121"/>
      <c r="E153" s="226">
        <v>0</v>
      </c>
      <c r="F153" s="383"/>
      <c r="G153" s="123"/>
      <c r="H153" s="7"/>
      <c r="I153" s="12"/>
      <c r="J153" s="12"/>
    </row>
    <row r="154" spans="1:10" s="382" customFormat="1" ht="16.5" hidden="1" thickBot="1">
      <c r="A154" s="50"/>
      <c r="B154" s="95"/>
      <c r="C154" s="159">
        <f>SUM(C143:C153)</f>
        <v>8472073</v>
      </c>
      <c r="D154" s="142"/>
      <c r="E154" s="207">
        <f>SUM(E143:E153)</f>
        <v>212486.45757</v>
      </c>
      <c r="F154" s="383"/>
      <c r="G154" s="123"/>
      <c r="H154" s="7"/>
      <c r="I154" s="7"/>
      <c r="J154" s="8"/>
    </row>
    <row r="155" spans="1:10" s="382" customFormat="1" ht="16.5" hidden="1" thickTop="1">
      <c r="A155" s="50"/>
      <c r="B155" s="95"/>
      <c r="C155" s="224">
        <v>8472073</v>
      </c>
      <c r="D155" s="142" t="s">
        <v>161</v>
      </c>
      <c r="E155" s="156">
        <v>0</v>
      </c>
      <c r="F155" s="383"/>
      <c r="G155" s="11"/>
      <c r="H155" s="7"/>
      <c r="I155" s="8"/>
      <c r="J155" s="7"/>
    </row>
    <row r="156" spans="1:10" s="382" customFormat="1" ht="16.5" hidden="1" thickBot="1">
      <c r="A156" s="50"/>
      <c r="B156" s="95"/>
      <c r="C156" s="230">
        <f>C155-C154</f>
        <v>0</v>
      </c>
      <c r="D156" s="142"/>
      <c r="E156" s="160">
        <f>SUM(E154:E155)</f>
        <v>212486.45757</v>
      </c>
      <c r="F156" s="383"/>
      <c r="G156" s="65" t="s">
        <v>158</v>
      </c>
      <c r="H156" s="7"/>
      <c r="I156" s="7"/>
      <c r="J156" s="7"/>
    </row>
    <row r="157" spans="1:10" s="382" customFormat="1" ht="16.5" hidden="1" thickTop="1">
      <c r="A157" s="383"/>
      <c r="B157" s="383"/>
      <c r="C157" s="383"/>
      <c r="D157" s="142" t="s">
        <v>87</v>
      </c>
      <c r="E157" s="50">
        <f>E156+E138</f>
        <v>-581039.08368590765</v>
      </c>
      <c r="F157" s="383"/>
      <c r="G157" s="8">
        <f>(E138*(D158/12))+(E156*(D158/24))</f>
        <v>-1861.389596275375</v>
      </c>
      <c r="H157" s="451"/>
      <c r="I157" s="451"/>
      <c r="J157" s="7"/>
    </row>
    <row r="158" spans="1:10" s="382" customFormat="1" ht="15.75" hidden="1">
      <c r="A158" s="383"/>
      <c r="B158" s="383"/>
      <c r="C158" s="50" t="s">
        <v>57</v>
      </c>
      <c r="D158" s="225">
        <v>3.2500000000000001E-2</v>
      </c>
      <c r="E158" s="119">
        <f>ROUND(((E138)+(SUM(E156))/2)*(D158/12),2)</f>
        <v>-1861.39</v>
      </c>
      <c r="F158" s="383"/>
      <c r="G158" s="8"/>
      <c r="H158" s="7"/>
      <c r="I158" s="12"/>
      <c r="J158" s="12"/>
    </row>
    <row r="159" spans="1:10" s="382" customFormat="1" ht="15.75" hidden="1">
      <c r="A159" s="383"/>
      <c r="B159" s="383"/>
      <c r="C159" s="50" t="s">
        <v>1</v>
      </c>
      <c r="D159" s="90">
        <f>A141</f>
        <v>41425</v>
      </c>
      <c r="E159" s="50">
        <f>SUM(E157:E158)</f>
        <v>-582900.47368590767</v>
      </c>
      <c r="F159" s="383"/>
      <c r="G159" s="245"/>
    </row>
    <row r="160" spans="1:10" s="382" customFormat="1" ht="15.75" hidden="1" thickBot="1"/>
    <row r="161" spans="1:10" s="382" customFormat="1" ht="15.75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2" customFormat="1" ht="15.75" hidden="1">
      <c r="A162" s="219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2" customFormat="1" ht="16.5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3"/>
      <c r="G163" s="383"/>
      <c r="H163" s="383"/>
      <c r="I163" s="383"/>
      <c r="J163" s="383"/>
    </row>
    <row r="164" spans="1:10" s="382" customFormat="1" ht="15.75" hidden="1">
      <c r="A164" s="50" t="s">
        <v>24</v>
      </c>
      <c r="B164" s="95">
        <v>101</v>
      </c>
      <c r="C164" s="206">
        <v>2800295</v>
      </c>
      <c r="D164" s="387">
        <v>3.3950000000000001E-2</v>
      </c>
      <c r="E164" s="168">
        <v>95070.015249999997</v>
      </c>
      <c r="F164" s="383"/>
      <c r="G164" s="383"/>
      <c r="H164" s="383"/>
      <c r="I164" s="383"/>
      <c r="J164" s="383"/>
    </row>
    <row r="165" spans="1:10" s="382" customFormat="1" ht="16.5" hidden="1" thickBot="1">
      <c r="A165" s="50" t="s">
        <v>24</v>
      </c>
      <c r="B165" s="95">
        <v>111</v>
      </c>
      <c r="C165" s="206">
        <v>1678252</v>
      </c>
      <c r="D165" s="387">
        <v>3.0599999999999999E-2</v>
      </c>
      <c r="E165" s="168">
        <v>51354.511200000001</v>
      </c>
      <c r="F165" s="383"/>
      <c r="G165" s="123">
        <f>A162</f>
        <v>41426</v>
      </c>
      <c r="H165" s="383"/>
      <c r="I165" s="383"/>
      <c r="J165" s="383"/>
    </row>
    <row r="166" spans="1:10" s="382" customFormat="1" ht="16.5" hidden="1" thickBot="1">
      <c r="A166" s="50" t="s">
        <v>24</v>
      </c>
      <c r="B166" s="95">
        <v>112</v>
      </c>
      <c r="C166" s="206">
        <v>0</v>
      </c>
      <c r="D166" s="387"/>
      <c r="E166" s="168">
        <v>0</v>
      </c>
      <c r="F166" s="383"/>
      <c r="G166" s="113" t="s">
        <v>25</v>
      </c>
      <c r="H166" s="205"/>
      <c r="I166" s="126" t="s">
        <v>18</v>
      </c>
      <c r="J166" s="126" t="s">
        <v>19</v>
      </c>
    </row>
    <row r="167" spans="1:10" s="382" customFormat="1" ht="15.75" hidden="1">
      <c r="A167" s="50" t="s">
        <v>24</v>
      </c>
      <c r="B167" s="95">
        <v>121</v>
      </c>
      <c r="C167" s="206">
        <v>339158</v>
      </c>
      <c r="D167" s="387">
        <v>2.998E-2</v>
      </c>
      <c r="E167" s="168">
        <v>10167.956840000001</v>
      </c>
      <c r="F167" s="383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2" customFormat="1" ht="15.75" hidden="1">
      <c r="A168" s="50" t="s">
        <v>24</v>
      </c>
      <c r="B168" s="95">
        <v>122</v>
      </c>
      <c r="C168" s="206">
        <v>0</v>
      </c>
      <c r="D168" s="387"/>
      <c r="E168" s="168">
        <v>0</v>
      </c>
      <c r="F168" s="383"/>
      <c r="G168" s="153" t="s">
        <v>29</v>
      </c>
      <c r="H168" s="7" t="s">
        <v>76</v>
      </c>
      <c r="I168" s="7">
        <f>IF(-E179&gt;0,-E179,0)</f>
        <v>1366.64</v>
      </c>
      <c r="J168" s="223"/>
    </row>
    <row r="169" spans="1:10" s="382" customFormat="1" ht="15.75" hidden="1">
      <c r="A169" s="50" t="s">
        <v>24</v>
      </c>
      <c r="B169" s="95">
        <v>131</v>
      </c>
      <c r="C169" s="206">
        <v>0</v>
      </c>
      <c r="D169" s="387">
        <v>5.7389999999999997E-2</v>
      </c>
      <c r="E169" s="168">
        <v>0</v>
      </c>
      <c r="F169" s="383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2" customFormat="1" ht="15.75" hidden="1">
      <c r="A170" s="50" t="s">
        <v>24</v>
      </c>
      <c r="B170" s="95">
        <v>132</v>
      </c>
      <c r="C170" s="206">
        <v>0</v>
      </c>
      <c r="D170" s="387"/>
      <c r="E170" s="168">
        <v>0</v>
      </c>
      <c r="F170" s="383"/>
      <c r="G170" s="153" t="s">
        <v>10</v>
      </c>
      <c r="H170" s="7" t="s">
        <v>17</v>
      </c>
      <c r="I170" s="7">
        <v>0</v>
      </c>
      <c r="J170" s="98"/>
    </row>
    <row r="171" spans="1:10" s="382" customFormat="1" ht="16.5" hidden="1" thickBot="1">
      <c r="A171" s="50" t="s">
        <v>24</v>
      </c>
      <c r="B171" s="95">
        <v>146</v>
      </c>
      <c r="C171" s="206">
        <v>1585130</v>
      </c>
      <c r="D171" s="238"/>
      <c r="E171" s="168">
        <v>0</v>
      </c>
      <c r="F171" s="383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2" customFormat="1" ht="15.75" hidden="1">
      <c r="A172" s="50" t="s">
        <v>151</v>
      </c>
      <c r="B172" s="95"/>
      <c r="C172" s="206"/>
      <c r="D172" s="121"/>
      <c r="E172" s="168">
        <v>0</v>
      </c>
      <c r="F172" s="383"/>
      <c r="G172" s="383"/>
      <c r="H172" s="383"/>
      <c r="I172" s="383"/>
      <c r="J172" s="336">
        <f>SUM(I167:J171)</f>
        <v>0</v>
      </c>
    </row>
    <row r="173" spans="1:10" s="382" customFormat="1" ht="15.75" hidden="1">
      <c r="A173" s="141" t="s">
        <v>143</v>
      </c>
      <c r="B173" s="95">
        <v>146</v>
      </c>
      <c r="C173" s="206"/>
      <c r="D173" s="121"/>
      <c r="E173" s="168">
        <v>0</v>
      </c>
      <c r="F173" s="383"/>
      <c r="G173" s="123"/>
      <c r="H173" s="7"/>
      <c r="I173" s="7"/>
      <c r="J173" s="7"/>
    </row>
    <row r="174" spans="1:10" s="382" customFormat="1" ht="15.75" hidden="1">
      <c r="A174" s="141" t="s">
        <v>105</v>
      </c>
      <c r="B174" s="95"/>
      <c r="C174" s="206"/>
      <c r="D174" s="121"/>
      <c r="E174" s="226">
        <v>0</v>
      </c>
      <c r="F174" s="383"/>
      <c r="G174" s="123"/>
      <c r="H174" s="7"/>
      <c r="I174" s="12"/>
      <c r="J174" s="12"/>
    </row>
    <row r="175" spans="1:10" s="382" customFormat="1" ht="16.5" hidden="1" thickBot="1">
      <c r="A175" s="50"/>
      <c r="B175" s="95"/>
      <c r="C175" s="159">
        <f>SUM(C164:C174)</f>
        <v>6402835</v>
      </c>
      <c r="D175" s="142"/>
      <c r="E175" s="207">
        <f>SUM(E164:E174)</f>
        <v>156592.48329</v>
      </c>
      <c r="F175" s="383"/>
      <c r="G175" s="123"/>
      <c r="H175" s="7"/>
      <c r="I175" s="7"/>
      <c r="J175" s="8"/>
    </row>
    <row r="176" spans="1:10" s="382" customFormat="1" ht="16.5" hidden="1" thickTop="1">
      <c r="A176" s="50"/>
      <c r="B176" s="95"/>
      <c r="C176" s="224">
        <v>6402835</v>
      </c>
      <c r="D176" s="142" t="s">
        <v>161</v>
      </c>
      <c r="E176" s="156">
        <v>0</v>
      </c>
      <c r="F176" s="383"/>
      <c r="G176" s="11"/>
      <c r="H176" s="7"/>
      <c r="I176" s="8"/>
      <c r="J176" s="7"/>
    </row>
    <row r="177" spans="1:10" s="382" customFormat="1" ht="16.5" hidden="1" thickBot="1">
      <c r="A177" s="50"/>
      <c r="B177" s="95"/>
      <c r="C177" s="230">
        <f>C176-C175</f>
        <v>0</v>
      </c>
      <c r="D177" s="142"/>
      <c r="E177" s="160">
        <f>SUM(E175:E176)</f>
        <v>156592.48329</v>
      </c>
      <c r="F177" s="383"/>
      <c r="G177" s="65" t="s">
        <v>158</v>
      </c>
      <c r="H177" s="7"/>
      <c r="I177" s="7"/>
      <c r="J177" s="7"/>
    </row>
    <row r="178" spans="1:10" s="382" customFormat="1" ht="16.5" hidden="1" thickTop="1">
      <c r="A178" s="383"/>
      <c r="B178" s="383"/>
      <c r="C178" s="383"/>
      <c r="D178" s="142" t="s">
        <v>87</v>
      </c>
      <c r="E178" s="50">
        <f>E177+E159</f>
        <v>-426307.99039590766</v>
      </c>
      <c r="F178" s="383"/>
      <c r="G178" s="8">
        <f>(E159*(D179/12))+(E177*(D179/24))</f>
        <v>-1366.6364617774584</v>
      </c>
      <c r="H178" s="452"/>
      <c r="I178" s="452"/>
      <c r="J178" s="7"/>
    </row>
    <row r="179" spans="1:10" s="382" customFormat="1" ht="15.75" hidden="1">
      <c r="A179" s="383"/>
      <c r="B179" s="383"/>
      <c r="C179" s="50" t="s">
        <v>57</v>
      </c>
      <c r="D179" s="225">
        <v>3.2500000000000001E-2</v>
      </c>
      <c r="E179" s="119">
        <f>ROUND(((E159)+(SUM(E177))/2)*(D179/12),2)</f>
        <v>-1366.64</v>
      </c>
      <c r="F179" s="383"/>
      <c r="G179" s="8"/>
      <c r="H179" s="7"/>
      <c r="I179" s="12"/>
      <c r="J179" s="12"/>
    </row>
    <row r="180" spans="1:10" s="382" customFormat="1" ht="15.75" hidden="1">
      <c r="A180" s="383"/>
      <c r="B180" s="383"/>
      <c r="C180" s="50" t="s">
        <v>1</v>
      </c>
      <c r="D180" s="90">
        <v>41455</v>
      </c>
      <c r="E180" s="50">
        <f>SUM(E178:E179)</f>
        <v>-427674.63039590768</v>
      </c>
      <c r="F180" s="383"/>
      <c r="G180" s="245"/>
    </row>
    <row r="181" spans="1:10" s="382" customFormat="1" ht="15.75" hidden="1" thickBot="1"/>
    <row r="182" spans="1:10" s="382" customFormat="1" ht="15.75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2" customFormat="1" ht="15.75" hidden="1">
      <c r="A183" s="219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2" customFormat="1" ht="16.5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3"/>
      <c r="G184" s="383"/>
      <c r="H184" s="383"/>
      <c r="I184" s="383"/>
      <c r="J184" s="383"/>
    </row>
    <row r="185" spans="1:10" s="382" customFormat="1" ht="15.75" hidden="1">
      <c r="A185" s="50" t="s">
        <v>24</v>
      </c>
      <c r="B185" s="95">
        <v>101</v>
      </c>
      <c r="C185" s="206">
        <v>2082299</v>
      </c>
      <c r="D185" s="387">
        <v>3.3950000000000001E-2</v>
      </c>
      <c r="E185" s="168">
        <v>70694.051050000009</v>
      </c>
      <c r="F185" s="383"/>
      <c r="G185" s="383"/>
      <c r="H185" s="383"/>
      <c r="I185" s="383"/>
      <c r="J185" s="383"/>
    </row>
    <row r="186" spans="1:10" s="382" customFormat="1" ht="16.5" hidden="1" thickBot="1">
      <c r="A186" s="50" t="s">
        <v>24</v>
      </c>
      <c r="B186" s="95">
        <v>111</v>
      </c>
      <c r="C186" s="206">
        <v>1140112</v>
      </c>
      <c r="D186" s="387">
        <v>3.0599999999999999E-2</v>
      </c>
      <c r="E186" s="168">
        <v>34887.427199999998</v>
      </c>
      <c r="F186" s="383"/>
      <c r="G186" s="123">
        <f>A183</f>
        <v>41456</v>
      </c>
      <c r="H186" s="383"/>
      <c r="I186" s="383"/>
      <c r="J186" s="383"/>
    </row>
    <row r="187" spans="1:10" s="382" customFormat="1" ht="16.5" hidden="1" thickBot="1">
      <c r="A187" s="50" t="s">
        <v>24</v>
      </c>
      <c r="B187" s="95">
        <v>112</v>
      </c>
      <c r="C187" s="206">
        <v>0</v>
      </c>
      <c r="D187" s="387"/>
      <c r="E187" s="168">
        <v>0</v>
      </c>
      <c r="F187" s="383"/>
      <c r="G187" s="113" t="s">
        <v>25</v>
      </c>
      <c r="H187" s="205"/>
      <c r="I187" s="126" t="s">
        <v>18</v>
      </c>
      <c r="J187" s="126" t="s">
        <v>19</v>
      </c>
    </row>
    <row r="188" spans="1:10" s="382" customFormat="1" ht="15.75" hidden="1">
      <c r="A188" s="50" t="s">
        <v>24</v>
      </c>
      <c r="B188" s="95">
        <v>121</v>
      </c>
      <c r="C188" s="206">
        <v>304732</v>
      </c>
      <c r="D188" s="387">
        <v>2.998E-2</v>
      </c>
      <c r="E188" s="168">
        <v>9135.8653599999998</v>
      </c>
      <c r="F188" s="383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2" customFormat="1" ht="15.75" hidden="1">
      <c r="A189" s="50" t="s">
        <v>24</v>
      </c>
      <c r="B189" s="95">
        <v>122</v>
      </c>
      <c r="C189" s="206">
        <v>0</v>
      </c>
      <c r="D189" s="387"/>
      <c r="E189" s="168">
        <v>0</v>
      </c>
      <c r="F189" s="383"/>
      <c r="G189" s="153" t="s">
        <v>29</v>
      </c>
      <c r="H189" s="7" t="s">
        <v>76</v>
      </c>
      <c r="I189" s="7">
        <f>IF(-E200&gt;0,-E200,0)</f>
        <v>1002.94</v>
      </c>
      <c r="J189" s="223"/>
    </row>
    <row r="190" spans="1:10" s="382" customFormat="1" ht="15.75" hidden="1">
      <c r="A190" s="50" t="s">
        <v>24</v>
      </c>
      <c r="B190" s="95">
        <v>131</v>
      </c>
      <c r="C190" s="206">
        <v>0</v>
      </c>
      <c r="D190" s="387">
        <v>5.7389999999999997E-2</v>
      </c>
      <c r="E190" s="168">
        <v>0</v>
      </c>
      <c r="F190" s="383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2" customFormat="1" ht="15.75" hidden="1">
      <c r="A191" s="50" t="s">
        <v>24</v>
      </c>
      <c r="B191" s="95">
        <v>132</v>
      </c>
      <c r="C191" s="206">
        <v>0</v>
      </c>
      <c r="D191" s="387"/>
      <c r="E191" s="168">
        <v>0</v>
      </c>
      <c r="F191" s="383"/>
      <c r="G191" s="153" t="s">
        <v>10</v>
      </c>
      <c r="H191" s="7" t="s">
        <v>17</v>
      </c>
      <c r="I191" s="7">
        <v>0</v>
      </c>
      <c r="J191" s="98"/>
    </row>
    <row r="192" spans="1:10" s="382" customFormat="1" ht="16.5" hidden="1" thickBot="1">
      <c r="A192" s="50" t="s">
        <v>24</v>
      </c>
      <c r="B192" s="95">
        <v>146</v>
      </c>
      <c r="C192" s="206">
        <v>1657043</v>
      </c>
      <c r="D192" s="238"/>
      <c r="E192" s="168">
        <v>0</v>
      </c>
      <c r="F192" s="383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2" customFormat="1" ht="15.75" hidden="1">
      <c r="A193" s="50" t="s">
        <v>151</v>
      </c>
      <c r="B193" s="95"/>
      <c r="C193" s="206"/>
      <c r="D193" s="121"/>
      <c r="E193" s="168">
        <v>0</v>
      </c>
      <c r="F193" s="383"/>
      <c r="G193" s="383"/>
      <c r="H193" s="383"/>
      <c r="I193" s="383"/>
      <c r="J193" s="336">
        <f>SUM(I188:J192)</f>
        <v>0</v>
      </c>
    </row>
    <row r="194" spans="1:10" s="382" customFormat="1" ht="15.75" hidden="1">
      <c r="A194" s="141" t="s">
        <v>143</v>
      </c>
      <c r="B194" s="95">
        <v>146</v>
      </c>
      <c r="C194" s="206"/>
      <c r="D194" s="121"/>
      <c r="E194" s="168">
        <v>0</v>
      </c>
      <c r="F194" s="383"/>
      <c r="G194" s="123"/>
      <c r="H194" s="7"/>
      <c r="I194" s="7"/>
      <c r="J194" s="7"/>
    </row>
    <row r="195" spans="1:10" s="382" customFormat="1" ht="15.75" hidden="1">
      <c r="A195" s="141" t="s">
        <v>105</v>
      </c>
      <c r="B195" s="95"/>
      <c r="C195" s="206"/>
      <c r="D195" s="121"/>
      <c r="E195" s="226">
        <v>0</v>
      </c>
      <c r="F195" s="383"/>
      <c r="G195" s="123"/>
      <c r="H195" s="7"/>
      <c r="I195" s="12"/>
      <c r="J195" s="12"/>
    </row>
    <row r="196" spans="1:10" s="382" customFormat="1" ht="16.5" hidden="1" thickBot="1">
      <c r="A196" s="50"/>
      <c r="B196" s="95"/>
      <c r="C196" s="159">
        <f>SUM(C185:C195)</f>
        <v>5184186</v>
      </c>
      <c r="D196" s="142"/>
      <c r="E196" s="207">
        <f>SUM(E185:E195)</f>
        <v>114717.34361000001</v>
      </c>
      <c r="F196" s="383"/>
      <c r="G196" s="123"/>
      <c r="H196" s="7"/>
      <c r="I196" s="7"/>
      <c r="J196" s="8"/>
    </row>
    <row r="197" spans="1:10" s="382" customFormat="1" ht="16.5" hidden="1" thickTop="1">
      <c r="A197" s="50"/>
      <c r="B197" s="95"/>
      <c r="C197" s="224">
        <v>5184186</v>
      </c>
      <c r="D197" s="142" t="s">
        <v>161</v>
      </c>
      <c r="E197" s="156">
        <v>0</v>
      </c>
      <c r="F197" s="383"/>
      <c r="G197" s="11"/>
      <c r="H197" s="7"/>
      <c r="I197" s="8"/>
      <c r="J197" s="7"/>
    </row>
    <row r="198" spans="1:10" s="382" customFormat="1" ht="16.5" hidden="1" thickBot="1">
      <c r="A198" s="50"/>
      <c r="B198" s="95"/>
      <c r="C198" s="230">
        <f>C197-C196</f>
        <v>0</v>
      </c>
      <c r="D198" s="142"/>
      <c r="E198" s="160">
        <f>SUM(E196:E197)</f>
        <v>114717.34361000001</v>
      </c>
      <c r="F198" s="383"/>
      <c r="G198" s="65" t="s">
        <v>158</v>
      </c>
      <c r="H198" s="7"/>
      <c r="I198" s="7"/>
      <c r="J198" s="7"/>
    </row>
    <row r="199" spans="1:10" s="382" customFormat="1" ht="16.5" hidden="1" thickTop="1">
      <c r="A199" s="383"/>
      <c r="B199" s="383"/>
      <c r="C199" s="383"/>
      <c r="D199" s="142" t="s">
        <v>87</v>
      </c>
      <c r="E199" s="50">
        <f>E198+E180</f>
        <v>-312957.28678590769</v>
      </c>
      <c r="F199" s="383"/>
      <c r="G199" s="8">
        <f>(E180*(D200/12))+(E198*(D200/24))</f>
        <v>-1002.9390545170418</v>
      </c>
      <c r="H199" s="453"/>
      <c r="I199" s="453"/>
      <c r="J199" s="7"/>
    </row>
    <row r="200" spans="1:10" s="382" customFormat="1" ht="15.75" hidden="1">
      <c r="A200" s="383"/>
      <c r="B200" s="383"/>
      <c r="C200" s="50" t="s">
        <v>57</v>
      </c>
      <c r="D200" s="225">
        <v>3.2500000000000001E-2</v>
      </c>
      <c r="E200" s="119">
        <f>ROUND(((E180)+(SUM(E198))/2)*(D200/12),2)</f>
        <v>-1002.94</v>
      </c>
      <c r="F200" s="383"/>
      <c r="G200" s="8"/>
      <c r="H200" s="7"/>
      <c r="I200" s="12"/>
      <c r="J200" s="12"/>
    </row>
    <row r="201" spans="1:10" s="382" customFormat="1" ht="15.75" hidden="1">
      <c r="A201" s="383"/>
      <c r="B201" s="383"/>
      <c r="C201" s="50" t="s">
        <v>1</v>
      </c>
      <c r="D201" s="90">
        <f>A183</f>
        <v>41456</v>
      </c>
      <c r="E201" s="50">
        <f>SUM(E199:E200)</f>
        <v>-313960.2267859077</v>
      </c>
      <c r="F201" s="383"/>
      <c r="G201" s="245"/>
    </row>
    <row r="202" spans="1:10" ht="15.75" hidden="1" thickBot="1"/>
    <row r="203" spans="1:10" s="382" customFormat="1" ht="15.75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2" customFormat="1" ht="15.75" hidden="1">
      <c r="A204" s="219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2" customFormat="1" ht="16.5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3"/>
      <c r="G205" s="383"/>
      <c r="H205" s="383"/>
      <c r="I205" s="383"/>
      <c r="J205" s="383"/>
    </row>
    <row r="206" spans="1:10" s="382" customFormat="1" ht="15.75" hidden="1">
      <c r="A206" s="50" t="s">
        <v>24</v>
      </c>
      <c r="B206" s="95">
        <v>101</v>
      </c>
      <c r="C206" s="206">
        <v>2046635</v>
      </c>
      <c r="D206" s="387">
        <v>3.3950000000000001E-2</v>
      </c>
      <c r="E206" s="168">
        <v>69483.258249999999</v>
      </c>
      <c r="F206" s="383"/>
      <c r="G206" s="383"/>
      <c r="H206" s="383"/>
      <c r="I206" s="383"/>
      <c r="J206" s="383"/>
    </row>
    <row r="207" spans="1:10" s="382" customFormat="1" ht="16.5" hidden="1" thickBot="1">
      <c r="A207" s="50" t="s">
        <v>24</v>
      </c>
      <c r="B207" s="95">
        <v>111</v>
      </c>
      <c r="C207" s="206">
        <v>1287109</v>
      </c>
      <c r="D207" s="387">
        <v>3.0599999999999999E-2</v>
      </c>
      <c r="E207" s="168">
        <v>39385.535400000001</v>
      </c>
      <c r="F207" s="383"/>
      <c r="G207" s="123">
        <f>A204</f>
        <v>41487</v>
      </c>
      <c r="H207" s="383"/>
      <c r="I207" s="383"/>
      <c r="J207" s="383"/>
    </row>
    <row r="208" spans="1:10" s="382" customFormat="1" ht="16.5" hidden="1" thickBot="1">
      <c r="A208" s="50" t="s">
        <v>24</v>
      </c>
      <c r="B208" s="95">
        <v>112</v>
      </c>
      <c r="C208" s="206">
        <v>0</v>
      </c>
      <c r="D208" s="387"/>
      <c r="E208" s="168">
        <v>0</v>
      </c>
      <c r="F208" s="383"/>
      <c r="G208" s="113" t="s">
        <v>25</v>
      </c>
      <c r="H208" s="205"/>
      <c r="I208" s="126" t="s">
        <v>18</v>
      </c>
      <c r="J208" s="126" t="s">
        <v>19</v>
      </c>
    </row>
    <row r="209" spans="1:10" s="382" customFormat="1" ht="15.75" hidden="1">
      <c r="A209" s="50" t="s">
        <v>24</v>
      </c>
      <c r="B209" s="95">
        <v>121</v>
      </c>
      <c r="C209" s="206">
        <v>364418</v>
      </c>
      <c r="D209" s="387">
        <v>2.998E-2</v>
      </c>
      <c r="E209" s="168">
        <v>10925.25164</v>
      </c>
      <c r="F209" s="383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2" customFormat="1" ht="15.75" hidden="1">
      <c r="A210" s="50" t="s">
        <v>24</v>
      </c>
      <c r="B210" s="95">
        <v>122</v>
      </c>
      <c r="C210" s="206">
        <v>0</v>
      </c>
      <c r="D210" s="387"/>
      <c r="E210" s="168">
        <v>0</v>
      </c>
      <c r="F210" s="383"/>
      <c r="G210" s="153" t="s">
        <v>29</v>
      </c>
      <c r="H210" s="7" t="s">
        <v>76</v>
      </c>
      <c r="I210" s="7">
        <f>IF(-E221&gt;0,-E221,0)</f>
        <v>688.09</v>
      </c>
      <c r="J210" s="223"/>
    </row>
    <row r="211" spans="1:10" s="382" customFormat="1" ht="15.75" hidden="1">
      <c r="A211" s="50" t="s">
        <v>24</v>
      </c>
      <c r="B211" s="95">
        <v>131</v>
      </c>
      <c r="C211" s="206">
        <v>0</v>
      </c>
      <c r="D211" s="387">
        <v>5.7389999999999997E-2</v>
      </c>
      <c r="E211" s="168">
        <v>0</v>
      </c>
      <c r="F211" s="383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2" customFormat="1" ht="15.75" hidden="1">
      <c r="A212" s="50" t="s">
        <v>24</v>
      </c>
      <c r="B212" s="95">
        <v>132</v>
      </c>
      <c r="C212" s="206">
        <v>0</v>
      </c>
      <c r="D212" s="387"/>
      <c r="E212" s="168">
        <v>0</v>
      </c>
      <c r="F212" s="383"/>
      <c r="G212" s="153" t="s">
        <v>10</v>
      </c>
      <c r="H212" s="7" t="s">
        <v>17</v>
      </c>
      <c r="I212" s="7">
        <v>0</v>
      </c>
      <c r="J212" s="98"/>
    </row>
    <row r="213" spans="1:10" s="382" customFormat="1" ht="16.5" hidden="1" thickBot="1">
      <c r="A213" s="50" t="s">
        <v>24</v>
      </c>
      <c r="B213" s="95">
        <v>146</v>
      </c>
      <c r="C213" s="206">
        <v>1709756</v>
      </c>
      <c r="D213" s="238"/>
      <c r="E213" s="168">
        <v>0</v>
      </c>
      <c r="F213" s="383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2" customFormat="1" ht="15.75" hidden="1">
      <c r="A214" s="50" t="s">
        <v>151</v>
      </c>
      <c r="B214" s="95"/>
      <c r="C214" s="206"/>
      <c r="D214" s="121"/>
      <c r="E214" s="168">
        <v>0</v>
      </c>
      <c r="F214" s="383"/>
      <c r="G214" s="383"/>
      <c r="H214" s="383"/>
      <c r="I214" s="383"/>
      <c r="J214" s="336">
        <f>SUM(I209:J213)</f>
        <v>0</v>
      </c>
    </row>
    <row r="215" spans="1:10" s="382" customFormat="1" ht="15.75" hidden="1">
      <c r="A215" s="141" t="s">
        <v>143</v>
      </c>
      <c r="B215" s="95">
        <v>146</v>
      </c>
      <c r="C215" s="206"/>
      <c r="D215" s="121"/>
      <c r="E215" s="168">
        <v>0</v>
      </c>
      <c r="F215" s="383"/>
      <c r="G215" s="123"/>
      <c r="H215" s="7"/>
      <c r="I215" s="7"/>
      <c r="J215" s="7"/>
    </row>
    <row r="216" spans="1:10" s="382" customFormat="1" ht="15.75" hidden="1">
      <c r="A216" s="141" t="s">
        <v>105</v>
      </c>
      <c r="B216" s="95"/>
      <c r="C216" s="206"/>
      <c r="D216" s="121"/>
      <c r="E216" s="226">
        <v>0</v>
      </c>
      <c r="F216" s="383"/>
      <c r="G216" s="123"/>
      <c r="H216" s="7"/>
      <c r="I216" s="12"/>
      <c r="J216" s="12"/>
    </row>
    <row r="217" spans="1:10" s="382" customFormat="1" ht="16.5" hidden="1" thickBot="1">
      <c r="A217" s="50"/>
      <c r="B217" s="95"/>
      <c r="C217" s="159">
        <f>SUM(C206:C216)</f>
        <v>5407918</v>
      </c>
      <c r="D217" s="142"/>
      <c r="E217" s="207">
        <f>SUM(E206:E216)</f>
        <v>119794.04529000001</v>
      </c>
      <c r="F217" s="383"/>
      <c r="G217" s="123"/>
      <c r="H217" s="7"/>
      <c r="I217" s="7"/>
      <c r="J217" s="8"/>
    </row>
    <row r="218" spans="1:10" s="382" customFormat="1" ht="16.5" hidden="1" thickTop="1">
      <c r="A218" s="50"/>
      <c r="B218" s="95"/>
      <c r="C218" s="224">
        <v>5407918</v>
      </c>
      <c r="D218" s="142" t="s">
        <v>161</v>
      </c>
      <c r="E218" s="156">
        <v>0</v>
      </c>
      <c r="F218" s="383"/>
      <c r="G218" s="11"/>
      <c r="H218" s="7"/>
      <c r="I218" s="8"/>
      <c r="J218" s="7"/>
    </row>
    <row r="219" spans="1:10" s="382" customFormat="1" ht="16.5" hidden="1" thickBot="1">
      <c r="A219" s="50"/>
      <c r="B219" s="95"/>
      <c r="C219" s="230">
        <f>C218-C217</f>
        <v>0</v>
      </c>
      <c r="D219" s="142"/>
      <c r="E219" s="160">
        <f>SUM(E217:E218)</f>
        <v>119794.04529000001</v>
      </c>
      <c r="F219" s="383"/>
      <c r="G219" s="65" t="s">
        <v>158</v>
      </c>
      <c r="H219" s="7"/>
      <c r="I219" s="7"/>
      <c r="J219" s="7"/>
    </row>
    <row r="220" spans="1:10" s="382" customFormat="1" ht="16.5" hidden="1" thickTop="1">
      <c r="A220" s="383"/>
      <c r="B220" s="383"/>
      <c r="C220" s="383"/>
      <c r="D220" s="142" t="s">
        <v>87</v>
      </c>
      <c r="E220" s="50">
        <f>E219+E201</f>
        <v>-194166.18149590769</v>
      </c>
      <c r="F220" s="383"/>
      <c r="G220" s="8">
        <f>(E201*(D221/12))+(E219*(D221/24))</f>
        <v>-688.08784454829174</v>
      </c>
      <c r="H220" s="454"/>
      <c r="I220" s="454"/>
      <c r="J220" s="7"/>
    </row>
    <row r="221" spans="1:10" s="382" customFormat="1" ht="15.75" hidden="1">
      <c r="A221" s="383"/>
      <c r="B221" s="383"/>
      <c r="C221" s="50" t="s">
        <v>57</v>
      </c>
      <c r="D221" s="225">
        <v>3.2500000000000001E-2</v>
      </c>
      <c r="E221" s="119">
        <f>ROUND(((E201)+(SUM(E219))/2)*(D221/12),2)</f>
        <v>-688.09</v>
      </c>
      <c r="F221" s="383"/>
      <c r="G221" s="8"/>
      <c r="H221" s="7"/>
      <c r="I221" s="12"/>
      <c r="J221" s="12"/>
    </row>
    <row r="222" spans="1:10" s="382" customFormat="1" ht="15.75">
      <c r="A222" s="383"/>
      <c r="B222" s="383"/>
      <c r="C222" s="50" t="s">
        <v>1</v>
      </c>
      <c r="D222" s="90">
        <f>A204</f>
        <v>41487</v>
      </c>
      <c r="E222" s="50">
        <f>SUM(E220:E221)</f>
        <v>-194854.27149590768</v>
      </c>
      <c r="F222" s="383"/>
      <c r="G222" s="245"/>
    </row>
    <row r="223" spans="1:10" ht="15.75" thickBot="1"/>
    <row r="224" spans="1:10" s="382" customFormat="1" ht="15.75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2" customFormat="1" ht="15.75">
      <c r="A225" s="219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2" customFormat="1" ht="16.5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3"/>
      <c r="G226" s="383"/>
      <c r="H226" s="383"/>
      <c r="I226" s="383"/>
      <c r="J226" s="383"/>
    </row>
    <row r="227" spans="1:10" s="382" customFormat="1" ht="15.75">
      <c r="A227" s="50" t="s">
        <v>24</v>
      </c>
      <c r="B227" s="95">
        <v>101</v>
      </c>
      <c r="C227" s="206">
        <v>2647538</v>
      </c>
      <c r="D227" s="387">
        <v>3.3950000000000001E-2</v>
      </c>
      <c r="E227" s="168">
        <v>89883.915099999998</v>
      </c>
      <c r="F227" s="383"/>
      <c r="G227" s="383"/>
      <c r="H227" s="383"/>
      <c r="I227" s="383"/>
      <c r="J227" s="383"/>
    </row>
    <row r="228" spans="1:10" s="382" customFormat="1" ht="16.5" thickBot="1">
      <c r="A228" s="50" t="s">
        <v>24</v>
      </c>
      <c r="B228" s="95">
        <v>111</v>
      </c>
      <c r="C228" s="206">
        <v>1599551</v>
      </c>
      <c r="D228" s="387">
        <v>3.0599999999999999E-2</v>
      </c>
      <c r="E228" s="168">
        <v>48946.260600000001</v>
      </c>
      <c r="F228" s="383"/>
      <c r="G228" s="123">
        <f>A225</f>
        <v>41518</v>
      </c>
      <c r="H228" s="383"/>
      <c r="I228" s="383"/>
      <c r="J228" s="383"/>
    </row>
    <row r="229" spans="1:10" s="382" customFormat="1" ht="16.5" thickBot="1">
      <c r="A229" s="50" t="s">
        <v>24</v>
      </c>
      <c r="B229" s="95">
        <v>112</v>
      </c>
      <c r="C229" s="206">
        <v>0</v>
      </c>
      <c r="D229" s="387"/>
      <c r="E229" s="168">
        <v>0</v>
      </c>
      <c r="F229" s="383"/>
      <c r="G229" s="113" t="s">
        <v>25</v>
      </c>
      <c r="H229" s="205"/>
      <c r="I229" s="126" t="s">
        <v>18</v>
      </c>
      <c r="J229" s="126" t="s">
        <v>19</v>
      </c>
    </row>
    <row r="230" spans="1:10" s="382" customFormat="1" ht="15.75">
      <c r="A230" s="50" t="s">
        <v>24</v>
      </c>
      <c r="B230" s="95">
        <v>121</v>
      </c>
      <c r="C230" s="206">
        <v>344046</v>
      </c>
      <c r="D230" s="387">
        <v>2.998E-2</v>
      </c>
      <c r="E230" s="168">
        <v>10314.49908</v>
      </c>
      <c r="F230" s="383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2" customFormat="1" ht="15.75">
      <c r="A231" s="50" t="s">
        <v>24</v>
      </c>
      <c r="B231" s="95">
        <v>122</v>
      </c>
      <c r="C231" s="206">
        <v>0</v>
      </c>
      <c r="D231" s="387"/>
      <c r="E231" s="168">
        <v>0</v>
      </c>
      <c r="F231" s="383"/>
      <c r="G231" s="153" t="s">
        <v>29</v>
      </c>
      <c r="H231" s="7" t="s">
        <v>76</v>
      </c>
      <c r="I231" s="7">
        <f>IF(-E242&gt;0,-E242,0)</f>
        <v>325.76</v>
      </c>
      <c r="J231" s="223"/>
    </row>
    <row r="232" spans="1:10" s="382" customFormat="1" ht="15.75">
      <c r="A232" s="50" t="s">
        <v>24</v>
      </c>
      <c r="B232" s="95">
        <v>131</v>
      </c>
      <c r="C232" s="206">
        <v>0</v>
      </c>
      <c r="D232" s="387">
        <v>5.7389999999999997E-2</v>
      </c>
      <c r="E232" s="168">
        <v>0</v>
      </c>
      <c r="F232" s="383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2" customFormat="1" ht="15.75">
      <c r="A233" s="50" t="s">
        <v>24</v>
      </c>
      <c r="B233" s="95">
        <v>132</v>
      </c>
      <c r="C233" s="206">
        <v>0</v>
      </c>
      <c r="D233" s="387"/>
      <c r="E233" s="168">
        <v>0</v>
      </c>
      <c r="F233" s="383"/>
      <c r="G233" s="153" t="s">
        <v>10</v>
      </c>
      <c r="H233" s="7" t="s">
        <v>17</v>
      </c>
      <c r="I233" s="7">
        <v>0</v>
      </c>
      <c r="J233" s="98"/>
    </row>
    <row r="234" spans="1:10" s="382" customFormat="1" ht="16.5" thickBot="1">
      <c r="A234" s="50" t="s">
        <v>24</v>
      </c>
      <c r="B234" s="95">
        <v>146</v>
      </c>
      <c r="C234" s="206">
        <v>1818699</v>
      </c>
      <c r="D234" s="238"/>
      <c r="E234" s="168">
        <v>0</v>
      </c>
      <c r="F234" s="383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2" customFormat="1" ht="15.75">
      <c r="A235" s="50" t="s">
        <v>151</v>
      </c>
      <c r="B235" s="95"/>
      <c r="C235" s="206"/>
      <c r="D235" s="121"/>
      <c r="E235" s="168">
        <v>0</v>
      </c>
      <c r="F235" s="383"/>
      <c r="G235" s="383"/>
      <c r="H235" s="383"/>
      <c r="I235" s="383"/>
      <c r="J235" s="336">
        <f>SUM(I230:J234)</f>
        <v>0</v>
      </c>
    </row>
    <row r="236" spans="1:10" s="382" customFormat="1" ht="15.75">
      <c r="A236" s="141" t="s">
        <v>143</v>
      </c>
      <c r="B236" s="95">
        <v>146</v>
      </c>
      <c r="C236" s="206"/>
      <c r="D236" s="121"/>
      <c r="E236" s="168">
        <v>0</v>
      </c>
      <c r="F236" s="383"/>
      <c r="G236" s="123"/>
      <c r="H236" s="7"/>
      <c r="I236" s="7"/>
      <c r="J236" s="7"/>
    </row>
    <row r="237" spans="1:10" s="382" customFormat="1" ht="15.75">
      <c r="A237" s="141" t="s">
        <v>105</v>
      </c>
      <c r="B237" s="95"/>
      <c r="C237" s="206"/>
      <c r="D237" s="121"/>
      <c r="E237" s="226">
        <v>0</v>
      </c>
      <c r="F237" s="383"/>
      <c r="G237" s="123"/>
      <c r="H237" s="7"/>
      <c r="I237" s="12"/>
      <c r="J237" s="12"/>
    </row>
    <row r="238" spans="1:10" s="382" customFormat="1" ht="16.5" thickBot="1">
      <c r="A238" s="50"/>
      <c r="B238" s="95"/>
      <c r="C238" s="159">
        <f>SUM(C227:C237)</f>
        <v>6409834</v>
      </c>
      <c r="D238" s="142"/>
      <c r="E238" s="207">
        <f>SUM(E227:E237)</f>
        <v>149144.67478</v>
      </c>
      <c r="F238" s="383"/>
      <c r="G238" s="123"/>
      <c r="H238" s="7"/>
      <c r="I238" s="7"/>
      <c r="J238" s="8"/>
    </row>
    <row r="239" spans="1:10" s="382" customFormat="1" ht="16.5" thickTop="1">
      <c r="A239" s="50"/>
      <c r="B239" s="95"/>
      <c r="C239" s="224">
        <v>6409834</v>
      </c>
      <c r="D239" s="142" t="s">
        <v>161</v>
      </c>
      <c r="E239" s="156">
        <v>0</v>
      </c>
      <c r="F239" s="383"/>
      <c r="G239" s="11"/>
      <c r="H239" s="7"/>
      <c r="I239" s="8"/>
      <c r="J239" s="7"/>
    </row>
    <row r="240" spans="1:10" s="382" customFormat="1" ht="16.5" thickBot="1">
      <c r="A240" s="50"/>
      <c r="B240" s="95"/>
      <c r="C240" s="230">
        <f>C239-C238</f>
        <v>0</v>
      </c>
      <c r="D240" s="142"/>
      <c r="E240" s="160">
        <f>SUM(E238:E239)</f>
        <v>149144.67478</v>
      </c>
      <c r="F240" s="383"/>
      <c r="G240" s="65" t="s">
        <v>158</v>
      </c>
      <c r="H240" s="7"/>
      <c r="I240" s="7"/>
      <c r="J240" s="7"/>
    </row>
    <row r="241" spans="1:10" s="382" customFormat="1" ht="16.5" thickTop="1">
      <c r="A241" s="383"/>
      <c r="B241" s="383"/>
      <c r="C241" s="383"/>
      <c r="D241" s="142" t="s">
        <v>87</v>
      </c>
      <c r="E241" s="50">
        <f>E240+E222</f>
        <v>-45709.596715907683</v>
      </c>
      <c r="F241" s="383"/>
      <c r="G241" s="8">
        <f>(E222*(D242/12))+(E240*(D242/24))</f>
        <v>-325.7635715368333</v>
      </c>
      <c r="H241" s="455"/>
      <c r="I241" s="455"/>
      <c r="J241" s="7"/>
    </row>
    <row r="242" spans="1:10" s="382" customFormat="1" ht="15.75">
      <c r="A242" s="383"/>
      <c r="B242" s="383"/>
      <c r="C242" s="50" t="s">
        <v>57</v>
      </c>
      <c r="D242" s="225">
        <v>3.2500000000000001E-2</v>
      </c>
      <c r="E242" s="119">
        <f>ROUND(((E222)+(SUM(E240))/2)*(D242/12),2)</f>
        <v>-325.76</v>
      </c>
      <c r="F242" s="383"/>
      <c r="G242" s="8"/>
      <c r="H242" s="7"/>
      <c r="I242" s="12"/>
      <c r="J242" s="12"/>
    </row>
    <row r="243" spans="1:10" s="382" customFormat="1" ht="15.75">
      <c r="A243" s="383"/>
      <c r="B243" s="383"/>
      <c r="C243" s="50" t="s">
        <v>1</v>
      </c>
      <c r="D243" s="90">
        <f>A225</f>
        <v>41518</v>
      </c>
      <c r="E243" s="50">
        <f>SUM(E241:E242)</f>
        <v>-46035.356715907685</v>
      </c>
      <c r="F243" s="383"/>
      <c r="G243" s="245"/>
    </row>
    <row r="244" spans="1:10" ht="15.75" thickBot="1"/>
    <row r="245" spans="1:10" s="382" customFormat="1" ht="15.75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2" customFormat="1" ht="15.75">
      <c r="A246" s="219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2" customFormat="1" ht="16.5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3"/>
      <c r="G247" s="383"/>
      <c r="H247" s="383"/>
      <c r="I247" s="383"/>
      <c r="J247" s="383"/>
    </row>
    <row r="248" spans="1:10" s="382" customFormat="1" ht="15.75">
      <c r="A248" s="50" t="s">
        <v>24</v>
      </c>
      <c r="B248" s="95">
        <v>101</v>
      </c>
      <c r="C248" s="206">
        <v>9244353</v>
      </c>
      <c r="D248" s="387">
        <v>3.3950000000000001E-2</v>
      </c>
      <c r="E248" s="168">
        <v>313845.78435000003</v>
      </c>
      <c r="F248" s="383"/>
      <c r="G248" s="383"/>
      <c r="H248" s="383"/>
      <c r="I248" s="383"/>
      <c r="J248" s="383"/>
    </row>
    <row r="249" spans="1:10" s="382" customFormat="1" ht="16.5" thickBot="1">
      <c r="A249" s="50" t="s">
        <v>24</v>
      </c>
      <c r="B249" s="95">
        <v>111</v>
      </c>
      <c r="C249" s="206">
        <v>3880001</v>
      </c>
      <c r="D249" s="387">
        <v>3.0599999999999999E-2</v>
      </c>
      <c r="E249" s="168">
        <v>118728.0306</v>
      </c>
      <c r="F249" s="383"/>
      <c r="G249" s="123">
        <f>A246</f>
        <v>41578</v>
      </c>
      <c r="H249" s="383"/>
      <c r="I249" s="383"/>
      <c r="J249" s="383"/>
    </row>
    <row r="250" spans="1:10" s="382" customFormat="1" ht="16.5" thickBot="1">
      <c r="A250" s="50" t="s">
        <v>24</v>
      </c>
      <c r="B250" s="95">
        <v>112</v>
      </c>
      <c r="C250" s="206">
        <v>0</v>
      </c>
      <c r="D250" s="387"/>
      <c r="E250" s="168">
        <v>0</v>
      </c>
      <c r="F250" s="383"/>
      <c r="G250" s="113" t="s">
        <v>25</v>
      </c>
      <c r="H250" s="205"/>
      <c r="I250" s="126" t="s">
        <v>18</v>
      </c>
      <c r="J250" s="126" t="s">
        <v>19</v>
      </c>
    </row>
    <row r="251" spans="1:10" s="382" customFormat="1" ht="15.75">
      <c r="A251" s="50" t="s">
        <v>24</v>
      </c>
      <c r="B251" s="95">
        <v>121</v>
      </c>
      <c r="C251" s="206">
        <v>595792</v>
      </c>
      <c r="D251" s="387">
        <v>2.998E-2</v>
      </c>
      <c r="E251" s="168">
        <v>17861.844160000001</v>
      </c>
      <c r="F251" s="383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2" customFormat="1" ht="15.75">
      <c r="A252" s="50" t="s">
        <v>24</v>
      </c>
      <c r="B252" s="95">
        <v>122</v>
      </c>
      <c r="C252" s="206">
        <v>0</v>
      </c>
      <c r="D252" s="387"/>
      <c r="E252" s="168">
        <v>0</v>
      </c>
      <c r="F252" s="383"/>
      <c r="G252" s="153" t="s">
        <v>29</v>
      </c>
      <c r="H252" s="7" t="s">
        <v>76</v>
      </c>
      <c r="I252" s="7">
        <f>IF(-E263&gt;0,-E263,0)</f>
        <v>0</v>
      </c>
      <c r="J252" s="223"/>
    </row>
    <row r="253" spans="1:10" s="382" customFormat="1" ht="15.75">
      <c r="A253" s="50" t="s">
        <v>24</v>
      </c>
      <c r="B253" s="95">
        <v>131</v>
      </c>
      <c r="C253" s="206">
        <v>0</v>
      </c>
      <c r="D253" s="387">
        <v>5.7389999999999997E-2</v>
      </c>
      <c r="E253" s="168">
        <v>0</v>
      </c>
      <c r="F253" s="383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2" customFormat="1" ht="15.75">
      <c r="A254" s="50" t="s">
        <v>24</v>
      </c>
      <c r="B254" s="95">
        <v>132</v>
      </c>
      <c r="C254" s="206">
        <v>0</v>
      </c>
      <c r="D254" s="387"/>
      <c r="E254" s="168">
        <v>0</v>
      </c>
      <c r="F254" s="383"/>
      <c r="G254" s="153" t="s">
        <v>10</v>
      </c>
      <c r="H254" s="7" t="s">
        <v>17</v>
      </c>
      <c r="I254" s="7">
        <v>0</v>
      </c>
      <c r="J254" s="98"/>
    </row>
    <row r="255" spans="1:10" s="382" customFormat="1" ht="16.5" thickBot="1">
      <c r="A255" s="50" t="s">
        <v>24</v>
      </c>
      <c r="B255" s="95">
        <v>146</v>
      </c>
      <c r="C255" s="206">
        <v>2531895</v>
      </c>
      <c r="D255" s="238"/>
      <c r="E255" s="168">
        <v>0</v>
      </c>
      <c r="F255" s="383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2" customFormat="1" ht="15.75">
      <c r="A256" s="50" t="s">
        <v>151</v>
      </c>
      <c r="B256" s="95"/>
      <c r="C256" s="206"/>
      <c r="D256" s="121"/>
      <c r="E256" s="168">
        <v>0</v>
      </c>
      <c r="F256" s="383"/>
      <c r="G256" s="383"/>
      <c r="H256" s="383"/>
      <c r="I256" s="383"/>
      <c r="J256" s="336">
        <f>SUM(I251:J255)</f>
        <v>0</v>
      </c>
    </row>
    <row r="257" spans="1:10" s="382" customFormat="1" ht="15.75">
      <c r="A257" s="141" t="s">
        <v>143</v>
      </c>
      <c r="B257" s="95">
        <v>146</v>
      </c>
      <c r="C257" s="206"/>
      <c r="D257" s="121"/>
      <c r="E257" s="168">
        <v>0</v>
      </c>
      <c r="F257" s="383"/>
      <c r="G257" s="123"/>
      <c r="H257" s="7"/>
      <c r="I257" s="7"/>
      <c r="J257" s="7"/>
    </row>
    <row r="258" spans="1:10" s="382" customFormat="1" ht="15.75">
      <c r="A258" s="141" t="s">
        <v>105</v>
      </c>
      <c r="B258" s="95"/>
      <c r="C258" s="206"/>
      <c r="D258" s="121"/>
      <c r="E258" s="226">
        <v>0</v>
      </c>
      <c r="F258" s="383"/>
      <c r="G258" s="123"/>
      <c r="H258" s="7"/>
      <c r="I258" s="12"/>
      <c r="J258" s="12"/>
    </row>
    <row r="259" spans="1:10" s="382" customFormat="1" ht="16.5" thickBot="1">
      <c r="A259" s="50"/>
      <c r="B259" s="95"/>
      <c r="C259" s="159">
        <f>SUM(C248:C258)</f>
        <v>16252041</v>
      </c>
      <c r="D259" s="142"/>
      <c r="E259" s="207">
        <f>SUM(E248:E258)</f>
        <v>450435.65911000001</v>
      </c>
      <c r="F259" s="383"/>
      <c r="G259" s="123"/>
      <c r="H259" s="7"/>
      <c r="I259" s="7"/>
      <c r="J259" s="8"/>
    </row>
    <row r="260" spans="1:10" s="382" customFormat="1" ht="16.5" thickTop="1">
      <c r="A260" s="50"/>
      <c r="B260" s="95"/>
      <c r="C260" s="224">
        <v>16252041</v>
      </c>
      <c r="D260" s="142" t="s">
        <v>161</v>
      </c>
      <c r="E260" s="156">
        <v>0</v>
      </c>
      <c r="F260" s="383"/>
      <c r="G260" s="11"/>
      <c r="H260" s="7"/>
      <c r="I260" s="8"/>
      <c r="J260" s="7"/>
    </row>
    <row r="261" spans="1:10" s="382" customFormat="1" ht="16.5" thickBot="1">
      <c r="A261" s="50"/>
      <c r="B261" s="95"/>
      <c r="C261" s="230">
        <f>C260-C259</f>
        <v>0</v>
      </c>
      <c r="D261" s="142"/>
      <c r="E261" s="160">
        <f>SUM(E259:E260)</f>
        <v>450435.65911000001</v>
      </c>
      <c r="F261" s="383"/>
      <c r="G261" s="65" t="s">
        <v>158</v>
      </c>
      <c r="H261" s="7"/>
      <c r="I261" s="7"/>
      <c r="J261" s="7"/>
    </row>
    <row r="262" spans="1:10" s="382" customFormat="1" ht="16.5" thickTop="1">
      <c r="A262" s="383"/>
      <c r="B262" s="383"/>
      <c r="C262" s="383"/>
      <c r="D262" s="142" t="s">
        <v>87</v>
      </c>
      <c r="E262" s="50">
        <f>E261+E243</f>
        <v>404400.30239409232</v>
      </c>
      <c r="F262" s="383"/>
      <c r="G262" s="8">
        <f>(E243*(D263/12))+(E261*(D263/24))</f>
        <v>485.28586393920841</v>
      </c>
      <c r="H262" s="456"/>
      <c r="I262" s="456"/>
      <c r="J262" s="7"/>
    </row>
    <row r="263" spans="1:10" s="382" customFormat="1" ht="15.75">
      <c r="A263" s="383"/>
      <c r="B263" s="383"/>
      <c r="C263" s="50" t="s">
        <v>57</v>
      </c>
      <c r="D263" s="225">
        <v>3.2500000000000001E-2</v>
      </c>
      <c r="E263" s="119">
        <f>ROUND(((E243)+(SUM(E261))/2)*(D263/12),2)</f>
        <v>485.29</v>
      </c>
      <c r="F263" s="383"/>
      <c r="G263" s="8"/>
      <c r="H263" s="7"/>
      <c r="I263" s="12"/>
      <c r="J263" s="12"/>
    </row>
    <row r="264" spans="1:10" s="382" customFormat="1" ht="15.75">
      <c r="A264" s="383"/>
      <c r="B264" s="383"/>
      <c r="C264" s="50" t="s">
        <v>1</v>
      </c>
      <c r="D264" s="90">
        <f>A246</f>
        <v>41578</v>
      </c>
      <c r="E264" s="50">
        <f>SUM(E262:E263)</f>
        <v>404885.59239409229</v>
      </c>
      <c r="F264" s="383"/>
      <c r="G264" s="245"/>
    </row>
    <row r="265" spans="1:10" s="382" customFormat="1" ht="15.75">
      <c r="A265" s="383"/>
      <c r="B265" s="383"/>
      <c r="C265" s="50"/>
      <c r="D265" s="441" t="s">
        <v>230</v>
      </c>
      <c r="E265" s="64">
        <f>-'WA Def 191010'!C109</f>
        <v>1145801.7486667871</v>
      </c>
      <c r="F265" s="383"/>
      <c r="G265" s="245"/>
    </row>
    <row r="266" spans="1:10" s="382" customFormat="1" ht="16.5" thickBot="1">
      <c r="A266" s="383"/>
      <c r="B266" s="383"/>
      <c r="C266" s="50"/>
      <c r="D266" s="441" t="s">
        <v>231</v>
      </c>
      <c r="E266" s="160">
        <f>E265+E264</f>
        <v>1550687.3410608794</v>
      </c>
      <c r="F266" s="383"/>
      <c r="G266" s="245"/>
    </row>
    <row r="267" spans="1:10" s="382" customFormat="1" ht="16.5" thickTop="1" thickBot="1"/>
    <row r="268" spans="1:10" s="382" customFormat="1" ht="15.75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2" customFormat="1" ht="15.75">
      <c r="A269" s="219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2" customFormat="1" ht="16.5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3"/>
      <c r="G270" s="383"/>
      <c r="H270" s="383"/>
      <c r="I270" s="383"/>
      <c r="J270" s="383"/>
    </row>
    <row r="271" spans="1:10" s="382" customFormat="1" ht="15.75">
      <c r="A271" s="50" t="s">
        <v>24</v>
      </c>
      <c r="B271" s="95">
        <v>101</v>
      </c>
      <c r="C271" s="206">
        <v>15070678</v>
      </c>
      <c r="D271" s="387" t="s">
        <v>187</v>
      </c>
      <c r="E271" s="168">
        <v>-28858.639999999999</v>
      </c>
      <c r="F271" s="383"/>
      <c r="G271" s="383"/>
      <c r="H271" s="383"/>
      <c r="I271" s="383"/>
      <c r="J271" s="383"/>
    </row>
    <row r="272" spans="1:10" s="382" customFormat="1" ht="16.5" thickBot="1">
      <c r="A272" s="50" t="s">
        <v>24</v>
      </c>
      <c r="B272" s="95">
        <v>111</v>
      </c>
      <c r="C272" s="206">
        <v>5651303</v>
      </c>
      <c r="D272" s="387" t="s">
        <v>187</v>
      </c>
      <c r="E272" s="168">
        <v>-36478.370000000003</v>
      </c>
      <c r="F272" s="383"/>
      <c r="G272" s="123">
        <f>A269</f>
        <v>41608</v>
      </c>
      <c r="H272" s="383"/>
      <c r="I272" s="383"/>
      <c r="J272" s="383"/>
    </row>
    <row r="273" spans="1:10" s="382" customFormat="1" ht="16.5" thickBot="1">
      <c r="A273" s="50" t="s">
        <v>24</v>
      </c>
      <c r="B273" s="95">
        <v>112</v>
      </c>
      <c r="C273" s="206">
        <v>0</v>
      </c>
      <c r="D273" s="387" t="s">
        <v>187</v>
      </c>
      <c r="E273" s="168">
        <v>0</v>
      </c>
      <c r="F273" s="383"/>
      <c r="G273" s="113" t="s">
        <v>25</v>
      </c>
      <c r="H273" s="205"/>
      <c r="I273" s="126" t="s">
        <v>18</v>
      </c>
      <c r="J273" s="126" t="s">
        <v>19</v>
      </c>
    </row>
    <row r="274" spans="1:10" s="382" customFormat="1" ht="15.75">
      <c r="A274" s="50" t="s">
        <v>24</v>
      </c>
      <c r="B274" s="95">
        <v>121</v>
      </c>
      <c r="C274" s="206">
        <v>396185</v>
      </c>
      <c r="D274" s="387" t="s">
        <v>187</v>
      </c>
      <c r="E274" s="168">
        <v>-16940.830000000002</v>
      </c>
      <c r="F274" s="383"/>
      <c r="G274" s="151" t="s">
        <v>28</v>
      </c>
      <c r="H274" s="152" t="s">
        <v>75</v>
      </c>
      <c r="I274" s="466"/>
      <c r="J274" s="467">
        <f>IF(-E286&lt;0,-E286,0)</f>
        <v>-4107.12</v>
      </c>
    </row>
    <row r="275" spans="1:10" s="382" customFormat="1" ht="15.75">
      <c r="A275" s="50" t="s">
        <v>24</v>
      </c>
      <c r="B275" s="95">
        <v>122</v>
      </c>
      <c r="C275" s="206">
        <v>0</v>
      </c>
      <c r="D275" s="387" t="s">
        <v>187</v>
      </c>
      <c r="E275" s="168">
        <v>0</v>
      </c>
      <c r="F275" s="383"/>
      <c r="G275" s="153" t="s">
        <v>29</v>
      </c>
      <c r="H275" s="7" t="s">
        <v>76</v>
      </c>
      <c r="I275" s="468">
        <f>IF(-E286&gt;0,-E286,0)</f>
        <v>0</v>
      </c>
      <c r="J275" s="458"/>
    </row>
    <row r="276" spans="1:10" s="382" customFormat="1" ht="15.75">
      <c r="A276" s="50" t="s">
        <v>24</v>
      </c>
      <c r="B276" s="95">
        <v>131</v>
      </c>
      <c r="C276" s="206">
        <v>0</v>
      </c>
      <c r="D276" s="387" t="s">
        <v>187</v>
      </c>
      <c r="E276" s="168">
        <v>0</v>
      </c>
      <c r="F276" s="383"/>
      <c r="G276" s="153" t="s">
        <v>97</v>
      </c>
      <c r="H276" s="7" t="s">
        <v>26</v>
      </c>
      <c r="I276" s="468">
        <f>IF(-E284&gt;0,-E284,0)</f>
        <v>68424.86</v>
      </c>
      <c r="J276" s="458">
        <f>IF(-E284&lt;0,-E284,0)</f>
        <v>0</v>
      </c>
    </row>
    <row r="277" spans="1:10" s="382" customFormat="1" ht="15.75">
      <c r="A277" s="50" t="s">
        <v>24</v>
      </c>
      <c r="B277" s="95">
        <v>132</v>
      </c>
      <c r="C277" s="206">
        <v>0</v>
      </c>
      <c r="D277" s="387" t="s">
        <v>187</v>
      </c>
      <c r="E277" s="168">
        <v>0</v>
      </c>
      <c r="F277" s="383"/>
      <c r="G277" s="153" t="s">
        <v>10</v>
      </c>
      <c r="H277" s="7" t="s">
        <v>17</v>
      </c>
      <c r="I277" s="468"/>
      <c r="J277" s="458"/>
    </row>
    <row r="278" spans="1:10" s="382" customFormat="1" ht="16.5" thickBot="1">
      <c r="A278" s="50" t="s">
        <v>24</v>
      </c>
      <c r="B278" s="95">
        <v>146</v>
      </c>
      <c r="C278" s="206">
        <v>2936207</v>
      </c>
      <c r="D278" s="387" t="s">
        <v>187</v>
      </c>
      <c r="E278" s="168">
        <v>0</v>
      </c>
      <c r="F278" s="383"/>
      <c r="G278" s="154" t="s">
        <v>98</v>
      </c>
      <c r="H278" s="147" t="s">
        <v>27</v>
      </c>
      <c r="I278" s="460">
        <f>IF(-(E266-E287)&lt;0,0,-(E266-E287))</f>
        <v>0</v>
      </c>
      <c r="J278" s="469">
        <f>IF(-(E266-E287)&gt;0,0,-(E266-E287))</f>
        <v>-64317.739999999991</v>
      </c>
    </row>
    <row r="279" spans="1:10" s="382" customFormat="1" ht="15.75">
      <c r="A279" s="50" t="s">
        <v>151</v>
      </c>
      <c r="B279" s="95"/>
      <c r="C279" s="206"/>
      <c r="D279" s="387"/>
      <c r="E279" s="168">
        <v>0</v>
      </c>
      <c r="F279" s="383"/>
      <c r="G279" s="383"/>
      <c r="H279" s="383"/>
      <c r="I279" s="383"/>
      <c r="J279" s="336">
        <f>SUM(I274:J278)</f>
        <v>0</v>
      </c>
    </row>
    <row r="280" spans="1:10" s="382" customFormat="1" ht="15.75">
      <c r="A280" s="141" t="s">
        <v>143</v>
      </c>
      <c r="B280" s="95">
        <v>146</v>
      </c>
      <c r="C280" s="206"/>
      <c r="D280" s="121"/>
      <c r="E280" s="168">
        <v>0</v>
      </c>
      <c r="F280" s="383"/>
      <c r="G280" s="123"/>
      <c r="H280" s="7"/>
      <c r="I280" s="7"/>
      <c r="J280" s="7"/>
    </row>
    <row r="281" spans="1:10" s="382" customFormat="1" ht="15.75">
      <c r="A281" s="141" t="s">
        <v>105</v>
      </c>
      <c r="B281" s="95"/>
      <c r="C281" s="206"/>
      <c r="D281" s="121"/>
      <c r="E281" s="226">
        <v>13852.98</v>
      </c>
      <c r="F281" s="383"/>
      <c r="G281" s="123"/>
      <c r="H281" s="7"/>
      <c r="I281" s="12"/>
      <c r="J281" s="12"/>
    </row>
    <row r="282" spans="1:10" s="382" customFormat="1" ht="16.5" thickBot="1">
      <c r="A282" s="50"/>
      <c r="B282" s="95"/>
      <c r="C282" s="159">
        <f>SUM(C271:C281)</f>
        <v>24054373</v>
      </c>
      <c r="D282" s="142"/>
      <c r="E282" s="207">
        <f>SUM(E271:E281)</f>
        <v>-68424.86</v>
      </c>
      <c r="F282" s="383">
        <f>SUM(E271:E274)</f>
        <v>-82277.84</v>
      </c>
      <c r="G282" s="123"/>
      <c r="H282" s="7"/>
      <c r="I282" s="7"/>
      <c r="J282" s="8"/>
    </row>
    <row r="283" spans="1:10" s="382" customFormat="1" ht="16.5" thickTop="1">
      <c r="A283" s="50"/>
      <c r="B283" s="95"/>
      <c r="C283" s="224">
        <v>24054373</v>
      </c>
      <c r="D283" s="142" t="s">
        <v>161</v>
      </c>
      <c r="E283" s="156">
        <v>0</v>
      </c>
      <c r="F283" s="383"/>
      <c r="G283" s="11"/>
      <c r="H283" s="7"/>
      <c r="I283" s="8"/>
      <c r="J283" s="7"/>
    </row>
    <row r="284" spans="1:10" s="382" customFormat="1" ht="16.5" thickBot="1">
      <c r="A284" s="50"/>
      <c r="B284" s="95"/>
      <c r="C284" s="230">
        <f>C283-C282</f>
        <v>0</v>
      </c>
      <c r="D284" s="142"/>
      <c r="E284" s="160">
        <f>SUM(E282:E283)</f>
        <v>-68424.86</v>
      </c>
      <c r="F284" s="383"/>
      <c r="G284" s="65" t="s">
        <v>158</v>
      </c>
      <c r="H284" s="7"/>
      <c r="I284" s="7"/>
      <c r="J284" s="7"/>
    </row>
    <row r="285" spans="1:10" s="382" customFormat="1" ht="16.5" thickTop="1">
      <c r="A285" s="383"/>
      <c r="B285" s="383"/>
      <c r="C285" s="383"/>
      <c r="D285" s="142" t="s">
        <v>87</v>
      </c>
      <c r="E285" s="50">
        <f>E284+E266</f>
        <v>1482262.4810608793</v>
      </c>
      <c r="F285" s="383"/>
      <c r="G285" s="8">
        <f>(E266*(D286/12))+(E284*(D286/24))</f>
        <v>4107.1195507898819</v>
      </c>
      <c r="H285" s="464"/>
      <c r="I285" s="464"/>
      <c r="J285" s="7"/>
    </row>
    <row r="286" spans="1:10" s="382" customFormat="1" ht="15.75">
      <c r="A286" s="383"/>
      <c r="B286" s="383"/>
      <c r="C286" s="50" t="s">
        <v>57</v>
      </c>
      <c r="D286" s="225">
        <v>3.2500000000000001E-2</v>
      </c>
      <c r="E286" s="119">
        <f>ROUND(((E266)+(SUM(E284))/2)*(D286/12),2)</f>
        <v>4107.12</v>
      </c>
      <c r="F286" s="383"/>
      <c r="G286" s="8"/>
      <c r="H286" s="7"/>
      <c r="I286" s="12"/>
      <c r="J286" s="12"/>
    </row>
    <row r="287" spans="1:10" s="382" customFormat="1" ht="15.75">
      <c r="A287" s="383"/>
      <c r="B287" s="383"/>
      <c r="C287" s="50" t="s">
        <v>1</v>
      </c>
      <c r="D287" s="90">
        <f>A269</f>
        <v>41608</v>
      </c>
      <c r="E287" s="50">
        <f>SUM(E285:E286)</f>
        <v>1486369.6010608794</v>
      </c>
      <c r="F287" s="383"/>
      <c r="G287" s="245"/>
    </row>
    <row r="288" spans="1:10" s="382" customFormat="1" ht="15.75" thickBot="1"/>
    <row r="289" spans="1:10" s="382" customFormat="1" ht="15.75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2" customFormat="1" ht="15.75">
      <c r="A290" s="219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2" customFormat="1" ht="16.5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3"/>
      <c r="G291" s="383"/>
      <c r="H291" s="383"/>
      <c r="I291" s="383"/>
      <c r="J291" s="383"/>
    </row>
    <row r="292" spans="1:10" s="382" customFormat="1" ht="15.75">
      <c r="A292" s="50" t="s">
        <v>24</v>
      </c>
      <c r="B292" s="95">
        <v>101</v>
      </c>
      <c r="C292" s="206">
        <f>Jan!$G$23</f>
        <v>20257484</v>
      </c>
      <c r="D292" s="387" t="s">
        <v>187</v>
      </c>
      <c r="E292" s="168">
        <v>-56737.25</v>
      </c>
      <c r="F292" s="383"/>
      <c r="G292" s="383"/>
      <c r="H292" s="383"/>
      <c r="I292" s="383"/>
      <c r="J292" s="383"/>
    </row>
    <row r="293" spans="1:10" s="382" customFormat="1" ht="16.5" thickBot="1">
      <c r="A293" s="50" t="s">
        <v>24</v>
      </c>
      <c r="B293" s="95">
        <v>111</v>
      </c>
      <c r="C293" s="206">
        <f>Jan!$G$25</f>
        <v>6608892</v>
      </c>
      <c r="D293" s="387" t="s">
        <v>187</v>
      </c>
      <c r="E293" s="168">
        <v>-36348.93</v>
      </c>
      <c r="F293" s="383"/>
      <c r="G293" s="123">
        <f>A290</f>
        <v>41639</v>
      </c>
      <c r="H293" s="383"/>
      <c r="I293" s="383"/>
      <c r="J293" s="383"/>
    </row>
    <row r="294" spans="1:10" s="382" customFormat="1" ht="16.5" thickBot="1">
      <c r="A294" s="50" t="s">
        <v>24</v>
      </c>
      <c r="B294" s="95">
        <v>112</v>
      </c>
      <c r="C294" s="206">
        <f>Jan!$G$26</f>
        <v>10558</v>
      </c>
      <c r="D294" s="387" t="s">
        <v>187</v>
      </c>
      <c r="E294" s="168">
        <v>0</v>
      </c>
      <c r="F294" s="383"/>
      <c r="G294" s="113" t="s">
        <v>25</v>
      </c>
      <c r="H294" s="205"/>
      <c r="I294" s="126" t="s">
        <v>18</v>
      </c>
      <c r="J294" s="126" t="s">
        <v>19</v>
      </c>
    </row>
    <row r="295" spans="1:10" s="382" customFormat="1" ht="15.75">
      <c r="A295" s="50" t="s">
        <v>24</v>
      </c>
      <c r="B295" s="95">
        <v>121</v>
      </c>
      <c r="C295" s="206">
        <f>Jan!$G$27</f>
        <v>362835</v>
      </c>
      <c r="D295" s="387" t="s">
        <v>187</v>
      </c>
      <c r="E295" s="168">
        <v>-8844.16</v>
      </c>
      <c r="F295" s="383"/>
      <c r="G295" s="151" t="s">
        <v>28</v>
      </c>
      <c r="H295" s="152" t="s">
        <v>75</v>
      </c>
      <c r="I295" s="466"/>
      <c r="J295" s="467">
        <f>IF(-E307&lt;0,-E307,0)</f>
        <v>-3887.55</v>
      </c>
    </row>
    <row r="296" spans="1:10" s="382" customFormat="1" ht="15.75">
      <c r="A296" s="50" t="s">
        <v>24</v>
      </c>
      <c r="B296" s="95">
        <v>122</v>
      </c>
      <c r="C296" s="206">
        <v>0</v>
      </c>
      <c r="D296" s="387" t="s">
        <v>187</v>
      </c>
      <c r="E296" s="168">
        <v>0</v>
      </c>
      <c r="F296" s="383"/>
      <c r="G296" s="153" t="s">
        <v>29</v>
      </c>
      <c r="H296" s="7" t="s">
        <v>76</v>
      </c>
      <c r="I296" s="468">
        <f>IF(-E307&gt;0,-E307,0)</f>
        <v>0</v>
      </c>
      <c r="J296" s="458"/>
    </row>
    <row r="297" spans="1:10" s="382" customFormat="1" ht="15.75">
      <c r="A297" s="50" t="s">
        <v>24</v>
      </c>
      <c r="B297" s="95">
        <v>131</v>
      </c>
      <c r="C297" s="206">
        <f>Jan!$G$29</f>
        <v>0</v>
      </c>
      <c r="D297" s="387" t="s">
        <v>187</v>
      </c>
      <c r="E297" s="168">
        <v>0</v>
      </c>
      <c r="F297" s="383"/>
      <c r="G297" s="153" t="s">
        <v>97</v>
      </c>
      <c r="H297" s="7" t="s">
        <v>26</v>
      </c>
      <c r="I297" s="468">
        <f>IF(-E305&gt;0,-E305,0)</f>
        <v>101930.34</v>
      </c>
      <c r="J297" s="458">
        <f>IF(-E305&lt;0,-E305,0)</f>
        <v>0</v>
      </c>
    </row>
    <row r="298" spans="1:10" s="382" customFormat="1" ht="15.75">
      <c r="A298" s="50" t="s">
        <v>24</v>
      </c>
      <c r="B298" s="95">
        <v>132</v>
      </c>
      <c r="C298" s="206">
        <v>0</v>
      </c>
      <c r="D298" s="387" t="s">
        <v>187</v>
      </c>
      <c r="E298" s="168">
        <v>0</v>
      </c>
      <c r="F298" s="383"/>
      <c r="G298" s="153" t="s">
        <v>10</v>
      </c>
      <c r="H298" s="7" t="s">
        <v>17</v>
      </c>
      <c r="I298" s="468"/>
      <c r="J298" s="458"/>
    </row>
    <row r="299" spans="1:10" s="382" customFormat="1" ht="16.5" thickBot="1">
      <c r="A299" s="50" t="s">
        <v>24</v>
      </c>
      <c r="B299" s="95">
        <v>146</v>
      </c>
      <c r="C299" s="206">
        <f>Jan!$G$31</f>
        <v>3629622</v>
      </c>
      <c r="D299" s="387" t="s">
        <v>187</v>
      </c>
      <c r="E299" s="168">
        <v>0</v>
      </c>
      <c r="F299" s="383"/>
      <c r="G299" s="154" t="s">
        <v>98</v>
      </c>
      <c r="H299" s="147" t="s">
        <v>27</v>
      </c>
      <c r="I299" s="460">
        <f>IF(-(E287-E308)&lt;0,0,-(E287-E308))</f>
        <v>0</v>
      </c>
      <c r="J299" s="469">
        <f>IF(-(E287-E308)&gt;0,0,-(E287-E308))</f>
        <v>-98042.790000000037</v>
      </c>
    </row>
    <row r="300" spans="1:10" s="382" customFormat="1" ht="15.75">
      <c r="A300" s="50" t="s">
        <v>151</v>
      </c>
      <c r="B300" s="95"/>
      <c r="C300" s="206"/>
      <c r="D300" s="387"/>
      <c r="E300" s="168">
        <v>0</v>
      </c>
      <c r="F300" s="383"/>
      <c r="G300" s="383"/>
      <c r="H300" s="383"/>
      <c r="I300" s="383"/>
      <c r="J300" s="336">
        <f>SUM(I295:J299)</f>
        <v>0</v>
      </c>
    </row>
    <row r="301" spans="1:10" s="382" customFormat="1" ht="15.75">
      <c r="A301" s="141" t="s">
        <v>143</v>
      </c>
      <c r="B301" s="95">
        <v>146</v>
      </c>
      <c r="C301" s="206"/>
      <c r="D301" s="121"/>
      <c r="E301" s="168">
        <v>0</v>
      </c>
      <c r="F301" s="383"/>
      <c r="G301" s="123"/>
      <c r="H301" s="7"/>
      <c r="I301" s="7"/>
      <c r="J301" s="7"/>
    </row>
    <row r="302" spans="1:10" s="382" customFormat="1" ht="15.75">
      <c r="A302" s="141" t="s">
        <v>105</v>
      </c>
      <c r="B302" s="95"/>
      <c r="C302" s="206"/>
      <c r="D302" s="121"/>
      <c r="E302" s="226">
        <v>0</v>
      </c>
      <c r="F302" s="383"/>
      <c r="G302" s="123"/>
      <c r="H302" s="7"/>
      <c r="I302" s="12"/>
      <c r="J302" s="12"/>
    </row>
    <row r="303" spans="1:10" s="382" customFormat="1" ht="16.5" thickBot="1">
      <c r="A303" s="50"/>
      <c r="B303" s="95"/>
      <c r="C303" s="159">
        <f>SUM(C292:C302)</f>
        <v>30869391</v>
      </c>
      <c r="D303" s="142"/>
      <c r="E303" s="207">
        <f>SUM(E292:E302)</f>
        <v>-101930.34</v>
      </c>
      <c r="F303" s="383"/>
      <c r="G303" s="123"/>
      <c r="H303" s="7"/>
      <c r="I303" s="7"/>
      <c r="J303" s="8"/>
    </row>
    <row r="304" spans="1:10" s="382" customFormat="1" ht="16.5" thickTop="1">
      <c r="A304" s="50"/>
      <c r="B304" s="95"/>
      <c r="C304" s="224">
        <v>34418458</v>
      </c>
      <c r="D304" s="142" t="s">
        <v>161</v>
      </c>
      <c r="E304" s="156">
        <v>0</v>
      </c>
      <c r="F304" s="383"/>
      <c r="G304" s="11"/>
      <c r="H304" s="7"/>
      <c r="I304" s="8"/>
      <c r="J304" s="7"/>
    </row>
    <row r="305" spans="1:10" s="382" customFormat="1" ht="16.5" thickBot="1">
      <c r="A305" s="50"/>
      <c r="B305" s="95"/>
      <c r="C305" s="230">
        <f>C304-C303</f>
        <v>3549067</v>
      </c>
      <c r="D305" s="142"/>
      <c r="E305" s="160">
        <f>SUM(E303:E304)</f>
        <v>-101930.34</v>
      </c>
      <c r="F305" s="383"/>
      <c r="G305" s="65" t="s">
        <v>158</v>
      </c>
      <c r="H305" s="7"/>
      <c r="I305" s="7"/>
      <c r="J305" s="7"/>
    </row>
    <row r="306" spans="1:10" s="382" customFormat="1" ht="16.5" thickTop="1">
      <c r="A306" s="383"/>
      <c r="B306" s="383"/>
      <c r="C306" s="383"/>
      <c r="D306" s="142" t="s">
        <v>87</v>
      </c>
      <c r="E306" s="50">
        <f>E305+E287</f>
        <v>1384439.2610608793</v>
      </c>
      <c r="F306" s="383"/>
      <c r="G306" s="8">
        <f>(E287*(D307/12))+(E305*(D307/24))</f>
        <v>3887.5536674565483</v>
      </c>
      <c r="H306" s="470"/>
      <c r="I306" s="470"/>
      <c r="J306" s="7"/>
    </row>
    <row r="307" spans="1:10" s="382" customFormat="1" ht="15.75">
      <c r="A307" s="383"/>
      <c r="B307" s="383"/>
      <c r="C307" s="50" t="s">
        <v>57</v>
      </c>
      <c r="D307" s="225">
        <v>3.2500000000000001E-2</v>
      </c>
      <c r="E307" s="119">
        <f>ROUND(((E287)+(SUM(E305))/2)*(D307/12),2)</f>
        <v>3887.55</v>
      </c>
      <c r="F307" s="383"/>
      <c r="G307" s="8"/>
      <c r="H307" s="7"/>
      <c r="I307" s="12"/>
      <c r="J307" s="12"/>
    </row>
    <row r="308" spans="1:10" s="382" customFormat="1" ht="15.75">
      <c r="A308" s="383"/>
      <c r="B308" s="383"/>
      <c r="C308" s="50" t="s">
        <v>1</v>
      </c>
      <c r="D308" s="90">
        <f>A290</f>
        <v>41639</v>
      </c>
      <c r="E308" s="50">
        <f>SUM(E306:E307)</f>
        <v>1388326.8110608794</v>
      </c>
      <c r="F308" s="383"/>
      <c r="G308" s="473" t="s">
        <v>244</v>
      </c>
      <c r="H308" s="474" t="e">
        <f>_xll.Get_Balance(I308,"YTD","USD","Total","A","","001","191000","GD","WA","DL")-E308</f>
        <v>#VALUE!</v>
      </c>
      <c r="I308" s="475">
        <v>201312</v>
      </c>
    </row>
    <row r="309" spans="1:10" s="382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ZCMCtii8ABKECAh4AAERjb20uZXhjZWw0YXBwcy53YW5kLm9yYWNsZS5n
bHdhbmQuY2FsY3VsYXRpb25zLmdldGJhbGFuY2UuR2V0QmFsYW5jZQIBAAk2NDk0
MDcwOTYCAgABMAIDAAYyMDE4MDMCBAADWVREAgUAA1VTRAIGAAVUb3RhbAIHAAFB
AggAAAIJAAMwMDECCgAGMTkxMDEwAgsAAkdEAgwAAldBAg0AAkRMAggCCAIIAggC
CAIIAggCCAIIAggCCAIIAggCCAIIAggCCAIO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Un6jGnh4d00CHgACAQICAhsABjIwMTcwMgIEAgUCBgIHAggCCQIKAgsCDAIN
AggCCAIIAggCCAIIAggCCAIIAggCCAIIAggCCAIIAggCCAIOAgMCHHNxAH4AAAAA
AAJzcQB+AAT///////////////7////+/////3VxAH4ABwAAAARJi1PJeHh3TQIeAAIBAgICHQAGMjAxNzA5AgQCBQIGAgcCCAIJAgoCCwIMAg0CCAIIAggCCAIIAggCCAIIAggCCAIIAggCCAIIAggCCAIIAg4CAwIec3EAfgAAAAAAAnNxAH4ABP///////////////v////7/////dXEAfgAHAAAABHEGWUl4eHdNAh4AAgECAgIfAAYyMDE4MDECBAIFAgYCBwIIAgkCCgILAgwCDQIIAggCCAIIAggCCAIIAggCCAIIAggCCAIIAggCCAIIAggCDgIDAiBzcQB+AAAAAAACc3EAfgAE///////////////+/////v////91cQB+AAcAAAAETu7o2nh4d00CHgACAQICAiEABjIwMTcwNgIEAgUCBgIHAggCCQIKAgsCDAINAggCCAIIAggCCAIIAggCCAIIAggCCAIIAggCCAIIAggCCAIOAgMCInNxAH4AAAAAAAJzcQB+AAT///////////////7////+/////3VxAH4ABwAAAARYCwcseHh3TQIeAAIBAgICIwAGMjAxNzA0AgQCBQIGAgcCCAIJAgoCCwIMAg0CCAIIAggCCAIIAggCCAIIAggCCAIIAggCCAIIAggCCAIIAg4CAwIkc3EAfgAAAAAAAnNxAH4ABP///////////////v////7/////dXEAfgAHAAAABFpw2Xd4eHdNAh4AAgECAgIlAAYyMDE3MDgCBAIFAgYCBwIIAgkCCgILAgwCDQIIAggCCAIIAggCCAIIAggCCAIIAggCCAIIAggCCAIIAggCDgIDAiZzcQB+AAAAAAACc3EAfgAE///////////////+/////v////91cQB+AAcAAAAEZTFBq3h4d00CHgACAQICAicABjIwMTcxMQIEAgUCBgIHAggCCQIKAgsCDAINAggCCAIIAggCCAIIAggCCAIIAggCCAIIAggCCAIIAggCCAIOAgMCKHNxAH4AAAAAAAJzcQB+AAT///////////////7////+/////3VxAH4ABwAAAAQw0KqzeHh3TQIeAAIBAgICKQAGMjAxNzEyAgQCBQIGAgcCCAIJAgoCCwIMAg0CCAIIAggCCAIIAggCCAIIAggCCAIIAggCCAIIAggCCAIIAg4CAwIqc3EAfgAAAAAAAnNxAH4ABP///////////////v////7/////dXEAfgAHAAAABEI0vHx4eHdNAh4AAgECAgIrAAYyMDE3MDECBAIFAgYCBwIIAgkCCgILAgwCDQIIAggCCAIIAggCCAIIAggCCAIIAggCCAIIAggCCAIIAggCDgIDAixzcQB+AAAAAAACc3EAfgAE///////////////+/////v////91cQB+AAcAAAAEPRU7dnh4d00CHgACAQICAi0ABjIwMTcwMwIEAgUCBgIHAggCCQIKAgsCDAINAggCCAIIAggCCAIIAggCCAIIAggCCAIIAggCCAIIAggCCAIOAgMCLnNxAH4AAAAAAAJzcQB+AAT///////////////7////+/////3VxAH4ABwAAAARTY5smeHh3TQIeAAIBAgICLwAGMjAxODAyAgQCBQIGAgcCCAIJAgoCCwIMAg0CCAIIAggCCAIIAggCCAIIAggCCAIIAggCCAIIAggCCAIIAg4CAwIwc3EAfgAAAAAAAnNxAH4ABP///////////////v////7/////dXEAfgAHAAAABE8qcfl4eHdNAh4AAgECAgIxAAYyMDE3MDcCBAIFAgYCBwIIAgkCCgILAgwCDQIIAggCCAIIAggCCAIIAggCCAIIAggCCAIIAggCCAIIAggCDgIDAjJzcQB+AAAAAAACc3EAfgAE///////////////+/////v////91cQB+AAcAAAAEXtRi+Hh4d00CHgACAQICAjMABjIwMTcwNQIEAgUCBgIHAggCCQIKAgsCDAINAggCCAIIAggCCAIIAggCCAIIAggCCAIIAggCCAIIAggCCAIOAgMCNHNxAH4AAAAAAAJzcQB+AAT///////////////7////+/////3VxAH4ABwAAAARZ/eXyeHh3TQIeAAIBAgICNQAGMjAxNzEwAgQCBQIGAgcCCAIJAgoCCwIMAg0CCAIIAggCCAIIAggCCAIIAggCCAIIAggCCAIIAggCCAIIAg4CAwI2c3EAfgAAAAAAAnNxAH4ABP///////////////v////7/////dXEAfgAHAAAABILciPF4eHdgAh4AAjcACTY1MzQwMzE5MgICAjgABjIwMTMxMgIEAgUCBgIHAggCCQI5AAYxOTEwMjUCCwIMAg0CCAIIAggCCAIIAggCCAIIAggCCAIIAggCCAIIAggCCAIIAh4CAwI6c3EAfgAAAAAAAnNxAH4ABP///////////////v////7/////dXEAfgAHAAAAAxTl5Hh4d1oCHgACOwAHODY0NDg4MAICAh8CBAIFAgYCBwIIAgkCPAAGMTkxMDE1AgsCPQACSUQCDQIIAggCCAIIAggCCAIIAggCCAIIAggCCAIIAggCCAIIAggCEQIDAj5zcQB+AAAAAAACc3EAfgAE///////////////+/////gAAAAB1cQB+AAcAAAAAeHh3RQIeAAI7AgICHQIEAgUCBgIHAggCCQI8AgsCPQINAggCCAIIAggCCAIIAggCCAIIAggCCAIIAggCCAIIAggCCAIRAgMCP3NxAH4AAAAAAAJzcQB+AAT///////////////7////+/////3VxAH4ABwAAAAMSoqh4eHdNAh4AAjsCAgJAAAYyMDE2MDkCBAIFAgYCBwIIAgkCCgILAj0CDQIIAggCCAIIAggCCAIIAggCCAIIAggCCAIIAggCCAIIAggCEQIDAkFzcQB+AAAAAAACc3EAfgAE///////////////+/////v////91cQB+AAcAAAAEM7yWknh4d00CHgACOwICAgMCBAIFAgYCBwIIAgkCQgAGMTkxMDAwAgsCPQINAggCCAIIAggCCAIIAggCCAIIAggCCAIIAggCCAIIAggCCAIRAgMCQ3NxAH4AAAAAAAJzcQB+AAT///////////////7////+/////3VxAH4ABwAAAAQE4d6ZeHh3TQIeAAI7AgICRAAGMjAxNjA4AgQCBQIGAgcCCAIJAjwCCwI9Ag0CCAIIAggCCAIIAggCCAIIAggCCAIIAggCCAIIAggCCAIIAhECAwJFc3EAfgAAAAAAAnNxAH4ABP///////////////v////7/////dXEAfgAHAAAAAxJvRnh4d0UCHgACOwICAh8CBAIFAgYCBwIIAgkCCgILAj0CDQIIAggCCAIIAggCCAIIAggCCAIIAggCCAIIAggCCAIIAggCEQIDAkZzcQB+AAAAAAACc3EAfgAE///////////////+/////v////91cQB+AAcAAAAEKSCPhXh4d0UCHgACOwICAhsCBAIFAgYCBwIIAgkCQgILAj0CDQIIAggCCAIIAggCCAIIAggCCAIIAggCCAIIAggCCAIIAggCEQIDAkdzcQB+AAAAAAACc3EAfgAE///////////////+/////v////91cQB+AAcAAAAEDgscSnh4d0UCHgACOwICAiUCBAIFAgYCBwIIAgkCPAILAj0CDQIIAggCCAIIAggCCAIIAggCCAIIAggCCAIIAggCCAIIAggCEQIDAkhzcQB+AAAAAAACc3EAfgAE///////////////+/////v////91cQB+AAcAAAADEp6veHh3RQIeAAI7AgICLwIEAgUCBgIHAggCCQJCAgsCPQINAggCCAIIAggCCAIIAggCCAIIAggCCAIIAggCCAIIAggCCAIRAgMCSXNxAH4AAAAAAAJzcQB+AAT///////////////7////+/////3VxAH4ABwAAAAQKK9PneHh3TQIeAAI7AgICSgAGMjAxNjA3AgQCBQIGAgcCCAIJAjwCCwI9Ag0CCAIIAggCCAIIAggCCAIIAggCCAIIAggCCAIIAggCCAIIAhECAwJLc3EAfgAAAAAAAnNxAH4ABP///////////////v////7/////dXEAfgAHAAAAAxJrWHh4d0UCHgACOwICAisCBAIFAgYCBwIIAgkCQgILAj0CDQIIAggCCAIIAggCCAIIAggCCAIIAggCCAIIAggCCAIIAggCEQIDAkxzcQB+AAAAAAACc3EAfgAE///////////////+/////v////91cQB+AAcAAAAEFDr3g3h4d0UCHgACOwICAi0CBAIFAgYCBwIIAgkCCgILAj0CDQIIAggCCAIIAggCCAIIAggCCAIIAggCCAIIAggCCAIIAggCEQIDAk1zcQB+AAAAAAACc3EAfgAE///////////////+/////v////91cQB+AAcAAAAEJngfcXh4d00CHgACOwICAk4ABjIwMTYwMgIEAgUCBgIHAggCCQIKAgsCPQINAggCCAIIAggCCAIIAggCCAIIAggCCAIIAggCCAIIAggCCAIRAgMCT3NxAH4AAAAAAAJzcQB+AAT///////////////7////+/////3VxAH4ABwAAAAQbsx5ceHh3RQIeAAI7AgICIwIEAgUCBgIHAggCCQJCAgsCPQINAggCCAIIAggCCAIIAggCCAIIAggCCAIIAggCCAIIAggCCAIRAgMCUHNxAH4AAAAAAAJzcQB+AAT///////////////7////+/////3VxAH4ABwAAAAQFBKNBeHh3TQIeAAI7AgICUQAGMjAxNjAzAgQCBQIGAgcCCAIJAkICCwI9Ag0CCAIIAggCCAIIAggCCAIIAggCCAIIAggCCAIIAggCCAIIAhECAwJSc3EAfgAAAAAAAnNxAH4ABP///////////////v////7/////dXEAfgAHAAAABAL7S4t4eHdFAh4AAjsCAgJAAgQCBQIGAgcCCAIJAkICCwI9Ag0CCAIIAggCCAIIAggCCAIIAggCCAIIAggCCAIIAggCCAIIAhECAwJTc3EAfgAAAAAAAnNxAH4ABP///////////////v////7/////dXEAfgAHAAAAAzL3EXh4d0UCHgACOwICAjUCBAIFAgYCBwIIAgkCQgILAj0CDQIIAggCCAIIAggCCAIIAggCCAIIAggCCAIIAggCCAIIAggCEQIDAlRzcQB+AAAAAAACc3EAfgAE///////////////+/////gAAAAF1cQB+AAcAAAAEBhtaanh4d0UCHgACOwICAisCBAIFAgYCBwIIAgkCPAILAj0CDQIIAggCCAIIAggCCAIIAggCCAIIAggCCAIIAggCCAIIAggCEQIDAlVzcQB+AAAAAAACc3EAfgAE///////////////+/////v////91cQB+AAcAAAADEoL4eHh3igIeAAI7AgICKQIEAgUCBgIHAggCCQI8AgsCPQINAggCCAIIAggCCAIIAggCCAIIAggCCAIIAggCCAIIAggCCAIRAgMCPgIeAAI7AgICIQIEAgUCBgIHAggCCQI8AgsCPQINAggCCAIIAggCCAIIAggCCAIIAggCCAIIAggCCAIIAggCCAIRAgMCVnNxAH4AAAAAAAJzcQB+AAT///////////////7////+/////3VxAH4ABwAAAAMSlsB4eHdNAh4AAjsCAgJXAAYyMDE2MTECBAIFAgYCBwIIAgkCPAILAj0CDQIIAggCCAIIAggCCAIIAggCCAIIAggCCAIIAggCCAIIAggCEQIDAlhzcQB+AAAAAAACc3EAfgAE///////////////+/////v////91cQB+AAcAAAADEnsVeHh3TQIeAAI7AgICWQAGMjAxNjA1AgQCBQIGAgcCCAIJAgoCCwI9Ag0CCAIIAggCCAIIAggCCAIIAggCCAIIAggCCAIIAggCCAIIAhECAwJac3EAfgAAAAAAAnNxAH4ABP///////////////v////7/////dXEAfgAHAAAABCYvMsJ4eHdFAh4AAjsCAgJEAgQCBQIGAgcCCAIJAgoCCwI9Ag0CCAIIAggCCAIIAggCCAIIAggCCAIIAggCCAIIAggCCAIIAhECAwJbc3EAfgAAAAAAAnNxAH4ABP///////////////v////7/////dXEAfgAHAAAABDHvtRl4eHdFAh4AAjsCAgJZAgQCBQIGAgcCCAIJAjwCCwI9Ag0CCAIIAggCCAIIAggCCAIIAggCCAIIAggCCAIIAggCCAIIAhECAwJcc3EAfgAAAAAAAnNxAH4ABP///////////////v////7/////dXEAfgAHAAAAAxJjf3h4d0UCHgACOwICAi8CBAIFAgYCBwIIAgkCCgILAj0CDQIIAggCCAIIAggCCAIIAggCCAIIAggCCAIIAggCCAIIAggCEQIDAl1zcQB+AAAAAAACc3EAfgAE///////////////+/////v////91cQB+AAcAAAAEKUaEtnh4d0UCHgACOwICAikCBAIFAgYCBwIIAgkCCgILAj0CDQIIAggCCAIIAggCCAIIAggCCAIIAggCCAIIAggCCAIIAggCEQIDAl5zcQB+AAAAAAACc3EAfgAE///////////////+/////v////91cQB+AAcAAAAEJDRt9Hh4d0UCHgACOwICAh0CBAIFAgYCBwIIAgkCCgILAj0CDQIIAggCCAIIAggCCAIIAggCCAIIAggCCAIIAggCCAIIAggCEQIDAl9zcQB+AAAAAAACc3EAfgAE///////////////+/////v////91cQB+AAcAAAAEOUUu/nh4d0UCHgACOwICAisCBAIFAgYCBwIIAgkCCgILAj0CDQIIAggCCAIIAggCCAIIAggCCAIIAggCCAIIAggCCAIIAggCEQIDAmBzcQB+AAAAAAACc3EAfgAE///////////////+/////v////91cQB+AAcAAAAEHbH6THh4d4oCHgACOwICAi8CBAIFAgYCBwIIAgkCPAILAj0CDQIIAggCCAIIAggCCAIIAggCCAIIAggCCAIIAggCCAIIAggCEQIDAj4CHgACOwICAjECBAIFAgYCBwIIAgkCQgILAj0CDQIIAggCCAIIAggCCAIIAggCCAIIAggCCAIIAggCCAIIAggCEQIDAmFzcQB+AAAAAAACc3EAfgAE///////////////+/////v////91cQB+AAcAAAADTrgKeHh3TQIeAAI7AgICYgAGMjAxNjA2AgQCBQIGAgcCCAIJAkICCwI9Ag0CCAIIAggCCAIIAggCCAIIAggCCAIIAggCCAIIAggCCAIIAhECAwJjc3EAfgAAAAAAAnNxAH4ABP///////////////v////7/////dXEAfgAHAAAABAFkyvJ4eHeKAh4AAjsCAgInAgQCBQIGAgcCCAIJAjwCCwI9Ag0CCAIIAggCCAIIAggCCAIIAggCCAIIAggCCAIIAggCCAIIAhECAwI+Ah4AAjsCAgJXAgQCBQIGAgcCCAIJAgoCCwI9Ag0CCAIIAggCCAIIAggCCAIIAggCCAIIAggCCAIIAggCCAIIAhECAwJkc3EAfgAAAAAAAnNxAH4ABP///////////////v////7/////dXEAfgAHAAAABAvREnR4eHdNAh4AAjsCAgJlAAYyMDE2MDQCBAIFAgYCBwIIAgkCCgILAj0CDQIIAggCCAIIAggCCAIIAggCCAIIAggCCAIIAggCCAIIAggCEQIDAmZzcQB+AAAAAAACc3EAfgAE///////////////+/////v////91cQB+AAcAAAAEI8Z4/Xh4d00CHgACOwICAmcABjIwMTYxMAIEAgUCBgIHAggCCQI8AgsCPQINAggCCAIIAggCCAIIAggCCAIIAggCCAIIAggCCAIIAggCCAIRAgMCaHNxAH4AAAAAAAJzcQB+AAT///////////////7////+/////3VxAH4ABwAAAAMSdyV4eHdFAh4AAjsCAgJlAgQCBQIGAgcCCAIJAjwCCwI9Ag0CCAIIAggCCAIIAggCCAIIAggCCAIIAggCCAIIAggCCAIIAhECAwJpc3EAfgAAAAAAAnNxAH4ABP///////////////v////7/////dXEAfgAHAAAAAxJflHh4d0UCHgACOwICAiMCBAIFAgYCBwIIAgkCPAILAj0CDQIIAggCCAIIAggCCAIIAggCCAIIAggCCAIIAggCCAIIAggCEQIDAmpzcQB+AAAAAAACc3EAfgAE///////////////+/////v////91cQB+AAcAAAADEo7UeHh3RQIeAAI7AgICJwIEAgUCBgIHAggCCQIKAgsCPQINAggCCAIIAggCCAIIAggCCAIIAggCCAIIAggCCAIIAggCCAIRAgMCa3NxAH4AAAAAAAJzcQB+AAT///////////////7////+/////3VxAH4ABwAAAAQcI3yQeHh3TQIeAAI7AgICbAAGMjAxNjEyAgQCBQIGAgcCCAIJAkICCwI9Ag0CCAIIAggCCAIIAggCCAIIAggCCAIIAggCCAIIAggCCAIIAhECAwJtc3EAfgAAAAAAAnNxAH4ABP///////////////v////7/////dXEAfgAHAAAABB0QqXR4eHdFAh4AAjsCAgIhAgQCBQIGAgcCCAIJAgoCCwI9Ag0CCAIIAggCCAIIAggCCAIIAggCCAIIAggCCAIIAggCCAIIAhECAwJuc3EAfgAAAAAAAnNxAH4ABP///////////////v////7/////dXEAfgAHAAAABCoLRiF4eHdFAh4AAjsCAgJKAgQCBQIGAgcCCAIJAkICCwI9Ag0CCAIIAggCCAIIAggCCAIIAggCCAIIAggCCAIIAggCCAIIAhECAwJvc3EAfgAAAAAAAnNxAH4ABP///////////////v////7/////dXEAfgAHAAAABAEGlGB4eHdFAh4AAjsCAgJZAgQCBQIGAgcCCAIJAkICCwI9Ag0CCAIIAggCCAIIAggCCAIIAggCCAIIAggCCAIIAggCCAIIAhECAwJwc3EAfgAAAAAAAnNxAH4ABP///////////////v////7/////dXEAfgAHAAAABAHNSnd4eHdFAh4AAjsCAgIjAgQCBQIGAgcCCAIJAgoCCwI9Ag0CCAIIAggCCAIIAggCCAIIAggCCAIIAggCCAIIAggCCAIIAhECAwJxc3EAfgAAAAAAAnNxAH4ABP///////////////v////7/////dXEAfgAHAAAABCng5RN4eHdFAh4AAjsCAgJRAgQCBQIGAgcCCAIJAgoCCwI9Ag0CCAIIAggCCAIIAggCCAIIAggCCAIIAggCCAIIAggCCAIIAhECAwJyc3EAfgAAAAAAAnNxAH4ABP///////////////v////7/////dXEAfgAHAAAABB6uCU94eHdFAh4AAjsCAgIlAgQCBQIGAgcCCAIJAkICCwI9Ag0CCAIIAggCCAIIAggCCAIIAggCCAIIAggCCAIIAggCCAIIAhECAwJzc3EAfgAAAAAAAnNxAH4ABP///////////////v////4AAAABdXEAfgAHAAAAA/+JXnh4d0UCHgACOwICAjUCBAIFAgYCBwIIAgkCPAILAj0CDQIIAggCCAIIAggCCAIIAggCCAIIAggCCAIIAggCCAIIAggCEQIDAnRzcQB+AAAAAAACc3EAfgAE///////////////+/////v////91cQB+AAcAAAADEqaieHh3RQIeAAI7AgICZwIEAgUCBgIHAggCCQIKAgsCPQINAggCCAIIAggCCAIIAggCCAIIAggCCAIIAggCCAIIAggCCAIRAgMCdXNxAH4AAAAAAAJzcQB+AAT///////////////7////+/////3VxAH4ABwAAAAQ0mEcjeHh3RQIeAAI7AgICUQIEAgUCBgIHAggCCQI8AgsCPQINAggCCAIIAggCCAIIAggCCAIIAggCCAIIAggCCAIIAggCCAIRAgMCdnNxAH4AAAAAAAJzcQB+AAT///////////////7////+/////3VxAH4ABwAAAAMSW6l4eHdFAh4AAjsCAgJOAgQCBQIGAgcCCAIJAjwCCwI9Ag0CCAIIAggCCAIIAggCCAIIAggCCAIIAggCCAIIAggCCAIIAhECAwJ3c3EAfgAAAAAAAnNxAH4ABP///////////////v////7/////dXEAfgAHAAAAAxJXv3h4d0UCHgACOwICAjUCBAIFAgYCBwIIAgkCCgILAj0CDQIIAggCCAIIAggCCAIIAggCCAIIAggCCAIIAggCCAIIAggCEQIDAnhzcQB+AAAAAAACc3EAfgAE///////////////+/////v////91cQB+AAcAAAAEQ0RN4Hh4d0UCHgACOwICAjECBAIFAgYCBwIIAgkCCgILAj0CDQIIAggCCAIIAggCCAIIAggCCAIIAggCCAIIAggCCAIIAggCEQIDAnlzcQB+AAAAAAACc3EAfgAE///////////////+/////v////91cQB+AAcAAAAELpGFK3h4d0UCHgACOwICAmICBAIFAgYCBwIIAgkCCgILAj0CDQIIAggCCAIIAggCCAIIAggCCAIIAggCCAIIAggCCAIIAggCEQIDAnpzcQB+AAAAAAACc3EAfgAE///////////////+/////v////91cQB+AAcAAAAEKxALUXh4d0UCHgACOwICAi0CBAIFAgYCBwIIAgkCPAILAj0CDQIIAggCCAIIAggCCAIIAggCCAIIAggCCAIIAggCCAIIAggCEQIDAntzcQB+AAAAAAACc3EAfgAE///////////////+/////v////91cQB+AAcAAAADEorfeHh3RQIeAAI7AgICMwIEAgUCBgIHAggCCQJCAgsCPQINAggCCAIIAggCCAIIAggCCAIIAggCCAIIAggCCAIIAggCCAIRAgMCfHNxAH4AAAAAAAJzcQB+AAT///////////////7////+/////3VxAH4ABwAAAAQC12dUeHh3RQIeAAI7AgICHQIEAgUCBgIHAggCCQJCAgsCPQINAggCCAIIAggCCAIIAggCCAIIAggCCAIIAggCCAIIAggCCAIRAgMCfXNxAH4AAAAAAAJzcQB+AAT///////////////7////+AAAAAXVxAH4ABwAAAAQCWhLSeHh3RQIeAAI7AgICRAIEAgUCBgIHAggCCQJCAgsCPQINAggCCAIIAggCCAIIAggCCAIIAggCCAIIAggCCAIIAggCCAIRAgMCfnNxAH4AAAAAAAJzcQB+AAT///////////////7////+/////3VxAH4ABwAAAAOesqp4eHdFAh4AAjsCAgJlAgQCBQIGAgcCCAIJAkICCwI9Ag0CCAIIAggCCAIIAggCCAIIAggCCAIIAggCCAIIAggCCAIIAhECAwJ/c3EAfgAAAAAAAnNxAH4ABP///////////////v////7/////dXEAfgAHAAAABAJQHul4eHdFAh4AAjsCAgIpAgQCBQIGAgcCCAIJAkICCwI9Ag0CCAIIAggCCAIIAggCCAIIAggCCAIIAggCCAIIAggCCAIIAhECAwKAc3EAfgAAAAAAAnNxAH4ABP///////////////v////7/////dXEAfgAHAAAABBa3qKJ4eHdFAh4AAjsCAgJXAgQCBQIGAgcCCAIJAkICCwI9Ag0CCAIIAggCCAIIAggCCAIIAggCCAIIAggCCAIIAggCCAIIAhECAwKBc3EAfgAAAAAAAnNxAH4ABP///////////////v////7/////dXEAfgAHAAAABCWQ0ft4eHeSAh4AAjsCAgKCAAYyMDE4MDQCBAIFAgYCBwIIAgkCPAILAj0CDQIIAggCCAIIAggCCAIIAggCCAIIAggCCAIIAggCCAIIAggCEQIDAj4CHgACOwICAoICBAIFAgYCBwIIAgkCCgILAj0CDQIIAggCCAIIAggCCAIIAggCCAIIAggCCAIIAggCCAIIAggCEQIDAoNzcQB+AAAAAAACc3EAfgAE///////////////+/////v////91cQB+AAcAAAAELvQU/3h4d0UCHgACOwICAjECBAIFAgYCBwIIAgkCPAILAj0CDQIIAggCCAIIAggCCAIIAggCCAIIAggCCAIIAggCCAIIAggCEQIDAoRzcQB+AAAAAAACc3EAfgAE///////////////+/////v////91cQB+AAcAAAADEpq3eHh3RQIeAAI7AgICHwIEAgUCBgIHAggCCQJCAgsCPQINAggCCAIIAggCCAIIAggCCAIIAggCCAIIAggCCAIIAggCCAIRAgMChXNxAH4AAAAAAAJzcQB+AAT///////////////7////+/////3VxAH4ABwAAAAQQposkeHh3RQIeAAI7AgICbAIEAgUCBgIHAggCCQI8AgsCPQINAggCCAIIAggCCAIIAggCCAIIAggCCAIIAggCCAIIAggCCAIRAgMChnNxAH4AAAAAAAJzcQB+AAT///////////////7////+/////3VxAH4ABwAAAAMSfwZ4eHdFAh4AAjsCAgJiAgQCBQIGAgcCCAIJAjwCCwI9Ag0CCAIIAggCCAIIAggCCAIIAggCCAIIAggCCAIIAggCCAIIAhECAwKHc3EAfgAAAAAAAnNxAH4ABP///////////////v////7/////dXEAfgAHAAAAAxJna3h4d0UCHgACOwICAiUCBAIFAgYCBwIIAgkCCgILAj0CDQIIAggCCAIIAggCCAIIAggCCAIIAggCCAIIAggCCAIIAggCEQIDAohzcQB+AAAAAAACc3EAfgAE///////////////+/////v////91cQB+AAcAAAAENDlU6Hh4d0UCHgACOwICAkoCBAIFAgYCBwIIAgkCCgILAj0CDQIIAggCCAIIAggCCAIIAggCCAIIAggCCAIIAggCCAIIAggCEQIDAolzcQB+AAAAAAACc3EAfgAE///////////////+/////v////91cQB+AAcAAAAELv3gknh4d4oCHgACOwICAgMCBAIFAgYCBwIIAgkCPAILAj0CDQIIAggCCAIIAggCCAIIAggCCAIIAggCCAIIAggCCAIIAggCEQIDAj4CHgACOwICAgMCBAIFAgYCBwIIAgkCCgILAj0CDQIIAggCCAIIAggCCAIIAggCCAIIAggCCAIIAggCCAIIAggCEQIDAopzcQB+AAAAAAACc3EAfgAE///////////////+/////v////91cQB+AAcAAAAEKsKx+Hh4d0UCHgACOwICAhsCBAIFAgYCBwIIAgkCPAILAj0CDQIIAggCCAIIAggCCAIIAggCCAIIAggCCAIIAggCCAIIAggCEQIDAotzcQB+AAAAAAACc3EAfgAE///////////////+/////v////91cQB+AAcAAAADEobreHh3RQIeAAI7AgICJwIEAgUCBgIHAggCCQJCAgsCPQINAggCCAIIAggCCAIIAggCCAIIAggCCAIIAggCCAIIAggCCAIRAgMCjHNxAH4AAAAAAAJzcQB+AAT///////////////7////+/////3VxAH4ABwAAAAQewHRseHh3RQIeAAI7AgICGwIEAgUCBgIHAggCCQIKAgsCPQINAggCCAIIAggCCAIIAggCCAIIAggCCAIIAggCCAIIAggCCAIRAgMCjXNxAH4AAAAAAAJzcQB+AAT///////////////7////+/////3VxAH4ABwAAAAQiCqwxeHh3RQIeAAI7AgICZwIEAgUCBgIHAggCCQJCAgsCPQINAggCCAIIAggCCAIIAggCCAIIAggCCAIIAggCCAIIAggCCAIRAgMCjnNxAH4AAAAAAAJzcQB+AAT///////////////7////+AAAAAXVxAH4ABwAAAAO5cnx4eHdFAh4AAjsCAgIhAgQCBQIGAgcCCAIJAkICCwI9Ag0CCAIIAggCCAIIAggCCAIIAggCCAIIAggCCAIIAggCCAIIAhECAwKPc3EAfgAAAAAAAnNxAH4ABP///////////////v////7/////dXEAfgAHAAAABAFtStJ4eHdFAh4AAjsCAgJsAgQCBQIGAgcCCAIJAgoCCwI9Ag0CCAIIAggCCAIIAggCCAIIAggCCAIIAggCCAIIAggCCAIIAhECAwKQc3EAfgAAAAAAAnNxAH4ABP///////////////v////7/////dXEAfgAHAAAABBWstZ94eHdFAh4AAjsCAgJAAgQCBQIGAgcCCAIJAjwCCwI9Ag0CCAIIAggCCAIIAggCCAIIAggCCAIIAggCCAIIAggCCAIIAhECAwKRc3EAfgAAAAAAAnNxAH4ABP///////////////v////7/////dXEAfgAHAAAAAxJzNXh4d0UCHgACOwICAi0CBAIFAgYCBwIIAgkCQgILAj0CDQIIAggCCAIIAggCCAIIAggCCAIIAggCCAIIAggCCAIIAggCEQIDApJzcQB+AAAAAAACc3EAfgAE///////////////+/////v////91cQB+AAcAAAAECL1IIXh4d0UCHgACOwICAk4CBAIFAgYCBwIIAgkCQgILAj0CDQIIAggCCAIIAggCCAIIAggCCAIIAggCCAIIAggCCAIIAggCEQIDApNzcQB+AAAAAAACc3EAfgAE///////////////+/////v////91cQB+AAcAAAAEBFuSEHh4d0UCHgACOwICAoICBAIFAgYCBwIIAgkCQgILAj0CDQIIAggCCAIIAggCCAIIAggCCAIIAggCCAIIAggCCAIIAggCEQIDApRzcQB+AAAAAAACc3EAfgAE///////////////+/////v////91cQB+AAcAAAAEATJrz3h4d0UCHgACOwICAjMCBAIFAgYCBwIIAgkCPAILAj0CDQIIAggCCAIIAggCCAIIAggCCAIIAggCCAIIAggCCAIIAggCEQIDApVzcQB+AAAAAAACc3EAfgAE///////////////+/////v////91cQB+AAcAAAADEpLKeHh3RQIeAAI7AgICMwIEAgUCBgIHAggCCQIKAgsCPQINAggCCAIIAggCCAIIAggCCAIIAggCCAIIAggCCAIIAggCCAIRAgMClnNxAH4AAAAAAAJzcQB+AAT///////////////7////+/////3VxAH4ABwAAAAQqJk8LeHh3UAIeAAKXAAk1NzU5ODczMjACAgIDAgQCBQIGAgcCCAIJAkICCwIMAg0CCAIIAggCCAIIAggCCAIIAggCCAIIAggCCAIIAggCCAIIAiACAwKYc3EAfgAAAAAAAnNxAH4ABP///////////////v////7/////dXEAfgAHAAAABA5TyYx4eHdFAh4AApcCAgIbAgQCBQIGAgcCCAIJAkICCwIMAg0CCAIIAggCCAIIAggCCAIIAggCCAIIAggCCAIIAggCCAIIAiACAwKZc3EAfgAAAAAAAnNxAH4ABP///////////////v////7/////dXEAfgAHAAAABBtHMdN4eHdFAh4AApcCAgIdAgQCBQIGAgcCCAIJAkICCwIMAg0CCAIIAggCCAIIAggCCAIIAggCCAIIAggCCAIIAggCCAIIAiACAwKac3EAfgAAAAAAAnNxAH4ABP///////////////v////4AAAABdXEAfgAHAAAABAKOsKB4eHdFAh4AApcCAgInAgQCBQIGAgcCCAIJAkICCwIMAg0CCAIIAggCCAIIAggCCAIIAggCCAIIAggCCAIIAggCCAIIAiACAwKbc3EAfgAAAAAAAnNxAH4ABP///////////////v////7/////dXEAfgAHAAAABES6V7x4eHdFAh4AApcCAgIhAgQCBQIGAgcCCAIJAkICCwIMAg0CCAIIAggCCAIIAggCCAIIAggCCAIIAggCCAIIAggCCAIIAiACAwKcc3EAfgAAAAAAAnNxAH4ABP///////////////v////7/////dXEAfgAHAAAABAPdTSB4eHdFAh4AApcCAgIfAgQCBQIGAgcCCAIJAkICCwIMAg0CCAIIAggCCAIIAggCCAIIAggCCAIIAggCCAIIAggCCAIIAiACAwKdc3EAfgAAAAAAAnNxAH4ABP///////////////v////7/////dXEAfgAHAAAABCZxo1d4eHdFAh4AApcCAgIjAgQCBQIGAgcCCAIJAkICCwIMAg0CCAIIAggCCAIIAggCCAIIAggCCAIIAggCCAIIAggCCAIIAiACAwKec3EAfgAAAAAAAnNxAH4ABP///////////////v////7/////dXEAfgAHAAAABAnwakZ4eHdFAh4AApcCAgIlAgQCBQIGAgcCCAIJAkICCwIMAg0CCAIIAggCCAIIAggCCAIIAggCCAIIAggCCAIIAggCCAIIAiACAwKfc3EAfgAAAAAAAnNxAH4ABP///////////////v////7/////dXEAfgAHAAAAAzKU1nh4d0UCHgAClwICAikCBAIFAgYCBwIIAgkCQgILAgwCDQIIAggCCAIIAggCCAIIAggCCAIIAggCCAIIAggCCAIIAggCIAIDAqBzcQB+AAAAAAACc3EAfgAE///////////////+/////v////91cQB+AAcAAAAENEm+I3h4d0UCHgAClwICAi8CBAIFAgYCBwIIAgkCQgILAgwCDQIIAggCCAIIAggCCAIIAggCCAIIAggCCAIIAggCCAIIAggCIAIDAqFzcQB+AAAAAAACc3EAfgAE///////////////+/////v////91cQB+AAcAAAAEGWLnZXh4d0UCHgAClwICAisCBAIFAgYCBwIIAgkCQgILAgwCDQIIAggCCAIIAggCCAIIAggCCAIIAggCCAIIAggCCAIIAggCIAIDAqJzcQB+AAAAAAACc3EAfgAE///////////////+/////v////91cQB+AAcAAAAEKOmGtnh4d0UCHgAClwICAjMCBAIFAgYCBwIIAgkCQgILAgwCDQIIAggCCAIIAggCCAIIAggCCAIIAggCCAIIAggCCAIIAggCIAIDAqNzcQB+AAAAAAACc3EAfgAE///////////////+/////v////91cQB+AAcAAAAEBiEYhXh4d0UCHgAClwICAjUCBAIFAgYCBwIIAgkCQgILAgwCDQIIAggCCAIIAggCCAIIAggCCAIIAggCCAIIAggCCAIIAggCIAIDAqRzcQB+AAAAAAACc3EAfgAE///////////////+/////gAAAAF1cQB+AAcAAAAECQ0V/Xh4d0UCHgAClwICAi0CBAIFAgYCBwIIAgkCQgILAgwCDQIIAggCCAIIAggCCAIIAggCCAIIAggCCAIIAggCCAIIAggCIAIDAqVzcQB+AAAAAAACc3EAfgAE///////////////+/////v////91cQB+AAcAAAAEEP3yI3h4d0UCHgAClwICAjECBAIFAgYCBwIIAgkCQgILAgwCDQIIAggCCAIIAggCCAIIAggCCAIIAggCCAIIAggCCAIIAggCIAIDAqZzcQB+AAAAAAACc3EAfgAE///////////////+/////v////91cQB+AAcAAAAEAgr29Hh4d1ACHgACpwAJNTcyMjA4NzI4AgICZwIEAgUCBgIHAggCCQI5AgsCDAINAggCCAIIAggCCAIIAggCCAIIAggCCAIIAggCCAIIAggCCAIWAgMCqHNxAH4AAAAAAAJzcQB+AAT///////////////7////+/////3VxAH4ABwAAAAMFP694eHfPAh4AAqcCAgIxAgQCBQIGAgcCCAIJAgoCCwIMAg0CCAIIAggCCAIIAggCCAIIAggCCAIIAggCCAIIAggCCAIIAhYCAwIyAh4AAqcCAgInAgQCBQIGAgcCCAIJAjkCCwIMAg0CCAIIAggCCAIIAggCCAIIAggCCAIIAggCCAIIAggCCAIIAhYCAwI+Ah4AAqcCAgJEAgQCBQIGAgcCCAIJAkICCwIMAg0CCAIIAggCCAIIAggCCAIIAggCCAIIAggCCAIIAggCCAIIAhYCAwKpc3EAfgAAAAAAAnNxAH4ABP///////////////v////7/////dXEAfgAHAAAABAK9P6R4eHdFAh4AAqcCAgJsAgQCBQIGAgcCCAIJAgoCCwIMAg0CCAIIAggCCAIIAggCCAIIAggCCAIIAggCCAIIAggCCAIIAhYCAwKqc3EAfgAAAAAAAnNxAH4ABP///////////////v////7/////dXEAfgAHAAAABCij2ll4eHdFAh4AAqcCAgJiAgQCBQIGAgcCCAIJAgoCCwIMAg0CCAIIAggCCAIIAggCCAIIAggCCAIIAggCCAIIAggCCAIIAhYCAwKrc3EAfgAAAAAAAnNxAH4ABP///////////////v////7/////dXEAfgAHAAAABFSIS5t4eHdFAh4AAqcCAgIjAgQCBQIGAgcCCAIJAjkCCwIMAg0CCAIIAggCCAIIAggCCAIIAggCCAIIAggCCAIIAggCCAIIAhYCAwKsc3EAfgAAAAAAAnNxAH4ABP///////////////v////7/////dXEAfgAHAAAAAwR0jXh4d4oCHgACpwICAh0CBAIFAgYCBwIIAgkCQgILAgwCDQIIAggCCAIIAggCCAIIAggCCAIIAggCCAIIAggCCAIIAggCFgIDApoCHgACpwICAlECBAIFAgYCBwIIAgkCOQILAgwCDQIIAggCCAIIAggCCAIIAggCCAIIAggCCAIIAggCCAIIAggCFgIDAq1zcQB+AAAAAAACc3EAfgAE///////////////+/////v////91cQB+AAcAAAADDoPdeHh3zwIeAAKnAgICKQIEAgUCBgIHAggCCQI5AgsCDAINAggCCAIIAggCCAIIAggCCAIIAggCCAIIAggCCAIIAggCCAIWAgMCPgIeAAKnAgICIQIEAgUCBgIHAggCCQIKAgsCDAINAggCCAIIAggCCAIIAggCCAIIAggCCAIIAggCCAIIAggCCAIWAgMCIgIeAAKnAgICWQIEAgUCBgIHAggCCQIKAgsCDAINAggCCAIIAggCCAIIAggCCAIIAggCCAIIAggCCAIIAggCCAIWAgMCrnNxAH4AAAAAAAJzcQB+AAT///////////////7////+/////3VxAH4ABwAAAARMKwuAeHh3RQIeAAKnAgICSgIEAgUCBgIHAggCCQJCAgsCDAINAggCCAIIAggCCAIIAggCCAIIAggCCAIIAggCCAIIAggCCAIWAgMCr3NxAH4AAAAAAAJzcQB+AAT///////////////7////+/////3VxAH4ABwAAAAQDNpKZeHh3igIeAAKnAgICHwIEAgUCBgIHAggCCQJCAgsCDAINAggCCAIIAggCCAIIAggCCAIIAggCCAIIAggCCAIIAggCCAIWAgMCnQIeAAKnAgICMwIEAgUCBgIHAggCCQI5AgsCDAINAggCCAIIAggCCAIIAggCCAIIAggCCAIIAggCCAIIAggCCAIWAgMCsHNxAH4AAAAAAAJzcQB+AAT///////////////7////+/////3VxAH4ABwAAAAMEVit4eHdFAh4AAqcCAgJXAgQCBQIGAgcCCAIJAjkCCwIMAg0CCAIIAggCCAIIAggCCAIIAggCCAIIAggCCAIIAggCCAIIAhYCAwKxc3EAfgAAAAAAAnNxAH4ABP///////////////v////7/////dXEAfgAHAAAAAwZoK3h4d4oCHgACpwICAiUCBAIFAgYCBwIIAgkCQgILAgwCDQIIAggCCAIIAggCCAIIAggCCAIIAggCCAIIAggCCAIIAggCFgIDAp8CHgACpwICAmUCBAIFAgYCBwIIAgkCOQILAgwCDQIIAggCCAIIAggCCAIIAggCCAIIAggCCAIIAggCCAIIAggCFgIDArJzcQB+AAAAAAACc3EAfgAE///////////////+/////v////91cQB+AAcAAAADDMb+eHh3zwIeAAKnAgICHwIEAgUCBgIHAggCCQIKAgsCDAINAggCCAIIAggCCAIIAggCCAIIAggCCAIIAggCCAIIAggCCAIWAgMCIAIeAAKnAgICJwIEAgUCBgIHAggCCQIKAgsCDAINAggCCAIIAggCCAIIAggCCAIIAggCCAIIAggCCAIIAggCCAIWAgMCKAIeAAKnAgICZwIEAgUCBgIHAggCCQIKAgsCDAINAggCCAIIAggCCAIIAggCCAIIAggCCAIIAggCCAIIAggCCAIWAgMCs3NxAH4AAAAAAAJzcQB+AAT///////////////7////+/////3VxAH4ABwAAAARijcsWeHh3RQIeAAKnAgICGwIEAgUCBgIHAggCCQI5AgsCDAINAggCCAIIAggCCAIIAggCCAIIAggCCAIIAggCCAIIAggCCAIWAgMCtHNxAH4AAAAAAAJzcQB+AAT///////////////7////+/////3VxAH4ABwAAAAME+2h4eHdFAh4AAqcCAgIxAgQCBQIGAgcCCAIJAjkCCwIMAg0CCAIIAggCCAIIAggCCAIIAggCCAIIAggCCAIIAggCCAIIAhYCAwK1c3EAfgAAAAAAAnNxAH4ABP///////////////v////7/////dXEAfgAHAAAAAwQ0OHh4d0UCHgACpwICAmUCBAIFAgYCBwIIAgkCCgILAgwCDQIIAggCCAIIAggCCAIIAggCCAIIAggCCAIIAggCCAIIAggCFgIDArZzcQB+AAAAAAACc3EAfgAE///////////////+/////v////91cQB+AAcAAAAESHB4r3h4d88CHgACpwICAjMCBAIFAgYCBwIIAgkCCgILAgwCDQIIAggCCAIIAggCCAIIAggCCAIIAggCCAIIAggCCAIIAggCFgIDAjQCHgACpwICAikCBAIFAgYCBwIIAgkCQgILAgwCDQIIAggCCAIIAggCCAIIAggCCAIIAggCCAIIAggCCAIIAggCFgIDAqACHgACpwICAmwCBAIFAgYCBwIIAgkCOQILAgwCDQIIAggCCAIIAggCCAIIAggCCAIIAggCCAIIAggCCAIIAggCFgIDArdzcQB+AAAAAAACc3EAfgAE///////////////+/////v////91cQB+AAcAAAADBtyTeHh3zwIeAAKnAgICKwIEAgUCBgIHAggCCQJCAgsCDAINAggCCAIIAggCCAIIAggCCAIIAggCCAIIAggCCAIIAggCCAIWAgMCogIeAAKnAgICJQIEAgUCBgIHAggCCQIKAgsCDAINAggCCAIIAggCCAIIAggCCAIIAggCCAIIAggCCAIIAggCCAIWAgMCJgIeAAKnAgICTgIEAgUCBgIHAggCCQJCAgsCDAINAggCCAIIAggCCAIIAggCCAIIAggCCAIIAggCCAIIAggCCAIWAgMCuHNxAH4AAAAAAAJzcQB+AAT///////////////7////+/////3VxAH4ABwAAAAQIJf+xeHh3RQIeAAKnAgICSgIEAgUCBgIHAggCCQIKAgsCDAINAggCCAIIAggCCAIIAggCCAIIAggCCAIIAggCCAIIAggCCAIWAgMCuXNxAH4AAAAAAAJzcQB+AAT///////////////7////+/////3VxAH4ABwAAAARaL7WteHh3RQIeAAKnAgICNQIEAgUCBgIHAggCCQI5AgsCDAINAggCCAIIAggCCAIIAggCCAIIAggCCAIIAggCCAIIAggCCAIWAgMCunNxAH4AAAAAAAJzcQB+AAT///////////////7////+/////3VxAH4ABwAAAAMD3Kt4eHdFAh4AAqcCAgJZAgQCBQIGAgcCCAIJAkICCwIMAg0CCAIIAggCCAIIAggCCAIIAggCCAIIAggCCAIIAggCCAIIAhYCAwK7c3EAfgAAAAAAAnNxAH4ABP///////////////v////7/////dXEAfgAHAAAABAQ2ieN4eHeKAh4AAqcCAgIhAgQCBQIGAgcCCAIJAkICCwIMAg0CCAIIAggCCAIIAggCCAIIAggCCAIIAggCCAIIAggCCAIIAhYCAwKcAh4AAqcCAgJiAgQCBQIGAgcCCAIJAjkCCwIMAg0CCAIIAggCCAIIAggCCAIIAggCCAIIAggCCAIIAggCCAIIAhYCAwK8c3EAfgAAAAAAAnNxAH4ABP///////////////v////7/////dXEAfgAHAAAAAwqAVHh4d0UCHgACpwICAlECBAIFAgYCBwIIAgkCQgILAgwCDQIIAggCCAIIAggCCAIIAggCCAIIAggCCAIIAggCCAIIAggCFgIDAr1zcQB+AAAAAAACc3EAfgAE///////////////+/////v////91cQB+AAcAAAAEBeiObnh4d0UCHgACpwICAh0CBAIFAgYCBwIIAgkCOQILAgwCDQIIAggCCAIIAggCCAIIAggCCAIIAggCCAIIAggCCAIIAggCFgIDAr5zcQB+AAAAAAACc3EAfgAE///////////////+/////v////91cQB+AAcAAAADBA6ueHh6AAAB4wIeAAKnAgICGwIEAgUCBgIHAggCCQIKAgsCDAINAggCCAIIAggCCAIIAggCCAIIAggCCAIIAggCCAIIAggCCAIWAgMCHAIeAAKnAgICHwIEAgUCBgIHAggCCQI5AgsCDAINAggCCAIIAggCCAIIAggCCAIIAggCCAIIAggCCAIIAggCCAIWAgMCPgIeAAKnAgICNQIEAgUCBgIHAggCCQJCAgsCDAINAggCCAIIAggCCAIIAggCCAIIAggCCAIIAggCCAIIAggCCAIWAgMCpAIeAAKnAgICLQIEAgUCBgIHAggCCQIKAgsCDAINAggCCAIIAggCCAIIAggCCAIIAggCCAIIAggCCAIIAggCCAIWAgMCLgIeAAKnAgICLQIEAgUCBgIHAggCCQJCAgsCDAINAggCCAIIAggCCAIIAggCCAIIAggCCAIIAggCCAIIAggCCAIWAgMCpQIeAAKnAgICMwIEAgUCBgIHAggCCQJCAgsCDAINAggCCAIIAggCCAIIAggCCAIIAggCCAIIAggCCAIIAggCCAIWAgMCowIeAAKnAgICSgIEAgUCBgIHAggCCQI5AgsCDAINAggCCAIIAggCCAIIAggCCAIIAggCCAIIAggCCAIIAggCCAIWAgMCv3NxAH4AAAAAAAJzcQB+AAT///////////////7////+/////3VxAH4ABwAAAAMJnn94eHdFAh4AAqcCAgJAAgQCBQIGAgcCCAIJAjkCCwIMAg0CCAIIAggCCAIIAggCCAIIAggCCAIIAggCCAIIAggCCAIIAhYCAwLAc3EAfgAAAAAAAnNxAH4ABP///////////////v////7/////dXEAfgAHAAAAAweN1Hh4d4oCHgACpwICAjUCBAIFAgYCBwIIAgkCCgILAgwCDQIIAggCCAIIAggCCAIIAggCCAIIAggCCAIIAggCCAIIAggCFgIDAjYCHgACpwICAisCBAIFAgYCBwIIAgkCOQILAgwCDQIIAggCCAIIAggCCAIIAggCCAIIAggCCAIIAggCCAIIAggCFgIDAsFzcQB+AAAAAAACc3EAfgAE///////////////+/////v////91cQB+AAcAAAADBWT/eHh3RQIeAAKnAgICJQIEAgUCBgIHAggCCQI5AgsCDAINAggCCAIIAggCCAIIAggCCAIIAggCCAIIAggCCAIIAggCCAIWAgMCwnNxAH4AAAAAAAJzcQB+AAT///////////////7////+/////3VxAH4ABwAAAAMEJQl4eHdFAh4AAqcCAgJlAgQCBQIGAgcCCAIJAkICCwIMAg0CCAIIAggCCAIIAggCCAIIAggCCAIIAggCCAIIAggCCAIIAhYCAwLDc3EAfgAAAAAAAnNxAH4ABP///////////////v////7/////dXEAfgAHAAAABATkMA94eHdFAh4AAqcCAgJXAgQCBQIGAgcCCAIJAkICCwIMAg0CCAIIAggCCAIIAggCCAIIAggCCAIIAggCCAIIAggCCAIIAhYCAwLEc3EAfgAAAAAAAnNxAH4ABP///////////////v////7/////dXEAfgAHAAAABExDDhV4eHdFAh4AAqcCAgJAAgQCBQIGAgcCCAIJAgoCCwIMAg0CCAIIAggCCAIIAggCCAIIAggCCAIIAggCCAIIAggCCAIIAhYCAwLFc3EAfgAAAAAAAnNxAH4ABP///////////////v////7/////dXEAfgAHAAAABGExCBR4eHdFAh4AAqcCAgJOAgQCBQIGAgcCCAIJAgoCCwIMAg0CCAIIAggCCAIIAggCCAIIAggCCAIIAggCCAIIAggCCAIIAhYCAwLGc3EAfgAAAAAAAnNxAH4ABP///////////////v////7/////dXEAfgAHAAAABDc49U94eHdFAh4AAqcCAgJnAgQCBQIGAgcCCAIJAkICCwIMAg0CCAIIAggCCAIIAggCCAIIAggCCAIIAggCCAIIAggCCAIIAhYCAwLHc3EAfgAAAAAAAnNxAH4ABP///////////////v////7/////dXEAfgAHAAAAA7xcsnh4d88CHgACpwICAicCBAIFAgYCBwIIAgkCQgILAgwCDQIIAggCCAIIAggCCAIIAggCCAIIAggCCAIIAggCCAIIAggCFgIDApsCHgACpwICAiMCBAIFAgYCBwIIAgkCQgILAgwCDQIIAggCCAIIAggCCAIIAggCCAIIAggCCAIIAggCCAIIAggCFgIDAp4CHgACpwICAkQCBAIFAgYCBwIIAgkCOQILAgwCDQIIAggCCAIIAggCCAIIAggCCAIIAggCCAIIAggCCAIIAggCFgIDAshzcQB+AAAAAAACc3EAfgAE///////////////+/////v////91cQB+AAcAAAADCLaceHh3RQIeAAKnAgICbAIEAgUCBgIHAggCCQJCAgsCDAINAggCCAIIAggCCAIIAggCCAIIAggCCAIIAggCCAIIAggCCAIWAgMCyXNxAH4AAAAAAAJzcQB+AAT///////////////7////+/////3VxAH4ABwAAAAQ7i4i9eHh3igIeAAKnAgICHQIEAgUCBgIHAggCCQIKAgsCDAINAggCCAIIAggCCAIIAggCCAIIAggCCAIIAggCCAIIAggCCAIWAgMCHgIeAAKnAgICRAIEAgUCBgIHAggCCQIKAgsCDAINAggCCAIIAggCCAIIAggCCAIIAggCCAIIAggCCAIIAggCCAIWAgMCynNxAH4AAAAAAAJzcQB+AAT///////////////7////+/////3VxAH4ABwAAAARdV1DJeHh3RQIeAAKnAgICUQIEAgUCBgIHAggCCQIKAgsCDAINAggCCAIIAggCCAIIAggCCAIIAggCCAIIAggCCAIIAggCCAIWAgMCy3NxAH4AAAAAAAJzcQB+AAT///////////////7////+/////3VxAH4ABwAAAAQ9+1bieHh3RQIeAAKnAgICYgIEAgUCBgIHAggCCQJCAgsCDAINAggCCAIIAggCCAIIAggCCAIIAggCCAIIAggCCAIIAggCCAIWAgMCzHNxAH4AAAAAAAJzcQB+AAT///////////////7////+/////3VxAH4ABwAAAAQDq4uteHh3RQIeAAKnAgICIQIEAgUCBgIHAggCCQI5AgsCDAINAggCCAIIAggCCAIIAggCCAIIAggCCAIIAggCCAIIAggCCAIWAgMCzXNxAH4AAAAAAAJzcQB+AAT///////////////7////+/////3VxAH4ABwAAAAMEQ3p4eHeKAh4AAqcCAgIxAgQCBQIGAgcCCAIJAkICCwIMAg0CCAIIAggCCAIIAggCCAIIAggCCAIIAggCCAIIAggCCAIIAhYCAwKmAh4AAqcCAgJZAgQCBQIGAgcCCAIJAjkCCwIMAg0CCAIIAggCCAIIAggCCAIIAggCCAIIAggCCAIIAggCCAIIAhYCAwLOc3EAfgAAAAAAAnNxAH4ABP///////////////v////7/////dXEAfgAHAAAAAwuCrXh4d4oCHgACpwICAisCBAIFAgYCBwIIAgkCCgILAgwCDQIIAggCCAIIAggCCAIIAggCCAIIAggCCAIIAggCCAIIAggCFgIDAiwCHgACpwICAkACBAIFAgYCBwIIAgkCQgILAgwCDQIIAggCCAIIAggCCAIIAggCCAIIAggCCAIIAggCCAIIAggCFgIDAs9zcQB+AAAAAAACc3EAfgAE///////////////+/////v////91cQB+AAcAAAAEAhunbnh4d4oCHgACpwICAikCBAIFAgYCBwIIAgkCCgILAgwCDQIIAggCCAIIAggCCAIIAggCCAIIAggCCAIIAggCCAIIAggCFgIDAioCHgACpwICAlcCBAIFAgYCBwIIAgkCCgILAgwCDQIIAggCCAIIAggCCAIIAggCCAIIAggCCAIIAggCCAIIAggCFgIDAtBzcQB+AAAAAAACc3EAfgAE///////////////+/////v////91cQB+AAcAAAAEElQVqnh4d4oCHgACpwICAiMCBAIFAgYCBwIIAgkCCgILAgwCDQIIAggCCAIIAggCCAIIAggCCAIIAggCCAIIAggCCAIIAggCFgIDAiQCHgACpwICAi0CBAIFAgYCBwIIAgkCOQILAgwCDQIIAggCCAIIAggCCAIIAggCCAIIAggCCAIIAggCCAIIAggCFgIDAtFzcQB+AAAAAAACc3EAfgAE///////////////+/////v////91cQB+AAcAAAADBKuXeHh3igIeAAKnAgICGwIEAgUCBgIHAggCCQJCAgsCDAINAggCCAIIAggCCAIIAggCCAIIAggCCAIIAggCCAIIAggCCAIWAgMCmQIeAAKnAgICTgIEAgUCBgIHAggCCQI5AgsCDAINAggCCAIIAggCCAIIAggCCAIIAggCCAIIAggCCAIIAggCCAIWAgMC0nNxAH4AAAAAAAJzcQB+AAT///////////////7////+/////3VxAH4ABwAAAAMSFct4eHoAAAQAAh4AAtMABzg2NDcyMDACAgIfAgQCBQIGAgcCCAIJAkICCwI9Ag0CCAIIAggCCAIIAggCCAIIAggCCAIIAggCCAIIAggCCAIIAhMCAwKFAh4AAtMCAgIxAgQCBQIGAgcCCAIJAjwCCwI9Ag0CCAIIAggCCAIIAggCCAIIAggCCAIIAggCCAIIAggCCAIIAhMCAwKEAh4AAtMCAgJsAgQCBQIGAgcCCAIJAjwCCwI9Ag0CCAIIAggCCAIIAggCCAIIAggCCAIIAggCCAIIAggCCAIIAhMCAwKGAh4AAtMCAgJiAgQCBQIGAgcCCAIJAgoCCwI9Ag0CCAIIAggCCAIIAggCCAIIAggCCAIIAggCCAIIAggCCAIIAhMCAwJ6Ah4AAtMCAgJiAgQCBQIGAgcCCAIJAjwCCwI9Ag0CCAIIAggCCAIIAggCCAIIAggCCAIIAggCCAIIAggCCAIIAhMCAwKHAh4AAtMCAgJKAgQCBQIGAgcCCAIJAgoCCwI9Ag0CCAIIAggCCAIIAggCCAIIAggCCAIIAggCCAIIAggCCAIIAhMCAwKJAh4AAtMCAgIlAgQCBQIGAgcCCAIJAgoCCwI9Ag0CCAIIAggCCAIIAggCCAIIAggCCAIIAggCCAIIAggCCAIIAhMCAwKIAh4AAtMCAgIhAgQCBQIGAgcCCAIJAjwCCwI9Ag0CCAIIAggCCAIIAggCCAIIAggCCAIIAggCCAIIAggCCAIIAhMCAwJWAh4AAtMCAgJAAgQCBQIGAgcCCAIJAkICCwI9Ag0CCAIIAggCCAIIAggCCAIIAggCCAIIAggCCAIIAggCCAIIAhMCAwJTAh4AAtMCAgJKAgQCBQIGAgcCCAIJAkICCwI9Ag0CCAIIAggCCAIIAggCCAIIAggCCAIIAggCCAIIAggCCAIIAhMCAwJvAh4AAtMCAgIpAgQCBQIGAgcCCAIJAjwCCwI9Ag0CCAIIAggCCAIIAggCCAIIAggCCAIIAggCCAIIAggCCAIIAhMCAwI+Ah4AAtMCAgJsAgQCBQIGAgcCCAIJAgoCCwI9Ag0CCAIIAggCCAIIAggCCAIIAggCCAIIAggCCAIIAggCCAIIAhMCAwKQAh4AAtMCAgJZAgQCBQIGAgcCCAIJAgoCCwI9Ag0CCAIIAggCCAIIAggCCAIIAggCCAIIAggCCAIIAggCCAIIAhMCAwJaAh4AAtMCAgJXAgQCBQIGAgcCCAIJAjwCCwI9Ag0CCAIIAggCCAIIAggCCAIIAggCCAIIAggCCAIIAggCCAIIAhMCAwJYAh4AAtMCAgJEAgQCBQIGAgcCCAIJAgoCCwI9Ag0CCAIIAggCCAIIAggCCAIIAggCCHoAAAQAAggCCAIIAggCCAIIAggCEwIDAlsCHgAC0wICAlkCBAIFAgYCBwIIAgkCPAILAj0CDQIIAggCCAIIAggCCAIIAggCCAIIAggCCAIIAggCCAIIAggCEwIDAlwCHgAC0wICAh0CBAIFAgYCBwIIAgkCCgILAj0CDQIIAggCCAIIAggCCAIIAggCCAIIAggCCAIIAggCCAIIAggCEwIDAl8CHgAC0wICAikCBAIFAgYCBwIIAgkCCgILAj0CDQIIAggCCAIIAggCCAIIAggCCAIIAggCCAIIAggCCAIIAggCEwIDAl4CHgAC0wICAjMCBAIFAgYCBwIIAgkCPAILAj0CDQIIAggCCAIIAggCCAIIAggCCAIIAggCCAIIAggCCAIIAggCEwIDApUCHgAC0wICAmICBAIFAgYCBwIIAgkCQgILAj0CDQIIAggCCAIIAggCCAIIAggCCAIIAggCCAIIAggCCAIIAggCEwIDAmMCHgAC0wICAh0CBAIFAgYCBwIIAgkCPAILAj0CDQIIAggCCAIIAggCCAIIAggCCAIIAggCCAIIAggCCAIIAggCEwIDAj8CHgAC0wICAgMCBAIFAgYCBwIIAgkCQgILAj0CDQIIAggCCAIIAggCCAIIAggCCAIIAggCCAIIAggCCAIIAggCEwIDAkMCHgAC0wICAkACBAIFAgYCBwIIAgkCCgILAj0CDQIIAggCCAIIAggCCAIIAggCCAIIAggCCAIIAggCCAIIAggCEwIDAkECHgAC0wICAlcCBAIFAgYCBwIIAgkCCgILAj0CDQIIAggCCAIIAggCCAIIAggCCAIIAggCCAIIAggCCAIIAggCEwIDAmQCHgAC0wICAlECBAIFAgYCBwIIAgkCPAILAj0CDQIIAggCCAIIAggCCAIIAggCCAIIAggCCAIIAggCCAIIAggCEwIDAnYCHgAC0wICAkQCBAIFAgYCBwIIAgkCPAILAj0CDQIIAggCCAIIAggCCAIIAggCCAIIAggCCAIIAggCCAIIAggCEwIDAkUCHgAC0wICAmwCBAIFAgYCBwIIAgkCQgILAj0CDQIIAggCCAIIAggCCAIIAggCCAIIAggCCAIIAggCCAIIAggCEwIDAm0CHgAC0wICAiMCBAIFAgYCBwIIAgkCPAILAj0CDQIIAggCCAIIAggCCAIIAggCCAIIAggCCAIIAggCCAIIAggCEwIDAmoCHgAC0wICAhsCBAIFAgYCBwIIAgkCQgILAj0CDQIIAggCCAIIAggCCAIIAggCCAIIAggCCAIIAggCCAIIAggCEwIDAkcCHgAC0wICAiUCBAIFAgYCBwIIAgkCQgILAj0CDQIIAggCCAIIAnoAAAQACAIIAggCCAIIAggCCAIIAggCCAIIAggCCAITAgMCcwIeAALTAgICIwIEAgUCBgIHAggCCQIKAgsCPQINAggCCAIIAggCCAIIAggCCAIIAggCCAIIAggCCAIIAggCCAITAgMCcQIeAALTAgICUQIEAgUCBgIHAggCCQIKAgsCPQINAggCCAIIAggCCAIIAggCCAIIAggCCAIIAggCCAIIAggCCAITAgMCcgIeAALTAgICNQIEAgUCBgIHAggCCQI8AgsCPQINAggCCAIIAggCCAIIAggCCAIIAggCCAIIAggCCAIIAggCCAITAgMCdAIeAALTAgICMwIEAgUCBgIHAggCCQJCAgsCPQINAggCCAIIAggCCAIIAggCCAIIAggCCAIIAggCCAIIAggCCAITAgMCfAIeAALTAgICNQIEAgUCBgIHAggCCQIKAgsCPQINAggCCAIIAggCCAIIAggCCAIIAggCCAIIAggCCAIIAggCCAITAgMCeAIeAALTAgICMQIEAgUCBgIHAggCCQIKAgsCPQINAggCCAIIAggCCAIIAggCCAIIAggCCAIIAggCCAIIAggCCAITAgMCeQIeAALTAgICZQIEAgUCBgIHAggCCQJCAgsCPQINAggCCAIIAggCCAIIAggCCAIIAggCCAIIAggCCAIIAggCCAITAgMCfwIeAALTAgICJwIEAgUCBgIHAggCCQJCAgsCPQINAggCCAIIAggCCAIIAggCCAIIAggCCAIIAggCCAIIAggCCAITAgMCjAIeAALTAgICZwIEAgUCBgIHAggCCQJCAgsCPQINAggCCAIIAggCCAIIAggCCAIIAggCCAIIAggCCAIIAggCCAITAgMCjgIeAALTAgICGwIEAgUCBgIHAggCCQI8AgsCPQINAggCCAIIAggCCAIIAggCCAIIAggCCAIIAggCCAIIAggCCAITAgMCiwIeAALTAgICTgIEAgUCBgIHAggCCQIKAgsCPQINAggCCAIIAggCCAIIAggCCAIIAggCCAIIAggCCAIIAggCCAITAgMCTwIeAALTAgICIwIEAgUCBgIHAggCCQJCAgsCPQINAggCCAIIAggCCAIIAggCCAIIAggCCAIIAggCCAIIAggCCAITAgMCUAIeAALTAgICUQIEAgUCBgIHAggCCQJCAgsCPQINAggCCAIIAggCCAIIAggCCAIIAggCCAIIAggCCAIIAggCCAITAgMCUgIeAALTAgICAwIEAgUCBgIHAggCCQIKAgsCPQINAggCCAIIAggCCAIIAggCCAIIAggCCAIIAggCCAIIAggCCAITAgMCigIeAALTAgICGwIEAgUCBgIHAggCCQIKAgsCPXoAAAQAAg0CCAIIAggCCAIIAggCCAIIAggCCAIIAggCCAIIAggCCAIIAhMCAwKNAh4AAtMCAgIDAgQCBQIGAgcCCAIJAjwCCwI9Ag0CCAIIAggCCAIIAggCCAIIAggCCAIIAggCCAIIAggCCAIIAhMCAwI+Ah4AAtMCAgI1AgQCBQIGAgcCCAIJAkICCwI9Ag0CCAIIAggCCAIIAggCCAIIAggCCAIIAggCCAIIAggCCAIIAhMCAwJUAh4AAtMCAgIrAgQCBQIGAgcCCAIJAjwCCwI9Ag0CCAIIAggCCAIIAggCCAIIAggCCAIIAggCCAIIAggCCAIIAhMCAwJVAh4AAtMCAgJAAgQCBQIGAgcCCAIJAjwCCwI9Ag0CCAIIAggCCAIIAggCCAIIAggCCAIIAggCCAIIAggCCAIIAhMCAwKRAh4AAtMCAgIvAgQCBQIGAgcCCAIJAgoCCwI9Ag0CCAIIAggCCAIIAggCCAIIAggCCAIIAggCCAIIAggCCAIIAhMCAwJdAh4AAtMCAgIrAgQCBQIGAgcCCAIJAgoCCwI9Ag0CCAIIAggCCAIIAggCCAIIAggCCAIIAggCCAIIAggCCAIIAhMCAwJgAh4AAtMCAgJOAgQCBQIGAgcCCAIJAkICCwI9Ag0CCAIIAggCCAIIAggCCAIIAggCCAIIAggCCAIIAggCCAIIAhMCAwKTAh4AAtMCAgItAgQCBQIGAgcCCAIJAkICCwI9Ag0CCAIIAggCCAIIAggCCAIIAggCCAIIAggCCAIIAggCCAIIAhMCAwKSAh4AAtMCAgIvAgQCBQIGAgcCCAIJAjwCCwI9Ag0CCAIIAggCCAIIAggCCAIIAggCCAIIAggCCAIIAggCCAIIAhMCAwI+Ah4AAtMCAgInAgQCBQIGAgcCCAIJAjwCCwI9Ag0CCAIIAggCCAIIAggCCAIIAggCCAIIAggCCAIIAggCCAIIAhMCAwI+Ah4AAtMCAgJnAgQCBQIGAgcCCAIJAjwCCwI9Ag0CCAIIAggCCAIIAggCCAIIAggCCAIIAggCCAIIAggCCAIIAhMCAwJoAh4AAtMCAgIzAgQCBQIGAgcCCAIJAgoCCwI9Ag0CCAIIAggCCAIIAggCCAIIAggCCAIIAggCCAIIAggCCAIIAhMCAwKWAh4AAtMCAgJlAgQCBQIGAgcCCAIJAgoCCwI9Ag0CCAIIAggCCAIIAggCCAIIAggCCAIIAggCCAIIAggCCAIIAhMCAwJmAh4AAtMCAgIxAgQCBQIGAgcCCAIJAkICCwI9Ag0CCAIIAggCCAIIAggCCAIIAggCCAIIAggCCAIIAggCCAIIAhMCAwJhAh4AAtMCAgJlAgQCBQIGAnoAAAQABwIIAgkCPAILAj0CDQIIAggCCAIIAggCCAIIAggCCAIIAggCCAIIAggCCAIIAggCEwIDAmkCHgAC0wICAicCBAIFAgYCBwIIAgkCCgILAj0CDQIIAggCCAIIAggCCAIIAggCCAIIAggCCAIIAggCCAIIAggCEwIDAmsCHgAC0wICAmcCBAIFAgYCBwIIAgkCCgILAj0CDQIIAggCCAIIAggCCAIIAggCCAIIAggCCAIIAggCCAIIAggCEwIDAnUCHgAC0wICAh8CBAIFAgYCBwIIAgkCCgILAj0CDQIIAggCCAIIAggCCAIIAggCCAIIAggCCAIIAggCCAIIAggCEwIDAkYCHgAC0wICAiECBAIFAgYCBwIIAgkCQgILAj0CDQIIAggCCAIIAggCCAIIAggCCAIIAggCCAIIAggCCAIIAggCEwIDAo8CHgAC0wICAiECBAIFAgYCBwIIAgkCCgILAj0CDQIIAggCCAIIAggCCAIIAggCCAIIAggCCAIIAggCCAIIAggCEwIDAm4CHgAC0wICAlkCBAIFAgYCBwIIAgkCQgILAj0CDQIIAggCCAIIAggCCAIIAggCCAIIAggCCAIIAggCCAIIAggCEwIDAnACHgAC0wICAh8CBAIFAgYCBwIIAgkCPAILAj0CDQIIAggCCAIIAggCCAIIAggCCAIIAggCCAIIAggCCAIIAggCEwIDAj4CHgAC0wICAisCBAIFAgYCBwIIAgkCQgILAj0CDQIIAggCCAIIAggCCAIIAggCCAIIAggCCAIIAggCCAIIAggCEwIDAkwCHgAC0wICAiUCBAIFAgYCBwIIAgkCPAILAj0CDQIIAggCCAIIAggCCAIIAggCCAIIAggCCAIIAggCCAIIAggCEwIDAkgCHgAC0wICAi8CBAIFAgYCBwIIAgkCQgILAj0CDQIIAggCCAIIAggCCAIIAggCCAIIAggCCAIIAggCCAIIAggCEwIDAkkCHgAC0wICAkoCBAIFAgYCBwIIAgkCPAILAj0CDQIIAggCCAIIAggCCAIIAggCCAIIAggCCAIIAggCCAIIAggCEwIDAksCHgAC0wICAk4CBAIFAgYCBwIIAgkCPAILAj0CDQIIAggCCAIIAggCCAIIAggCCAIIAggCCAIIAggCCAIIAggCEwIDAncCHgAC0wICAi0CBAIFAgYCBwIIAgkCPAILAj0CDQIIAggCCAIIAggCCAIIAggCCAIIAggCCAIIAggCCAIIAggCEwIDAnsCHgAC0wICAlcCBAIFAgYCBwIIAgkCQgILAj0CDQIIAggCCAIIAggCCAIIAggCCAIIAggCCAIIAggCCAIIAggCEwIDAoECHgAC03oAAAQAAgICKQIEAgUCBgIHAggCCQJCAgsCPQINAggCCAIIAggCCAIIAggCCAIIAggCCAIIAggCCAIIAggCCAITAgMCgAIeAALTAgICHQIEAgUCBgIHAggCCQJCAgsCPQINAggCCAIIAggCCAIIAggCCAIIAggCCAIIAggCCAIIAggCCAITAgMCfQIeAALTAgICLQIEAgUCBgIHAggCCQIKAgsCPQINAggCCAIIAggCCAIIAggCCAIIAggCCAIIAggCCAIIAggCCAITAgMCTQIeAALTAgICRAIEAgUCBgIHAggCCQJCAgsCPQINAggCCAIIAggCCAIIAggCCAIIAggCCAIIAggCCAIIAggCCAITAgMCfgIeAALUAAc4NjQ5NTIwAgICSgIEAgUCBgIHAggCCQJCAgsCPQINAggCCAIIAggCCAIIAggCCAIIAggCCAIIAggCCAIIAggCCAIVAgMCbwIeAALUAgICVwIEAgUCBgIHAggCCQI8AgsCPQINAggCCAIIAggCCAIIAggCCAIIAggCCAIIAggCCAIIAggCCAIVAgMCWAIeAALUAgICIQIEAgUCBgIHAggCCQIKAgsCPQINAggCCAIIAggCCAIIAggCCAIIAggCCAIIAggCCAIIAggCCAIVAgMCbgIeAALUAgICWQIEAgUCBgIHAggCCQIKAgsCPQINAggCCAIIAggCCAIIAggCCAIIAggCCAIIAggCCAIIAggCCAIVAgMCWgIeAALUAgICWQIEAgUCBgIHAggCCQI8AgsCPQINAggCCAIIAggCCAIIAggCCAIIAggCCAIIAggCCAIIAggCCAIVAgMCXAIeAALUAgICIQIEAgUCBgIHAggCCQI8AgsCPQINAggCCAIIAggCCAIIAggCCAIIAggCCAIIAggCCAIIAggCCAIVAgMCVgIeAALUAgICbAIEAgUCBgIHAggCCQIKAgsCPQINAggCCAIIAggCCAIIAggCCAIIAggCCAIIAggCCAIIAggCCAIVAgMCkAIeAALUAgICKQIEAgUCBgIHAggCCQI8AgsCPQINAggCCAIIAggCCAIIAggCCAIIAggCCAIIAggCCAIIAggCCAIVAgMCPgIeAALUAgICMQIEAgUCBgIHAggCCQIKAgsCPQINAggCCAIIAggCCAIIAggCCAIIAggCCAIIAggCCAIIAggCCAIVAgMCeQIeAALUAgICbAIEAgUCBgIHAggCCQI8AgsCPQINAggCCAIIAggCCAIIAggCCAIIAggCCAIIAggCCAIIAggCCAIVAgMChgIeAALUAgICMQIEAgUCBgIHAggCCQJCAgsCPQINAggCCAIIAggCCAIIAggCCAIIAggCCAIIAnoAAAQACAIIAggCCAIIAhUCAwJhAh4AAtQCAgIdAgQCBQIGAgcCCAIJAkICCwI9Ag0CCAIIAggCCAIIAggCCAIIAggCCAIIAggCCAIIAggCCAIIAhUCAwJ9Ah4AAtQCAgJiAgQCBQIGAgcCCAIJAkICCwI9Ag0CCAIIAggCCAIIAggCCAIIAggCCAIIAggCCAIIAggCCAIIAhUCAwJjAh4AAtQCAgIzAgQCBQIGAgcCCAIJAgoCCwI9Ag0CCAIIAggCCAIIAggCCAIIAggCCAIIAggCCAIIAggCCAIIAhUCAwKWAh4AAtQCAgJnAgQCBQIGAgcCCAIJAjwCCwI9Ag0CCAIIAggCCAIIAggCCAIIAggCCAIIAggCCAIIAggCCAIIAhUCAwJoAh4AAtQCAgIpAgQCBQIGAgcCCAIJAgoCCwI9Ag0CCAIIAggCCAIIAggCCAIIAggCCAIIAggCCAIIAggCCAIIAhUCAwJeAh4AAtQCAgJXAgQCBQIGAgcCCAIJAgoCCwI9Ag0CCAIIAggCCAIIAggCCAIIAggCCAIIAggCCAIIAggCCAIIAhUCAwJkAh4AAtQCAgIzAgQCBQIGAgcCCAIJAjwCCwI9Ag0CCAIIAggCCAIIAggCCAIIAggCCAIIAggCCAIIAggCCAIIAhUCAwKVAh4AAtQCAgJlAgQCBQIGAgcCCAIJAgoCCwI9Ag0CCAIIAggCCAIIAggCCAIIAggCCAIIAggCCAIIAggCCAIIAhUCAwJmAh4AAtQCAgInAgQCBQIGAgcCCAIJAjwCCwI9Ag0CCAIIAggCCAIIAggCCAIIAggCCAIIAggCCAIIAggCCAIIAhUCAwI+Ah4AAtQCAgIlAgQCBQIGAgcCCAIJAgoCCwI9Ag0CCAIIAggCCAIIAggCCAIIAggCCAIIAggCCAIIAggCCAIIAhUCAwKIAh4AAtQCAgIjAgQCBQIGAgcCCAIJAjwCCwI9Ag0CCAIIAggCCAIIAggCCAIIAggCCAIIAggCCAIIAggCCAIIAhUCAwJqAh4AAtQCAgInAgQCBQIGAgcCCAIJAgoCCwI9Ag0CCAIIAggCCAIIAggCCAIIAggCCAIIAggCCAIIAggCCAIIAhUCAwJrAh4AAtQCAgJsAgQCBQIGAgcCCAIJAkICCwI9Ag0CCAIIAggCCAIIAggCCAIIAggCCAIIAggCCAIIAggCCAIIAhUCAwJtAh4AAtQCAgJAAgQCBQIGAgcCCAIJAkICCwI9Ag0CCAIIAggCCAIIAggCCAIIAggCCAIIAggCCAIIAggCCAIIAhUCAwJTAh4AAtQCAgJlAgQCBQIGAgcCCAIJAjwCCwI9Ag0CCAIIAggCCAIIAggCCHoAAAQAAggCCAIIAggCCAIIAggCCAIIAggCFQIDAmkCHgAC1AICAiECBAIFAgYCBwIIAgkCQgILAj0CDQIIAggCCAIIAggCCAIIAggCCAIIAggCCAIIAggCCAIIAggCFQIDAo8CHgAC1AICAkoCBAIFAgYCBwIIAgkCPAILAj0CDQIIAggCCAIIAggCCAIIAggCCAIIAggCCAIIAggCCAIIAggCFQIDAksCHgAC1AICAiUCBAIFAgYCBwIIAgkCPAILAj0CDQIIAggCCAIIAggCCAIIAggCCAIIAggCCAIIAggCCAIIAggCFQIDAkgCHgAC1AICAlkCBAIFAgYCBwIIAgkCQgILAj0CDQIIAggCCAIIAggCCAIIAggCCAIIAggCCAIIAggCCAIIAggCFQIDAnACHgAC1AICAi8CBAIFAgYCBwIIAgkCQgILAj0CDQIIAggCCAIIAggCCAIIAggCCAIIAggCCAIIAggCCAIIAggCFQIDAkkCHgAC1AICAlcCBAIFAgYCBwIIAgkCQgILAj0CDQIIAggCCAIIAggCCAIIAggCCAIIAggCCAIIAggCCAIIAggCFQIDAoECHgAC1AICAi0CBAIFAgYCBwIIAgkCPAILAj0CDQIIAggCCAIIAggCCAIIAggCCAIIAggCCAIIAggCCAIIAggCFQIDAnsCHgAC1AICAkQCBAIFAgYCBwIIAgkCCgILAj0CDQIIAggCCAIIAggCCAIIAggCCAIIAggCCAIIAggCCAIIAggCFQIDAlsCHgAC1AICAkoCBAIFAgYCBwIIAgkCCgILAj0CDQIIAggCCAIIAggCCAIIAggCCAIIAggCCAIIAggCCAIIAggCFQIDAokCHgAC1AICAmcCBAIFAgYCBwIIAgkCCgILAj0CDQIIAggCCAIIAggCCAIIAggCCAIIAggCCAIIAggCCAIIAggCFQIDAnUCHgAC1AICAh0CBAIFAgYCBwIIAgkCCgILAj0CDQIIAggCCAIIAggCCAIIAggCCAIIAggCCAIIAggCCAIIAggCFQIDAl8CHgAC1AICAikCBAIFAgYCBwIIAgkCQgILAj0CDQIIAggCCAIIAggCCAIIAggCCAIIAggCCAIIAggCCAIIAggCFQIDAoACHgAC1AICAisCBAIFAgYCBwIIAgkCQgILAj0CDQIIAggCCAIIAggCCAIIAggCCAIIAggCCAIIAggCCAIIAggCFQIDAkwCHgAC1AICAi0CBAIFAgYCBwIIAgkCCgILAj0CDQIIAggCCAIIAggCCAIIAggCCAIIAggCCAIIAggCCAIIAggCFQIDAk0CHgAC1AICAkQCBAIFAgYCBwIIAgkCQgILAj0CDQIIAnoAAAQACAIIAggCCAIIAggCCAIIAggCCAIIAggCCAIIAggCCAIVAgMCfgIeAALUAgICTgIEAgUCBgIHAggCCQIKAgsCPQINAggCCAIIAggCCAIIAggCCAIIAggCCAIIAggCCAIIAggCCAIVAgMCTwIeAALUAgICTgIEAgUCBgIHAggCCQI8AgsCPQINAggCCAIIAggCCAIIAggCCAIIAggCCAIIAggCCAIIAggCCAIVAgMCdwIeAALUAgICUQIEAgUCBgIHAggCCQJCAgsCPQINAggCCAIIAggCCAIIAggCCAIIAggCCAIIAggCCAIIAggCCAIVAgMCUgIeAALUAgICIwIEAgUCBgIHAggCCQJCAgsCPQINAggCCAIIAggCCAIIAggCCAIIAggCCAIIAggCCAIIAggCCAIVAgMCUAIeAALUAgICNQIEAgUCBgIHAggCCQJCAgsCPQINAggCCAIIAggCCAIIAggCCAIIAggCCAIIAggCCAIIAggCCAIVAgMCVAIeAALUAgICLwIEAgUCBgIHAggCCQI8AgsCPQINAggCCAIIAggCCAIIAggCCAIIAggCCAIIAggCCAIIAggCCAIVAgMCPgIeAALUAgICGwIEAgUCBgIHAggCCQIKAgsCPQINAggCCAIIAggCCAIIAggCCAIIAggCCAIIAggCCAIIAggCCAIVAgMCjQIeAALUAgICQAIEAgUCBgIHAggCCQI8AgsCPQINAggCCAIIAggCCAIIAggCCAIIAggCCAIIAggCCAIIAggCCAIVAgMCkQIeAALUAgICKwIEAgUCBgIHAggCCQI8AgsCPQINAggCCAIIAggCCAIIAggCCAIIAggCCAIIAggCCAIIAggCCAIVAgMCVQIeAALUAgICKwIEAgUCBgIHAggCCQIKAgsCPQINAggCCAIIAggCCAIIAggCCAIIAggCCAIIAggCCAIIAggCCAIVAgMCYAIeAALUAgICTgIEAgUCBgIHAggCCQJCAgsCPQINAggCCAIIAggCCAIIAggCCAIIAggCCAIIAggCCAIIAggCCAIVAgMCkwIeAALUAgICLwIEAgUCBgIHAggCCQIKAgsCPQINAggCCAIIAggCCAIIAggCCAIIAggCCAIIAggCCAIIAggCCAIVAgMCXQIeAALUAgICLQIEAgUCBgIHAggCCQJCAgsCPQINAggCCAIIAggCCAIIAggCCAIIAggCCAIIAggCCAIIAggCCAIVAgMCkgIeAALUAgICHwIEAgUCBgIHAggCCQI8AgsCPQINAggCCAIIAggCCAIIAggCCAIIAggCCAIIAggCCAIIAggCCAIVAgMCPgIeAALUAgICRAIEAgUCBgIHAggCCXoAAAQAAjwCCwI9Ag0CCAIIAggCCAIIAggCCAIIAggCCAIIAggCCAIIAggCCAIIAhUCAwJFAh4AAtQCAgIdAgQCBQIGAgcCCAIJAjwCCwI9Ag0CCAIIAggCCAIIAggCCAIIAggCCAIIAggCCAIIAggCCAIIAhUCAwI/Ah4AAtQCAgIfAgQCBQIGAgcCCAIJAgoCCwI9Ag0CCAIIAggCCAIIAggCCAIIAggCCAIIAggCCAIIAggCCAIIAhUCAwJGAh4AAtQCAgIbAgQCBQIGAgcCCAIJAkICCwI9Ag0CCAIIAggCCAIIAggCCAIIAggCCAIIAggCCAIIAggCCAIIAhUCAwJHAh4AAtQCAgIjAgQCBQIGAgcCCAIJAgoCCwI9Ag0CCAIIAggCCAIIAggCCAIIAggCCAIIAggCCAIIAggCCAIIAhUCAwJxAh4AAtQCAgJRAgQCBQIGAgcCCAIJAgoCCwI9Ag0CCAIIAggCCAIIAggCCAIIAggCCAIIAggCCAIIAggCCAIIAhUCAwJyAh4AAtQCAgI1AgQCBQIGAgcCCAIJAjwCCwI9Ag0CCAIIAggCCAIIAggCCAIIAggCCAIIAggCCAIIAggCCAIIAhUCAwJ0Ah4AAtQCAgJRAgQCBQIGAgcCCAIJAjwCCwI9Ag0CCAIIAggCCAIIAggCCAIIAggCCAIIAggCCAIIAggCCAIIAhUCAwJ2Ah4AAtQCAgI1AgQCBQIGAgcCCAIJAgoCCwI9Ag0CCAIIAggCCAIIAggCCAIIAggCCAIIAggCCAIIAggCCAIIAhUCAwJ4Ah4AAtQCAgIzAgQCBQIGAgcCCAIJAkICCwI9Ag0CCAIIAggCCAIIAggCCAIIAggCCAIIAggCCAIIAggCCAIIAhUCAwJ8Ah4AAtQCAgJiAgQCBQIGAgcCCAIJAjwCCwI9Ag0CCAIIAggCCAIIAggCCAIIAggCCAIIAggCCAIIAggCCAIIAhUCAwKHAh4AAtQCAgJnAgQCBQIGAgcCCAIJAkICCwI9Ag0CCAIIAggCCAIIAggCCAIIAggCCAIIAggCCAIIAggCCAIIAhUCAwKOAh4AAtQCAgIfAgQCBQIGAgcCCAIJAkICCwI9Ag0CCAIIAggCCAIIAggCCAIIAggCCAIIAggCCAIIAggCCAIIAhUCAwKFAh4AAtQCAgJAAgQCBQIGAgcCCAIJAgoCCwI9Ag0CCAIIAggCCAIIAggCCAIIAggCCAIIAggCCAIIAggCCAIIAhUCAwJBAh4AAtQCAgIbAgQCBQIGAgcCCAIJAjwCCwI9Ag0CCAIIAggCCAIIAggCCAIIAggCCAIIAggCCAIIAggCCAIIAhUCAwKLAh4AAtQCAgJlAnoAAAQABAIFAgYCBwIIAgkCQgILAj0CDQIIAggCCAIIAggCCAIIAggCCAIIAggCCAIIAggCCAIIAggCFQIDAn8CHgAC1AICAjECBAIFAgYCBwIIAgkCPAILAj0CDQIIAggCCAIIAggCCAIIAggCCAIIAggCCAIIAggCCAIIAggCFQIDAoQCHgAC1AICAmICBAIFAgYCBwIIAgkCCgILAj0CDQIIAggCCAIIAggCCAIIAggCCAIIAggCCAIIAggCCAIIAggCFQIDAnoCHgAC1AICAicCBAIFAgYCBwIIAgkCQgILAj0CDQIIAggCCAIIAggCCAIIAggCCAIIAggCCAIIAggCCAIIAggCFQIDAowCHgAC1AICAiUCBAIFAgYCBwIIAgkCQgILAj0CDQIIAggCCAIIAggCCAIIAggCCAIIAggCCAIIAggCCAIIAggCFQIDAnMCHgAC1QAHODY0MzcyMAICAmcCBAIFAgYCBwIIAgkCOQILAgwCDQIIAggCCAIIAggCCAIIAggCCAIIAggCCAIIAggCCAIIAggCEAIDAqgCHgAC1QICAjECBAIFAgYCBwIIAgkCCgILAgwCDQIIAggCCAIIAggCCAIIAggCCAIIAggCCAIIAggCCAIIAggCEAIDAjICHgAC1QICAkoCBAIFAgYCBwIIAgkCQgILAgwCDQIIAggCCAIIAggCCAIIAggCCAIIAggCCAIIAggCCAIIAggCEAIDAq8CHgAC1QICAkQCBAIFAgYCBwIIAgkCQgILAgwCDQIIAggCCAIIAggCCAIIAggCCAIIAggCCAIIAggCCAIIAggCEAIDAqkCHgAC1QICAmUCBAIFAgYCBwIIAgkCOQILAgwCDQIIAggCCAIIAggCCAIIAggCCAIIAggCCAIIAggCCAIIAggCEAIDArICHgAC1QICAiUCBAIFAgYCBwIIAgkCQgILAgwCDQIIAggCCAIIAggCCAIIAggCCAIIAggCCAIIAggCCAIIAggCEAIDAp8CHgAC1QICAmICBAIFAgYCBwIIAgkCCgILAgwCDQIIAggCCAIIAggCCAIIAggCCAIIAggCCAIIAggCCAIIAggCEAIDAqsCHgAC1QICAh8CBAIFAgYCBwIIAgkCQgILAgwCDQIIAggCCAIIAggCCAIIAggCCAIIAggCCAIIAggCCAIIAggCEAIDAp0CHgAC1QICAjMCBAIFAgYCBwIIAgkCOQILAgwCDQIIAggCCAIIAggCCAIIAggCCAIIAggCCAIIAggCCAIIAggCEAIDArACHgAC1QICAjUCBAIFAgYCBwIIAgkCOQILAgwCDQIIAggCCAIIAggCCAIIAggCCAIIAggCCAIIAggCCHoAAAQAAggCCAIQAgMCugIeAALVAgICKQIEAgUCBgIHAggCCQIKAgsCDAINAggCCAIIAggCCAIIAggCCAIIAggCCAIIAggCCAIIAggCCAIQAgMCKgIeAALVAgICVwIEAgUCBgIHAggCCQIKAgsCDAINAggCCAIIAggCCAIIAggCCAIIAggCCAIIAggCCAIIAggCCAIQAgMC0AIeAALVAgICggIEAgUCBgIHAggCCQI5AgsCDAINAggCCAIIAggCCAIIAggCCAIIAggCCAIIAggCCAIIAggCCAIQAgMCPgIeAALVAgICVwIEAgUCBgIHAggCCQI5AgsCDAINAggCCAIIAggCCAIIAggCCAIIAggCCAIIAggCCAIIAggCCAIQAgMCsQIeAALVAgICIQIEAgUCBgIHAggCCQIKAgsCDAINAggCCAIIAggCCAIIAggCCAIIAggCCAIIAggCCAIIAggCCAIQAgMCIgIeAALVAgICYgIEAgUCBgIHAggCCQJCAgsCDAINAggCCAIIAggCCAIIAggCCAIIAggCCAIIAggCCAIIAggCCAIQAgMCzAIeAALVAgICWQIEAgUCBgIHAggCCQIKAgsCDAINAggCCAIIAggCCAIIAggCCAIIAggCCAIIAggCCAIIAggCCAIQAgMCrgIeAALVAgICMQIEAgUCBgIHAggCCQJCAgsCDAINAggCCAIIAggCCAIIAggCCAIIAggCCAIIAggCCAIIAggCCAIQAgMCpgIeAALVAgICIwIEAgUCBgIHAggCCQI5AgsCDAINAggCCAIIAggCCAIIAggCCAIIAggCCAIIAggCCAIIAggCCAIQAgMCrAIeAALVAgICUQIEAgUCBgIHAggCCQI5AgsCDAINAggCCAIIAggCCAIIAggCCAIIAggCCAIIAggCCAIIAggCCAIQAgMCrQIeAALVAgICbAIEAgUCBgIHAggCCQIKAgsCDAINAggCCAIIAggCCAIIAggCCAIIAggCCAIIAggCCAIIAggCCAIQAgMCqgIeAALVAgICJwIEAgUCBgIHAggCCQI5AgsCDAINAggCCAIIAggCCAIIAggCCAIIAggCCAIIAggCCAIIAggCCAIQAgMCPgIeAALVAgICHQIEAgUCBgIHAggCCQIKAgsCDAINAggCCAIIAggCCAIIAggCCAIIAggCCAIIAggCCAIIAggCCAIQAgMCHgIeAALVAgICRAIEAgUCBgIHAggCCQIKAgsCDAINAggCCAIIAggCCAIIAggCCAIIAggCCAIIAggCCAIIAggCCAIQAgMCygIeAALVAgICbAIEAgUCBgIHAggCCQJCAgsCDAINAggCCAIIAggCCAIIAggCCAIIAnoAAAQACAIIAggCCAIIAggCCAIIAhACAwLJAh4AAtUCAgIjAgQCBQIGAgcCCAIJAgoCCwIMAg0CCAIIAggCCAIIAggCCAIIAggCCAIIAggCCAIIAggCCAIIAhACAwIkAh4AAtUCAgIbAgQCBQIGAgcCCAIJAkICCwIMAg0CCAIIAggCCAIIAggCCAIIAggCCAIIAggCCAIIAggCCAIIAhACAwKZAh4AAtUCAgIrAgQCBQIGAgcCCAIJAjkCCwIMAg0CCAIIAggCCAIIAggCCAIIAggCCAIIAggCCAIIAggCCAIIAhACAwLBAh4AAtUCAgItAgQCBQIGAgcCCAIJAjkCCwIMAg0CCAIIAggCCAIIAggCCAIIAggCCAIIAggCCAIIAggCCAIIAhACAwLRAh4AAtUCAgIDAgQCBQIGAgcCCAIJAkICCwIMAg0CCAIIAggCCAIIAggCCAIIAggCCAIIAggCCAIIAggCCAIIAhACAwKYAh4AAtUCAgIpAgQCBQIGAgcCCAIJAjkCCwIMAg0CCAIIAggCCAIIAggCCAIIAggCCAIIAggCCAIIAggCCAIIAhACAwI+Ah4AAtUCAgJOAgQCBQIGAgcCCAIJAjkCCwIMAg0CCAIIAggCCAIIAggCCAIIAggCCAIIAggCCAIIAggCCAIIAhACAwLSAh4AAtUCAgIvAgQCBQIGAgcCCAIJAjkCCwIMAg0CCAIIAggCCAIIAggCCAIIAggCCAIIAggCCAIIAggCCAIIAhACAwI+Ah4AAtUCAgIzAgQCBQIGAgcCCAIJAkICCwIMAg0CCAIIAggCCAIIAggCCAIIAggCCAIIAggCCAIIAggCCAIIAhACAwKjAh4AAtUCAgI1AgQCBQIGAgcCCAIJAgoCCwIMAg0CCAIIAggCCAIIAggCCAIIAggCCAIIAggCCAIIAggCCAIIAhACAwI2Ah4AAtUCAgJAAgQCBQIGAgcCCAIJAkICCwIMAg0CCAIIAggCCAIIAggCCAIIAggCCAIIAggCCAIIAggCCAIIAhACAwLPAh4AAtUCAgJlAgQCBQIGAgcCCAIJAkICCwIMAg0CCAIIAggCCAIIAggCCAIIAggCCAIIAggCCAIIAggCCAIIAhACAwLDAh4AAtUCAgIhAgQCBQIGAgcCCAIJAjkCCwIMAg0CCAIIAggCCAIIAggCCAIIAggCCAIIAggCCAIIAggCCAIIAhACAwLNAh4AAtUCAgJZAgQCBQIGAgcCCAIJAjkCCwIMAg0CCAIIAggCCAIIAggCCAIIAggCCAIIAggCCAIIAggCCAIIAhACAwLOAh4AAtUCAgJRAgQCBQIGAgcCCAIJAgoCCwIMAg0CCAIIAggCCHoAAAQAAggCCAIIAggCCAIIAggCCAIIAggCCAIIAggCEAIDAssCHgAC1QICAgMCBAIFAgYCBwIIAgkCCgILAgwCDQIIAggCCAIIAggCCAIIAggCCAIIAggCCAIIAggCCAIIAggCEAIDAg4CHgAC1QICAiMCBAIFAgYCBwIIAgkCQgILAgwCDQIIAggCCAIIAggCCAIIAggCCAIIAggCCAIIAggCCAIIAggCEAIDAp4CHgAC1QICAkQCBAIFAgYCBwIIAgkCOQILAgwCDQIIAggCCAIIAggCCAIIAggCCAIIAggCCAIIAggCCAIIAggCEAIDAsgCHgAC1QICAh8CBAIFAgYCBwIIAgkCOQILAgwCDQIIAggCCAIIAggCCAIIAggCCAIIAggCCAIIAggCCAIIAggCEAIDAj4CHgAC1QICAhsCBAIFAgYCBwIIAgkCCgILAgwCDQIIAggCCAIIAggCCAIIAggCCAIIAggCCAIIAggCCAIIAggCEAIDAhwCHgAC1QICAlECBAIFAgYCBwIIAgkCQgILAgwCDQIIAggCCAIIAggCCAIIAggCCAIIAggCCAIIAggCCAIIAggCEAIDAr0CHgAC1QICAicCBAIFAgYCBwIIAgkCQgILAgwCDQIIAggCCAIIAggCCAIIAggCCAIIAggCCAIIAggCCAIIAggCEAIDApsCHgAC1QICAk4CBAIFAgYCBwIIAgkCCgILAgwCDQIIAggCCAIIAggCCAIIAggCCAIIAggCCAIIAggCCAIIAggCEAIDAsYCHgAC1QICAh0CBAIFAgYCBwIIAgkCOQILAgwCDQIIAggCCAIIAggCCAIIAggCCAIIAggCCAIIAggCCAIIAggCEAIDAr4CHgAC1QICAisCBAIFAgYCBwIIAgkCCgILAgwCDQIIAggCCAIIAggCCAIIAggCCAIIAggCCAIIAggCCAIIAggCEAIDAiwCHgAC1QICAkACBAIFAgYCBwIIAgkCCgILAgwCDQIIAggCCAIIAggCCAIIAggCCAIIAggCCAIIAggCCAIIAggCEAIDAsUCHgAC1QICAi8CBAIFAgYCBwIIAgkCCgILAgwCDQIIAggCCAIIAggCCAIIAggCCAIIAggCCAIIAggCCAIIAggCEAIDAjACHgAC1QICAi0CBAIFAgYCBwIIAgkCQgILAgwCDQIIAggCCAIIAggCCAIIAggCCAIIAggCCAIIAggCCAIIAggCEAIDAqUCHgAC1QICAkoCBAIFAgYCBwIIAgkCOQILAgwCDQIIAggCCAIIAggCCAIIAggCCAIIAggCCAIIAggCCAIIAggCEAIDAr8CHgAC1QICAk4CBAIFAgYCBwIIAgkCQgILAnoAAAE/DAINAggCCAIIAggCCAIIAggCCAIIAggCCAIIAggCCAIIAggCCAIQAgMCuAIeAALVAgICZwIEAgUCBgIHAggCCQJCAgsCDAINAggCCAIIAggCCAIIAggCCAIIAggCCAIIAggCCAIIAggCCAIQAgMCxwIeAALVAgICNQIEAgUCBgIHAggCCQJCAgsCDAINAggCCAIIAggCCAIIAggCCAIIAggCCAIIAggCCAIIAggCCAIQAgMCpAIeAALVAgICJQIEAgUCBgIHAggCCQI5AgsCDAINAggCCAIIAggCCAIIAggCCAIIAggCCAIIAggCCAIIAggCCAIQAgMCwgIeAALVAgICggIEAgUCBgIHAggCCQJCAgsCDAINAggCCAIIAggCCAIIAggCCAIIAggCCAIIAggCCAIIAggCCAIQAgMC1nNxAH4AAAAAAAJzcQB+AAT///////////////7////+/////3VxAH4ABwAAAAQHGT+ZeHh6AAADxgIeAALVAgICAwIEAgUCBgIHAggCCQI5AgsCDAINAggCCAIIAggCCAIIAggCCAIIAggCCAIIAggCCAIIAggCCAIQAgMCPgIeAALVAgICGwIEAgUCBgIHAggCCQI5AgsCDAINAggCCAIIAggCCAIIAggCCAIIAggCCAIIAggCCAIIAggCCAIQAgMCtAIeAALVAgICZwIEAgUCBgIHAggCCQIKAgsCDAINAggCCAIIAggCCAIIAggCCAIIAggCCAIIAggCCAIIAggCCAIQAgMCswIeAALVAgICHwIEAgUCBgIHAggCCQIKAgsCDAINAggCCAIIAggCCAIIAggCCAIIAggCCAIIAggCCAIIAggCCAIQAgMCIAIeAALVAgICIQIEAgUCBgIHAggCCQJCAgsCDAINAggCCAIIAggCCAIIAggCCAIIAggCCAIIAggCCAIIAggCCAIQAgMCnAIeAALVAgICbAIEAgUCBgIHAggCCQI5AgsCDAINAggCCAIIAggCCAIIAggCCAIIAggCCAIIAggCCAIIAggCCAIQAgMCtwIeAALVAgICJwIEAgUCBgIHAggCCQIKAgsCDAINAggCCAIIAggCCAIIAggCCAIIAggCCAIIAggCCAIIAggCCAIQAgMCKAIeAALVAgICWQIEAgUCBgIHAggCCQJCAgsCDAINAggCCAIIAggCCAIIAggCCAIIAggCCAIIAggCCAIIAggCCAIQAgMCuwIeAALVAgICMwIEAgUCBgIHAggCCQIKAgsCDAINAggCCAIIAggCCAIIAggCCAIIAggCCAIIAggCCAIIAggCCAIQAgMCNAIeAALVAgICZQIEAgUCBgIHAggCCQIKAgsCDAINAggCCAIIAggCCAIIAggCCAIIAggCCAIIAggCCAIIAggCCAIQAgMCtgIeAALVAgICYgIEAgUCBgIHAggCCQI5AgsCDAINAggCCAIIAggCCAIIAggCCAIIAggCCAIIAggCCAIIAggCCAIQAgMCvAIeAALVAgICMQIEAgUCBgIHAggCCQI5AgsCDAINAggCCAIIAggCCAIIAggCCAIIAggCCAIIAggCCAIIAggCCAIQAgMCtQIeAALVAgICSgIEAgUCBgIHAggCCQIKAgsCDAINAggCCAIIAggCCAIIAggCCAIIAggCCAIIAggCCAIIAggCCAIQAgMCuQIeAALVAgICggIEAgUCBgIHAggCCQIKAgsCDAINAggCCAIIAggCCAIIAggCCAIIAggCCAIIAggCCAIIAggCCAIQAgMC13NxAH4AAAAAAAJzcQB+AAT///////////////7////+/////3VxAH4ABwAAAARaqchfeHh6AAAEAAIeAALVAgICQAIEAgUCBgIHAggCCQI5AgsCDAINAggCCAIIAggCCAIIAggCCAIIAggCCAIIAggCCAIIAggCCAIQAgMCwAIeAALVAgICLQIEAgUCBgIHAggCCQIKAgsCDAINAggCCAIIAggCCAIIAggCCAIIAggCCAIIAggCCAIIAggCCAIQAgMCLgIeAALVAgICJQIEAgUCBgIHAggCCQIKAgsCDAINAggCCAIIAggCCAIIAggCCAIIAggCCAIIAggCCAIIAggCCAIQAgMCJgIeAALVAgICVwIEAgUCBgIHAggCCQJCAgsCDAINAggCCAIIAggCCAIIAggCCAIIAggCCAIIAggCCAIIAggCCAIQAgMCxAIeAALVAgICLwIEAgUCBgIHAggCCQJCAgsCDAINAggCCAIIAggCCAIIAggCCAIIAggCCAIIAggCCAIIAggCCAIQAgMCoQIeAALVAgICKQIEAgUCBgIHAggCCQJCAgsCDAINAggCCAIIAggCCAIIAggCCAIIAggCCAIIAggCCAIIAggCCAIQAgMCoAIeAALVAgICHQIEAgUCBgIHAggCCQJCAgsCDAINAggCCAIIAggCCAIIAggCCAIIAggCCAIIAggCCAIIAggCCAIQAgMCmgIeAALVAgICKwIEAgUCBgIHAggCCQJCAgsCDAINAggCCAIIAggCCAIIAggCCAIIAggCCAIIAggCCAIIAggCCAIQAgMCogIeAALYAAk1NzU5ODg0ODACAgItAgQCBQIGAgcCCAIJAkICCwI9Ag0CCAIIAggCCAIIAggCCAIIAggCCAIIAggCCAIIAggCCAIIAiICAwKSAh4AAtgCAgIzAgQCBQIGAgcCCAIJAkICCwI9Ag0CCAIIAggCCAIIAggCCAIIAggCCAIIAggCCAIIAggCCAIIAiICAwJ8Ah4AAtgCAgIvAgQCBQIGAgcCCAIJAkICCwI9Ag0CCAIIAggCCAIIAggCCAIIAggCCAIIAggCCAIIAggCCAIIAiICAwJJAh4AAtgCAgInAgQCBQIGAgcCCAIJAkICCwI9Ag0CCAIIAggCCAIIAggCCAIIAggCCAIIAggCCAIIAggCCAIIAiICAwKMAh4AAtgCAgIlAgQCBQIGAgcCCAIJAkICCwI9Ag0CCAIIAggCCAIIAggCCAIIAggCCAIIAggCCAIIAggCCAIIAiICAwJzAh4AAtgCAgIjAgQCBQIGAgcCCAIJAkICCwI9Ag0CCAIIAggCCAIIAggCCAIIAggCCAIIAggCCAIIAggCCAIIAiICAwJQAh4AAtgCAgIDAgQCBQIGAgcCCAIJAkICCwI9Ag0CCAIIAggCCAIIAggCCAIIAgh6AAAEAAIIAggCCAIIAggCCAIIAggCIgIDAkMCHgAC2AICAhsCBAIFAgYCBwIIAgkCQgILAj0CDQIIAggCCAIIAggCCAIIAggCCAIIAggCCAIIAggCCAIIAggCIgIDAkcCHgAC2AICAiECBAIFAgYCBwIIAgkCQgILAj0CDQIIAggCCAIIAggCCAIIAggCCAIIAggCCAIIAggCCAIIAggCIgIDAo8CHgAC2AICAh8CBAIFAgYCBwIIAgkCQgILAj0CDQIIAggCCAIIAggCCAIIAggCCAIIAggCCAIIAggCCAIIAggCIgIDAoUCHgAC2AICAisCBAIFAgYCBwIIAgkCQgILAj0CDQIIAggCCAIIAggCCAIIAggCCAIIAggCCAIIAggCCAIIAggCIgIDAkwCHgAC2AICAjUCBAIFAgYCBwIIAgkCQgILAj0CDQIIAggCCAIIAggCCAIIAggCCAIIAggCCAIIAggCCAIIAggCIgIDAlQCHgAC2AICAjECBAIFAgYCBwIIAgkCQgILAj0CDQIIAggCCAIIAggCCAIIAggCCAIIAggCCAIIAggCCAIIAggCIgIDAmECHgAC2AICAikCBAIFAgYCBwIIAgkCQgILAj0CDQIIAggCCAIIAggCCAIIAggCCAIIAggCCAIIAggCCAIIAggCIgIDAoACHgAC2AICAh0CBAIFAgYCBwIIAgkCQgILAj0CDQIIAggCCAIIAggCCAIIAggCCAIIAggCCAIIAggCCAIIAggCIgIDAn0CHgAC2QAJNTc1OTg2MTYwAgICJwIEAgUCBgIHAggCCQIKAgsCPQINAggCCAIIAggCCAIIAggCCAIIAggCCAIIAggCCAIIAggCCAIhAgMCawIeAALZAgICHQIEAgUCBgIHAggCCQIKAgsCPQINAggCCAIIAggCCAIIAggCCAIIAggCCAIIAggCCAIIAggCCAIhAgMCXwIeAALZAgICGwIEAgUCBgIHAggCCQIKAgsCPQINAggCCAIIAggCCAIIAggCCAIIAggCCAIIAggCCAIIAggCCAIhAgMCjQIeAALZAgICAwIEAgUCBgIHAggCCQIKAgsCPQINAggCCAIIAggCCAIIAggCCAIIAggCCAIIAggCCAIIAggCCAIhAgMCigIeAALZAgICHwIEAgUCBgIHAggCCQIKAgsCPQINAggCCAIIAggCCAIIAggCCAIIAggCCAIIAggCCAIIAggCCAIhAgMCRgIeAALZAgICMwIEAgUCBgIHAggCCQIKAgsCPQINAggCCAIIAggCCAIIAggCCAIIAggCCAIIAggCCAIIAggCCAIhAgMClgIeAALZAgICLQIEAgUCBgIHAggCCQIKAgt6AAAEAAI9Ag0CCAIIAggCCAIIAggCCAIIAggCCAIIAggCCAIIAggCCAIIAiECAwJNAh4AAtkCAgIxAgQCBQIGAgcCCAIJAgoCCwI9Ag0CCAIIAggCCAIIAggCCAIIAggCCAIIAggCCAIIAggCCAIIAiECAwJ5Ah4AAtkCAgI1AgQCBQIGAgcCCAIJAgoCCwI9Ag0CCAIIAggCCAIIAggCCAIIAggCCAIIAggCCAIIAggCCAIIAiECAwJ4Ah4AAtkCAgIvAgQCBQIGAgcCCAIJAgoCCwI9Ag0CCAIIAggCCAIIAggCCAIIAggCCAIIAggCCAIIAggCCAIIAiECAwJdAh4AAtkCAgIrAgQCBQIGAgcCCAIJAgoCCwI9Ag0CCAIIAggCCAIIAggCCAIIAggCCAIIAggCCAIIAggCCAIIAiECAwJgAh4AAtkCAgIpAgQCBQIGAgcCCAIJAgoCCwI9Ag0CCAIIAggCCAIIAggCCAIIAggCCAIIAggCCAIIAggCCAIIAiECAwJeAh4AAtkCAgIlAgQCBQIGAgcCCAIJAgoCCwI9Ag0CCAIIAggCCAIIAggCCAIIAggCCAIIAggCCAIIAggCCAIIAiECAwKIAh4AAtkCAgIhAgQCBQIGAgcCCAIJAgoCCwI9Ag0CCAIIAggCCAIIAggCCAIIAggCCAIIAggCCAIIAggCCAIIAiECAwJuAh4AAtkCAgIjAgQCBQIGAgcCCAIJAgoCCwI9Ag0CCAIIAggCCAIIAggCCAIIAggCCAIIAggCCAIIAggCCAIIAiECAwJxAh4AAtoABzg2NDgzNjACAgIfAgQCBQIGAgcCCAIJAkICCwIMAg0CCAIIAggCCAIIAggCCAIIAggCCAIIAggCCAIIAggCCAIIAhQCAwKdAh4AAtoCAgIzAgQCBQIGAgcCCAIJAjkCCwIMAg0CCAIIAggCCAIIAggCCAIIAggCCAIIAggCCAIIAggCCAIIAhQCAwKwAh4AAtoCAgIdAgQCBQIGAgcCCAIJAkICCwIMAg0CCAIIAggCCAIIAggCCAIIAggCCAIIAggCCAIIAggCCAIIAhQCAwKaAh4AAtoCAgJXAgQCBQIGAgcCCAIJAjkCCwIMAg0CCAIIAggCCAIIAggCCAIIAggCCAIIAggCCAIIAggCCAIIAhQCAwKxAh4AAtoCAgIpAgQCBQIGAgcCCAIJAjkCCwIMAg0CCAIIAggCCAIIAggCCAIIAggCCAIIAggCCAIIAggCCAIIAhQCAwI+Ah4AAtoCAgJlAgQCBQIGAgcCCAIJAjkCCwIMAg0CCAIIAggCCAIIAggCCAIIAggCCAIIAggCCAIIAggCCAIIAhQCAwKyAh4AAtp6AAAEAAICAmICBAIFAgYCBwIIAgkCCgILAgwCDQIIAggCCAIIAggCCAIIAggCCAIIAggCCAIIAggCCAIIAggCFAIDAqsCHgAC2gICAjECBAIFAgYCBwIIAgkCCgILAgwCDQIIAggCCAIIAggCCAIIAggCCAIIAggCCAIIAggCCAIIAggCFAIDAjICHgAC2gICAmcCBAIFAgYCBwIIAgkCOQILAgwCDQIIAggCCAIIAggCCAIIAggCCAIIAggCCAIIAggCCAIIAggCFAIDAqgCHgAC2gICAkQCBAIFAgYCBwIIAgkCQgILAgwCDQIIAggCCAIIAggCCAIIAggCCAIIAggCCAIIAggCCAIIAggCFAIDAqkCHgAC2gICAiECBAIFAgYCBwIIAgkCOQILAgwCDQIIAggCCAIIAggCCAIIAggCCAIIAggCCAIIAggCCAIIAggCFAIDAs0CHgAC2gICAi8CBAIFAgYCBwIIAgkCQgILAgwCDQIIAggCCAIIAggCCAIIAggCCAIIAggCCAIIAggCCAIIAggCFAIDAqECHgAC2gICAlkCBAIFAgYCBwIIAgkCOQILAgwCDQIIAggCCAIIAggCCAIIAggCCAIIAggCCAIIAggCCAIIAggCFAIDAs4CHgAC2gICAisCBAIFAgYCBwIIAgkCQgILAgwCDQIIAggCCAIIAggCCAIIAggCCAIIAggCCAIIAggCCAIIAggCFAIDAqICHgAC2gICAmwCBAIFAgYCBwIIAgkCOQILAgwCDQIIAggCCAIIAggCCAIIAggCCAIIAggCCAIIAggCCAIIAggCFAIDArcCHgAC2gICAh8CBAIFAgYCBwIIAgkCCgILAgwCDQIIAggCCAIIAggCCAIIAggCCAIIAggCCAIIAggCCAIIAggCFAIDAiACHgAC2gICAhsCBAIFAgYCBwIIAgkCQgILAgwCDQIIAggCCAIIAggCCAIIAggCCAIIAggCCAIIAggCCAIIAggCFAIDApkCHgAC2gICAkACBAIFAgYCBwIIAgkCQgILAgwCDQIIAggCCAIIAggCCAIIAggCCAIIAggCCAIIAggCCAIIAggCFAIDAs8CHgAC2gICAkoCBAIFAgYCBwIIAgkCCgILAgwCDQIIAggCCAIIAggCCAIIAggCCAIIAggCCAIIAggCCAIIAggCFAIDArkCHgAC2gICAiUCBAIFAgYCBwIIAgkCCgILAgwCDQIIAggCCAIIAggCCAIIAggCCAIIAggCCAIIAggCCAIIAggCFAIDAiYCHgAC2gICAjECBAIFAgYCBwIIAgkCQgILAgwCDQIIAggCCAIIAggCCAIIAggCCAIIAggCCAIIAggCCAIIAgh6AAAEAAIUAgMCpgIeAALaAgICYgIEAgUCBgIHAggCCQJCAgsCDAINAggCCAIIAggCCAIIAggCCAIIAggCCAIIAggCCAIIAggCCAIUAgMCzAIeAALaAgICLQIEAgUCBgIHAggCCQI5AgsCDAINAggCCAIIAggCCAIIAggCCAIIAggCCAIIAggCCAIIAggCCAIUAgMC0QIeAALaAgICVwIEAgUCBgIHAggCCQIKAgsCDAINAggCCAIIAggCCAIIAggCCAIIAggCCAIIAggCCAIIAggCCAIUAgMC0AIeAALaAgICLwIEAgUCBgIHAggCCQIKAgsCDAINAggCCAIIAggCCAIIAggCCAIIAggCCAIIAggCCAIIAggCCAIUAgMCMAIeAALaAgICTgIEAgUCBgIHAggCCQI5AgsCDAINAggCCAIIAggCCAIIAggCCAIIAggCCAIIAggCCAIIAggCCAIUAgMC0gIeAALaAgICSgIEAgUCBgIHAggCCQI5AgsCDAINAggCCAIIAggCCAIIAggCCAIIAggCCAIIAggCCAIIAggCCAIUAgMCvwIeAALaAgICKQIEAgUCBgIHAggCCQIKAgsCDAINAggCCAIIAggCCAIIAggCCAIIAggCCAIIAggCCAIIAggCCAIUAgMCKgIeAALaAgICHQIEAgUCBgIHAggCCQIKAgsCDAINAggCCAIIAggCCAIIAggCCAIIAggCCAIIAggCCAIIAggCCAIUAgMCHgIeAALaAgICRAIEAgUCBgIHAggCCQIKAgsCDAINAggCCAIIAggCCAIIAggCCAIIAggCCAIIAggCCAIIAggCCAIUAgMCygIeAALaAgICKwIEAgUCBgIHAggCCQIKAgsCDAINAggCCAIIAggCCAIIAggCCAIIAggCCAIIAggCCAIIAggCCAIUAgMCLAIeAALaAgICNQIEAgUCBgIHAggCCQJCAgsCDAINAggCCAIIAggCCAIIAggCCAIIAggCCAIIAggCCAIIAggCCAIUAgMCpAIeAALaAgICIwIEAgUCBgIHAggCCQJCAgsCDAINAggCCAIIAggCCAIIAggCCAIIAggCCAIIAggCCAIIAggCCAIUAgMCngIeAALaAgICHwIEAgUCBgIHAggCCQI5AgsCDAINAggCCAIIAggCCAIIAggCCAIIAggCCAIIAggCCAIIAggCCAIUAgMCPgIeAALaAgICJQIEAgUCBgIHAggCCQI5AgsCDAINAggCCAIIAggCCAIIAggCCAIIAggCCAIIAggCCAIIAggCCAIUAgMCwgIeAALaAgICJwIEAgUCBgIHAggCCQI5AgsCDAINAggCCAIIAggCCAIIAggCCAIIAggCCAJ6AAAEAAgCCAIIAggCCAIIAhQCAwI+Ah4AAtoCAgJZAgQCBQIGAgcCCAIJAgoCCwIMAg0CCAIIAggCCAIIAggCCAIIAggCCAIIAggCCAIIAggCCAIIAhQCAwKuAh4AAtoCAgIhAgQCBQIGAgcCCAIJAgoCCwIMAg0CCAIIAggCCAIIAggCCAIIAggCCAIIAggCCAIIAggCCAIIAhQCAwIiAh4AAtoCAgJRAgQCBQIGAgcCCAIJAkICCwIMAg0CCAIIAggCCAIIAggCCAIIAggCCAIIAggCCAIIAggCCAIIAhQCAwK9Ah4AAtoCAgJOAgQCBQIGAgcCCAIJAgoCCwIMAg0CCAIIAggCCAIIAggCCAIIAggCCAIIAggCCAIIAggCCAIIAhQCAwLGAh4AAtoCAgItAgQCBQIGAgcCCAIJAgoCCwIMAg0CCAIIAggCCAIIAggCCAIIAggCCAIIAggCCAIIAggCCAIIAhQCAwIuAh4AAtoCAgJAAgQCBQIGAgcCCAIJAjkCCwIMAg0CCAIIAggCCAIIAggCCAIIAggCCAIIAggCCAIIAggCCAIIAhQCAwLAAh4AAtoCAgInAgQCBQIGAgcCCAIJAkICCwIMAg0CCAIIAggCCAIIAggCCAIIAggCCAIIAggCCAIIAggCCAIIAhQCAwKbAh4AAtoCAgIzAgQCBQIGAgcCCAIJAkICCwIMAg0CCAIIAggCCAIIAggCCAIIAggCCAIIAggCCAIIAggCCAIIAhQCAwKjAh4AAtoCAgI1AgQCBQIGAgcCCAIJAgoCCwIMAg0CCAIIAggCCAIIAggCCAIIAggCCAIIAggCCAIIAggCCAIIAhQCAwI2Ah4AAtoCAgIdAgQCBQIGAgcCCAIJAjkCCwIMAg0CCAIIAggCCAIIAggCCAIIAggCCAIIAggCCAIIAggCCAIIAhQCAwK+Ah4AAtoCAgIrAgQCBQIGAgcCCAIJAjkCCwIMAg0CCAIIAggCCAIIAggCCAIIAggCCAIIAggCCAIIAggCCAIIAhQCAwLBAh4AAtoCAgJlAgQCBQIGAgcCCAIJAkICCwIMAg0CCAIIAggCCAIIAggCCAIIAggCCAIIAggCCAIIAggCCAIIAhQCAwLDAh4AAtoCAgJXAgQCBQIGAgcCCAIJAkICCwIMAg0CCAIIAggCCAIIAggCCAIIAggCCAIIAggCCAIIAggCCAIIAhQCAwLEAh4AAtoCAgIvAgQCBQIGAgcCCAIJAjkCCwIMAg0CCAIIAggCCAIIAggCCAIIAggCCAIIAggCCAIIAggCCAIIAhQCAwI+Ah4AAtoCAgIhAgQCBQIGAgcCCAIJAkICCwIMAg0CCAIIAggCCAIIAgh6AAAEAAIIAggCCAIIAggCCAIIAggCCAIIAggCFAIDApwCHgAC2gICAiMCBAIFAgYCBwIIAgkCCgILAgwCDQIIAggCCAIIAggCCAIIAggCCAIIAggCCAIIAggCCAIIAggCFAIDAiQCHgAC2gICAlkCBAIFAgYCBwIIAgkCQgILAgwCDQIIAggCCAIIAggCCAIIAggCCAIIAggCCAIIAggCCAIIAggCFAIDArsCHgAC2gICAlECBAIFAgYCBwIIAgkCCgILAgwCDQIIAggCCAIIAggCCAIIAggCCAIIAggCCAIIAggCCAIIAggCFAIDAssCHgAC2gICAhsCBAIFAgYCBwIIAgkCOQILAgwCDQIIAggCCAIIAggCCAIIAggCCAIIAggCCAIIAggCCAIIAggCFAIDArQCHgAC2gICAikCBAIFAgYCBwIIAgkCQgILAgwCDQIIAggCCAIIAggCCAIIAggCCAIIAggCCAIIAggCCAIIAggCFAIDAqACHgAC2gICAmwCBAIFAgYCBwIIAgkCQgILAgwCDQIIAggCCAIIAggCCAIIAggCCAIIAggCCAIIAggCCAIIAggCFAIDAskCHgAC2gICAmcCBAIFAgYCBwIIAgkCCgILAgwCDQIIAggCCAIIAggCCAIIAggCCAIIAggCCAIIAggCCAIIAggCFAIDArMCHgAC2gICAicCBAIFAgYCBwIIAgkCCgILAgwCDQIIAggCCAIIAggCCAIIAggCCAIIAggCCAIIAggCCAIIAggCFAIDAigCHgAC2gICAkACBAIFAgYCBwIIAgkCCgILAgwCDQIIAggCCAIIAggCCAIIAggCCAIIAggCCAIIAggCCAIIAggCFAIDAsUCHgAC2gICAmICBAIFAgYCBwIIAgkCOQILAgwCDQIIAggCCAIIAggCCAIIAggCCAIIAggCCAIIAggCCAIIAggCFAIDArwCHgAC2gICAjUCBAIFAgYCBwIIAgkCOQILAgwCDQIIAggCCAIIAggCCAIIAggCCAIIAggCCAIIAggCCAIIAggCFAIDAroCHgAC2gICAi0CBAIFAgYCBwIIAgkCQgILAgwCDQIIAggCCAIIAggCCAIIAggCCAIIAggCCAIIAggCCAIIAggCFAIDAqUCHgAC2gICAk4CBAIFAgYCBwIIAgkCQgILAgwCDQIIAggCCAIIAggCCAIIAggCCAIIAggCCAIIAggCCAIIAggCFAIDArgCHgAC2gICAjECBAIFAgYCBwIIAgkCOQILAgwCDQIIAggCCAIIAggCCAIIAggCCAIIAggCCAIIAggCCAIIAggCFAIDArUCHgAC2gICAmUCBAIFAgYCBwIIAgkCCgILAgwCDQJ6AAAEAAgCCAIIAggCCAIIAggCCAIIAggCCAIIAggCCAIIAggCCAIUAgMCtgIeAALaAgICMwIEAgUCBgIHAggCCQIKAgsCDAINAggCCAIIAggCCAIIAggCCAIIAggCCAIIAggCCAIIAggCCAIUAgMCNAIeAALaAgICIwIEAgUCBgIHAggCCQI5AgsCDAINAggCCAIIAggCCAIIAggCCAIIAggCCAIIAggCCAIIAggCCAIUAgMCrAIeAALaAgICUQIEAgUCBgIHAggCCQI5AgsCDAINAggCCAIIAggCCAIIAggCCAIIAggCCAIIAggCCAIIAggCCAIUAgMCrQIeAALaAgICbAIEAgUCBgIHAggCCQIKAgsCDAINAggCCAIIAggCCAIIAggCCAIIAggCCAIIAggCCAIIAggCCAIUAgMCqgIeAALaAgICJQIEAgUCBgIHAggCCQJCAgsCDAINAggCCAIIAggCCAIIAggCCAIIAggCCAIIAggCCAIIAggCCAIUAgMCnwIeAALaAgICRAIEAgUCBgIHAggCCQI5AgsCDAINAggCCAIIAggCCAIIAggCCAIIAggCCAIIAggCCAIIAggCCAIUAgMCyAIeAALaAgICZwIEAgUCBgIHAggCCQJCAgsCDAINAggCCAIIAggCCAIIAggCCAIIAggCCAIIAggCCAIIAggCCAIUAgMCxwIeAALaAgICGwIEAgUCBgIHAggCCQIKAgsCDAINAggCCAIIAggCCAIIAggCCAIIAggCCAIIAggCCAIIAggCCAIUAgMCHAIeAALaAgICSgIEAgUCBgIHAggCCQJCAgsCDAINAggCCAIIAggCCAIIAggCCAIIAggCCAIIAggCCAIIAggCCAIUAgMCrwIeAALbAAc4NjQ2MDQwAgICKwIEAgUCBgIHAggCCQJCAgsCDAINAggCCAIIAggCCAIIAggCCAIIAggCCAIIAggCCAIIAggCCAISAgMCogIeAALbAgICbAIEAgUCBgIHAggCCQI5AgsCDAINAggCCAIIAggCCAIIAggCCAIIAggCCAIIAggCCAIIAggCCAISAgMCtwIeAALbAgICWQIEAgUCBgIHAggCCQI5AgsCDAINAggCCAIIAggCCAIIAggCCAIIAggCCAIIAggCCAIIAggCCAISAgMCzgIeAALbAgICQAIEAgUCBgIHAggCCQJCAgsCDAINAggCCAIIAggCCAIIAggCCAIIAggCCAIIAggCCAIIAggCCAISAgMCzwIeAALbAgICJQIEAgUCBgIHAggCCQIKAgsCDAINAggCCAIIAggCCAIIAggCCAIIAggCCAIIAggCCAIIAggCCAISAgMCJgIeAALbAgICIQJ6AAAEAAQCBQIGAgcCCAIJAjkCCwIMAg0CCAIIAggCCAIIAggCCAIIAggCCAIIAggCCAIIAggCCAIIAhICAwLNAh4AAtsCAgIvAgQCBQIGAgcCCAIJAkICCwIMAg0CCAIIAggCCAIIAggCCAIIAggCCAIIAggCCAIIAggCCAIIAhICAwKhAh4AAtsCAgJKAgQCBQIGAgcCCAIJAgoCCwIMAg0CCAIIAggCCAIIAggCCAIIAggCCAIIAggCCAIIAggCCAIIAhICAwK5Ah4AAtsCAgIvAgQCBQIGAgcCCAIJAgoCCwIMAg0CCAIIAggCCAIIAggCCAIIAggCCAIIAggCCAIIAggCCAIIAhICAwIwAh4AAtsCAgIbAgQCBQIGAgcCCAIJAkICCwIMAg0CCAIIAggCCAIIAggCCAIIAggCCAIIAggCCAIIAggCCAIIAhICAwKZAh4AAtsCAgJiAgQCBQIGAgcCCAIJAjkCCwIMAg0CCAIIAggCCAIIAggCCAIIAggCCAIIAggCCAIIAggCCAIIAhICAwK8Ah4AAtsCAgIfAgQCBQIGAgcCCAIJAgoCCwIMAg0CCAIIAggCCAIIAggCCAIIAggCCAIIAggCCAIIAggCCAIIAhICAwIgAh4AAtsCAgJOAgQCBQIGAgcCCAIJAkICCwIMAg0CCAIIAggCCAIIAggCCAIIAggCCAIIAggCCAIIAggCCAIIAhICAwK4Ah4AAtsCAgIDAgQCBQIGAgcCCAIJAkICCwIMAg0CCAIIAggCCAIIAggCCAIIAggCCAIIAggCCAIIAggCCAIIAhICAwKYAh4AAtsCAgIrAgQCBQIGAgcCCAIJAgoCCwIMAg0CCAIIAggCCAIIAggCCAIIAggCCAIIAggCCAIIAggCCAIIAhICAwIsAh4AAtsCAgIdAgQCBQIGAgcCCAIJAgoCCwIMAg0CCAIIAggCCAIIAggCCAIIAggCCAIIAggCCAIIAggCCAIIAhICAwIeAh4AAtsCAgIxAgQCBQIGAgcCCAIJAjkCCwIMAg0CCAIIAggCCAIIAggCCAIIAggCCAIIAggCCAIIAggCCAIIAhICAwK1Ah4AAtsCAgJEAgQCBQIGAgcCCAIJAgoCCwIMAg0CCAIIAggCCAIIAggCCAIIAggCCAIIAggCCAIIAggCCAIIAhICAwLKAh4AAtsCAgIjAgQCBQIGAgcCCAIJAjkCCwIMAg0CCAIIAggCCAIIAggCCAIIAggCCAIIAggCCAIIAggCCAIIAhICAwKsAh4AAtsCAgJRAgQCBQIGAgcCCAIJAjkCCwIMAg0CCAIIAggCCAIIAggCCAIIAggCCAIIAggCCAIIAggCCAIIAhICAwJ6AAAEAK0CHgAC2wICAkoCBAIFAgYCBwIIAgkCQgILAgwCDQIIAggCCAIIAggCCAIIAggCCAIIAggCCAIIAggCCAIIAggCEgIDAq8CHgAC2wICAhsCBAIFAgYCBwIIAgkCCgILAgwCDQIIAggCCAIIAggCCAIIAggCCAIIAggCCAIIAggCCAIIAggCEgIDAhwCHgAC2wICAgMCBAIFAgYCBwIIAgkCCgILAgwCDQIIAggCCAIIAggCCAIIAggCCAIIAggCCAIIAggCCAIIAggCEgIDAg4CHgAC2wICAiUCBAIFAgYCBwIIAgkCQgILAgwCDQIIAggCCAIIAggCCAIIAggCCAIIAggCCAIIAggCCAIIAggCEgIDAp8CHgAC2wICAkQCBAIFAgYCBwIIAgkCOQILAgwCDQIIAggCCAIIAggCCAIIAggCCAIIAggCCAIIAggCCAIIAggCEgIDAsgCHgAC2wICAi0CBAIFAgYCBwIIAgkCQgILAgwCDQIIAggCCAIIAggCCAIIAggCCAIIAggCCAIIAggCCAIIAggCEgIDAqUCHgAC2wICAmwCBAIFAgYCBwIIAgkCCgILAgwCDQIIAggCCAIIAggCCAIIAggCCAIIAggCCAIIAggCCAIIAggCEgIDAqoCHgAC2wICAkACBAIFAgYCBwIIAgkCCgILAgwCDQIIAggCCAIIAggCCAIIAggCCAIIAggCCAIIAggCCAIIAggCEgIDAsUCHgAC2wICAh8CBAIFAgYCBwIIAgkCQgILAgwCDQIIAggCCAIIAggCCAIIAggCCAIIAggCCAIIAggCCAIIAggCEgIDAp0CHgAC2wICAmcCBAIFAgYCBwIIAgkCQgILAgwCDQIIAggCCAIIAggCCAIIAggCCAIIAggCCAIIAggCCAIIAggCEgIDAscCHgAC2wICAjMCBAIFAgYCBwIIAgkCQgILAgwCDQIIAggCCAIIAggCCAIIAggCCAIIAggCCAIIAggCCAIIAggCEgIDAqMCHgAC2wICAmUCBAIFAgYCBwIIAgkCQgILAgwCDQIIAggCCAIIAggCCAIIAggCCAIIAggCCAIIAggCCAIIAggCEgIDAsMCHgAC2wICAlcCBAIFAgYCBwIIAgkCOQILAgwCDQIIAggCCAIIAggCCAIIAggCCAIIAggCCAIIAggCCAIIAggCEgIDArECHgAC2wICAicCBAIFAgYCBwIIAgkCQgILAgwCDQIIAggCCAIIAggCCAIIAggCCAIIAggCCAIIAggCCAIIAggCEgIDApsCHgAC2wICAh0CBAIFAgYCBwIIAgkCOQILAgwCDQIIAggCCAIIAggCCAIIAggCCAIIAggCCAIIAgh6AAAEAAIIAggCCAISAgMCvgIeAALbAgICKwIEAgUCBgIHAggCCQI5AgsCDAINAggCCAIIAggCCAIIAggCCAIIAggCCAIIAggCCAIIAggCCAISAgMCwQIeAALbAgICLwIEAgUCBgIHAggCCQI5AgsCDAINAggCCAIIAggCCAIIAggCCAIIAggCCAIIAggCCAIIAggCCAISAgMCPgIeAALbAgICKQIEAgUCBgIHAggCCQI5AgsCDAINAggCCAIIAggCCAIIAggCCAIIAggCCAIIAggCCAIIAggCCAISAgMCPgIeAALbAgICNQIEAgUCBgIHAggCCQIKAgsCDAINAggCCAIIAggCCAIIAggCCAIIAggCCAIIAggCCAIIAggCCAISAgMCNgIeAALbAgICMQIEAgUCBgIHAggCCQIKAgsCDAINAggCCAIIAggCCAIIAggCCAIIAggCCAIIAggCCAIIAggCCAISAgMCMgIeAALbAgICYgIEAgUCBgIHAggCCQIKAgsCDAINAggCCAIIAggCCAIIAggCCAIIAggCCAIIAggCCAIIAggCCAISAgMCqwIeAALbAgICWQIEAgUCBgIHAggCCQJCAgsCDAINAggCCAIIAggCCAIIAggCCAIIAggCCAIIAggCCAIIAggCCAISAgMCuwIeAALbAgICIwIEAgUCBgIHAggCCQIKAgsCDAINAggCCAIIAggCCAIIAggCCAIIAggCCAIIAggCCAIIAggCCAISAgMCJAIeAALbAgICIQIEAgUCBgIHAggCCQJCAgsCDAINAggCCAIIAggCCAIIAggCCAIIAggCCAIIAggCCAIIAggCCAISAgMCnAIeAALbAgICKQIEAgUCBgIHAggCCQJCAgsCDAINAggCCAIIAggCCAIIAggCCAIIAggCCAIIAggCCAIIAggCCAISAgMCoAIeAALbAgICJwIEAgUCBgIHAggCCQIKAgsCDAINAggCCAIIAggCCAIIAggCCAIIAggCCAIIAggCCAIIAggCCAISAgMCKAIeAALbAgICbAIEAgUCBgIHAggCCQJCAgsCDAINAggCCAIIAggCCAIIAggCCAIIAggCCAIIAggCCAIIAggCCAISAgMCyQIeAALbAgICAwIEAgUCBgIHAggCCQI5AgsCDAINAggCCAIIAggCCAIIAggCCAIIAggCCAIIAggCCAIIAggCCAISAgMCPgIeAALbAgICGwIEAgUCBgIHAggCCQI5AgsCDAINAggCCAIIAggCCAIIAggCCAIIAggCCAIIAggCCAIIAggCCAISAgMCtAIeAALbAgICZwIEAgUCBgIHAggCCQIKAgsCDAINAggCCAIIAggCCAIIAggCCAJ6AAAEAAgCCAIIAggCCAIIAggCCAIIAhICAwKzAh4AAtsCAgJRAgQCBQIGAgcCCAIJAgoCCwIMAg0CCAIIAggCCAIIAggCCAIIAggCCAIIAggCCAIIAggCCAIIAhICAwLLAh4AAtsCAgIxAgQCBQIGAgcCCAIJAkICCwIMAg0CCAIIAggCCAIIAggCCAIIAggCCAIIAggCCAIIAggCCAIIAhICAwKmAh4AAtsCAgJiAgQCBQIGAgcCCAIJAkICCwIMAg0CCAIIAggCCAIIAggCCAIIAggCCAIIAggCCAIIAggCCAIIAhICAwLMAh4AAtsCAgIzAgQCBQIGAgcCCAIJAgoCCwIMAg0CCAIIAggCCAIIAggCCAIIAggCCAIIAggCCAIIAggCCAIIAhICAwI0Ah4AAtsCAgJOAgQCBQIGAgcCCAIJAjkCCwIMAg0CCAIIAggCCAIIAggCCAIIAggCCAIIAggCCAIIAggCCAIIAhICAwLSAh4AAtsCAgI1AgQCBQIGAgcCCAIJAjkCCwIMAg0CCAIIAggCCAIIAggCCAIIAggCCAIIAggCCAIIAggCCAIIAhICAwK6Ah4AAtsCAgIpAgQCBQIGAgcCCAIJAgoCCwIMAg0CCAIIAggCCAIIAggCCAIIAggCCAIIAggCCAIIAggCCAIIAhICAwIqAh4AAtsCAgJXAgQCBQIGAgcCCAIJAgoCCwIMAg0CCAIIAggCCAIIAggCCAIIAggCCAIIAggCCAIIAggCCAIIAhICAwLQAh4AAtsCAgItAgQCBQIGAgcCCAIJAjkCCwIMAg0CCAIIAggCCAIIAggCCAIIAggCCAIIAggCCAIIAggCCAIIAhICAwLRAh4AAtsCAgJlAgQCBQIGAgcCCAIJAgoCCwIMAg0CCAIIAggCCAIIAggCCAIIAggCCAIIAggCCAIIAggCCAIIAhICAwK2Ah4AAtsCAgIjAgQCBQIGAgcCCAIJAkICCwIMAg0CCAIIAggCCAIIAggCCAIIAggCCAIIAggCCAIIAggCCAIIAhICAwKeAh4AAtsCAgI1AgQCBQIGAgcCCAIJAkICCwIMAg0CCAIIAggCCAIIAggCCAIIAggCCAIIAggCCAIIAggCCAIIAhICAwKkAh4AAtsCAgInAgQCBQIGAgcCCAIJAjkCCwIMAg0CCAIIAggCCAIIAggCCAIIAggCCAIIAggCCAIIAggCCAIIAhICAwI+Ah4AAtsCAgJKAgQCBQIGAgcCCAIJAjkCCwIMAg0CCAIIAggCCAIIAggCCAIIAggCCAIIAggCCAIIAggCCAIIAhICAwK/Ah4AAtsCAgJnAgQCBQIGAgcCCAIJAjkCCwIMAg0CCAIIAgh6AAAEAAIIAggCCAIIAggCCAIIAggCCAIIAggCCAIIAggCEgIDAqgCHgAC2wICAh8CBAIFAgYCBwIIAgkCOQILAgwCDQIIAggCCAIIAggCCAIIAggCCAIIAggCCAIIAggCCAIIAggCEgIDAj4CHgAC2wICAiUCBAIFAgYCBwIIAgkCOQILAgwCDQIIAggCCAIIAggCCAIIAggCCAIIAggCCAIIAggCCAIIAggCEgIDAsICHgAC2wICAlECBAIFAgYCBwIIAgkCQgILAgwCDQIIAggCCAIIAggCCAIIAggCCAIIAggCCAIIAggCCAIIAggCEgIDAr0CHgAC2wICAiECBAIFAgYCBwIIAgkCCgILAgwCDQIIAggCCAIIAggCCAIIAggCCAIIAggCCAIIAggCCAIIAggCEgIDAiICHgAC2wICAlkCBAIFAgYCBwIIAgkCCgILAgwCDQIIAggCCAIIAggCCAIIAggCCAIIAggCCAIIAggCCAIIAggCEgIDAq4CHgAC2wICAjMCBAIFAgYCBwIIAgkCOQILAgwCDQIIAggCCAIIAggCCAIIAggCCAIIAggCCAIIAggCCAIIAggCEgIDArACHgAC2wICAmUCBAIFAgYCBwIIAgkCOQILAgwCDQIIAggCCAIIAggCCAIIAggCCAIIAggCCAIIAggCCAIIAggCEgIDArICHgAC2wICAi0CBAIFAgYCBwIIAgkCCgILAgwCDQIIAggCCAIIAggCCAIIAggCCAIIAggCCAIIAggCCAIIAggCEgIDAi4CHgAC2wICAh0CBAIFAgYCBwIIAgkCQgILAgwCDQIIAggCCAIIAggCCAIIAggCCAIIAggCCAIIAggCCAIIAggCEgIDApoCHgAC2wICAkQCBAIFAgYCBwIIAgkCQgILAgwCDQIIAggCCAIIAggCCAIIAggCCAIIAggCCAIIAggCCAIIAggCEgIDAqkCHgAC2wICAkACBAIFAgYCBwIIAgkCOQILAgwCDQIIAggCCAIIAggCCAIIAggCCAIIAggCCAIIAggCCAIIAggCEgIDAsACHgAC2wICAlcCBAIFAgYCBwIIAgkCQgILAgwCDQIIAggCCAIIAggCCAIIAggCCAIIAggCCAIIAggCCAIIAggCEgIDAsQCHgAC2wICAk4CBAIFAgYCBwIIAgkCCgILAgwCDQIIAggCCAIIAggCCAIIAggCCAIIAggCCAIIAggCCAIIAggCEgIDAsYCHgAC3AAJNTcyMjA5ODg4AgICQAIEAgUCBgIHAggCCQIKAgsCPQINAggCCAIIAggCCAIIAggCCAIIAggCCAIIAggCCAIIAggCCAIXAgMCQQIeAALcAgICHwIEAgV6AAAEAAIGAgcCCAIJAjwCCwI9Ag0CCAIIAggCCAIIAggCCAIIAggCCAIIAggCCAIIAggCCAIIAhcCAwI+Ah4AAtwCAgItAgQCBQIGAgcCCAIJAkICCwI9Ag0CCAIIAggCCAIIAggCCAIIAggCCAIIAggCCAIIAggCCAIIAhcCAwKSAh4AAtwCAgJEAgQCBQIGAgcCCAIJAjwCCwI9Ag0CCAIIAggCCAIIAggCCAIIAggCCAIIAggCCAIIAggCCAIIAhcCAwJFAh4AAtwCAgIdAgQCBQIGAgcCCAIJAgoCCwI9Ag0CCAIIAggCCAIIAggCCAIIAggCCAIIAggCCAIIAggCCAIIAhcCAwJfAh4AAtwCAgIrAgQCBQIGAgcCCAIJAgoCCwI9Ag0CCAIIAggCCAIIAggCCAIIAggCCAIIAggCCAIIAggCCAIIAhcCAwJgAh4AAtwCAgJOAgQCBQIGAgcCCAIJAkICCwI9Ag0CCAIIAggCCAIIAggCCAIIAggCCAIIAggCCAIIAggCCAIIAhcCAwKTAh4AAtwCAgIdAgQCBQIGAgcCCAIJAjwCCwI9Ag0CCAIIAggCCAIIAggCCAIIAggCCAIIAggCCAIIAggCCAIIAhcCAwI/Ah4AAtwCAgIrAgQCBQIGAgcCCAIJAjwCCwI9Ag0CCAIIAggCCAIIAggCCAIIAggCCAIIAggCCAIIAggCCAIIAhcCAwJVAh4AAtwCAgJEAgQCBQIGAgcCCAIJAgoCCwI9Ag0CCAIIAggCCAIIAggCCAIIAggCCAIIAggCCAIIAggCCAIIAhcCAwJbAh4AAtwCAgJKAgQCBQIGAgcCCAIJAjwCCwI9Ag0CCAIIAggCCAIIAggCCAIIAggCCAIIAggCCAIIAggCCAIIAhcCAwJLAh4AAtwCAgIfAgQCBQIGAgcCCAIJAgoCCwI9Ag0CCAIIAggCCAIIAggCCAIIAggCCAIIAggCCAIIAggCCAIIAhcCAwJGAh4AAtwCAgIrAgQCBQIGAgcCCAIJAkICCwI9Ag0CCAIIAggCCAIIAggCCAIIAggCCAIIAggCCAIIAggCCAIIAhcCAwJMAh4AAtwCAgIbAgQCBQIGAgcCCAIJAkICCwI9Ag0CCAIIAggCCAIIAggCCAIIAggCCAIIAggCCAIIAggCCAIIAhcCAwJHAh4AAtwCAgJAAgQCBQIGAgcCCAIJAkICCwI9Ag0CCAIIAggCCAIIAggCCAIIAggCCAIIAggCCAIIAggCCAIIAhcCAwJTAh4AAtwCAgJKAgQCBQIGAgcCCAIJAgoCCwI9Ag0CCAIIAggCCAIIAggCCAIIAggCCAIIAggCCAIIAggCCAIIAhcCAwKJAh56AAAEAAAC3AICAiUCBAIFAgYCBwIIAgkCCgILAj0CDQIIAggCCAIIAggCCAIIAggCCAIIAggCCAIIAggCCAIIAggCFwIDAogCHgAC3AICAiUCBAIFAgYCBwIIAgkCPAILAj0CDQIIAggCCAIIAggCCAIIAggCCAIIAggCCAIIAggCCAIIAggCFwIDAkgCHgAC3AICAjMCBAIFAgYCBwIIAgkCQgILAj0CDQIIAggCCAIIAggCCAIIAggCCAIIAggCCAIIAggCCAIIAggCFwIDAnwCHgAC3AICAmUCBAIFAgYCBwIIAgkCQgILAj0CDQIIAggCCAIIAggCCAIIAggCCAIIAggCCAIIAggCCAIIAggCFwIDAn8CHgAC3AICAmICBAIFAgYCBwIIAgkCPAILAj0CDQIIAggCCAIIAggCCAIIAggCCAIIAggCCAIIAggCCAIIAggCFwIDAocCHgAC3AICAh8CBAIFAgYCBwIIAgkCQgILAj0CDQIIAggCCAIIAggCCAIIAggCCAIIAggCCAIIAggCCAIIAggCFwIDAoUCHgAC3AICAicCBAIFAgYCBwIIAgkCQgILAj0CDQIIAggCCAIIAggCCAIIAggCCAIIAggCCAIIAggCCAIIAggCFwIDAowCHgAC3AICAjECBAIFAgYCBwIIAgkCCgILAj0CDQIIAggCCAIIAggCCAIIAggCCAIIAggCCAIIAggCCAIIAggCFwIDAnkCHgAC3AICAmICBAIFAgYCBwIIAgkCCgILAj0CDQIIAggCCAIIAggCCAIIAggCCAIIAggCCAIIAggCCAIIAggCFwIDAnoCHgAC3AICAjUCBAIFAgYCBwIIAgkCCgILAj0CDQIIAggCCAIIAggCCAIIAggCCAIIAggCCAIIAggCCAIIAggCFwIDAngCHgAC3AICAjUCBAIFAgYCBwIIAgkCPAILAj0CDQIIAggCCAIIAggCCAIIAggCCAIIAggCCAIIAggCCAIIAggCFwIDAnQCHgAC3AICAjECBAIFAgYCBwIIAgkCPAILAj0CDQIIAggCCAIIAggCCAIIAggCCAIIAggCCAIIAggCCAIIAggCFwIDAoQCHgAC3AICAmwCBAIFAgYCBwIIAgkCCgILAj0CDQIIAggCCAIIAggCCAIIAggCCAIIAggCCAIIAggCCAIIAggCFwIDApACHgAC3AICAhsCBAIFAgYCBwIIAgkCCgILAj0CDQIIAggCCAIIAggCCAIIAggCCAIIAggCCAIIAggCCAIIAggCFwIDAo0CHgAC3AICAiUCBAIFAgYCBwIIAgkCQgILAj0CDQIIAggCCAIIAggCCAIIAggCCAIIAggCCAIIAggCCAJ6AAAEAAgCCAIXAgMCcwIeAALcAgICbAIEAgUCBgIHAggCCQI8AgsCPQINAggCCAIIAggCCAIIAggCCAIIAggCCAIIAggCCAIIAggCCAIXAgMChgIeAALcAgICQAIEAgUCBgIHAggCCQI8AgsCPQINAggCCAIIAggCCAIIAggCCAIIAggCCAIIAggCCAIIAggCCAIXAgMCkQIeAALcAgICSgIEAgUCBgIHAggCCQJCAgsCPQINAggCCAIIAggCCAIIAggCCAIIAggCCAIIAggCCAIIAggCCAIXAgMCbwIeAALcAgICZwIEAgUCBgIHAggCCQJCAgsCPQINAggCCAIIAggCCAIIAggCCAIIAggCCAIIAggCCAIIAggCCAIXAgMCjgIeAALcAgICGwIEAgUCBgIHAggCCQI8AgsCPQINAggCCAIIAggCCAIIAggCCAIIAggCCAIIAggCCAIIAggCCAIXAgMCiwIeAALcAgICVwIEAgUCBgIHAggCCQIKAgsCPQINAggCCAIIAggCCAIIAggCCAIIAggCCAIIAggCCAIIAggCCAIXAgMCZAIeAALcAgICZQIEAgUCBgIHAggCCQI8AgsCPQINAggCCAIIAggCCAIIAggCCAIIAggCCAIIAggCCAIIAggCCAIXAgMCaQIeAALcAgICZwIEAgUCBgIHAggCCQI8AgsCPQINAggCCAIIAggCCAIIAggCCAIIAggCCAIIAggCCAIIAggCCAIXAgMCaAIeAALcAgICMQIEAgUCBgIHAggCCQJCAgsCPQINAggCCAIIAggCCAIIAggCCAIIAggCCAIIAggCCAIIAggCCAIXAgMCYQIeAALcAgICVwIEAgUCBgIHAggCCQI8AgsCPQINAggCCAIIAggCCAIIAggCCAIIAggCCAIIAggCCAIIAggCCAIXAgMCWAIeAALcAgICZQIEAgUCBgIHAggCCQIKAgsCPQINAggCCAIIAggCCAIIAggCCAIIAggCCAIIAggCCAIIAggCCAIXAgMCZgIeAALcAgICMwIEAgUCBgIHAggCCQIKAgsCPQINAggCCAIIAggCCAIIAggCCAIIAggCCAIIAggCCAIIAggCCAIXAgMClgIeAALcAgICYgIEAgUCBgIHAggCCQJCAgsCPQINAggCCAIIAggCCAIIAggCCAIIAggCCAIIAggCCAIIAggCCAIXAgMCYwIeAALcAgICKQIEAgUCBgIHAggCCQIKAgsCPQINAggCCAIIAggCCAIIAggCCAIIAggCCAIIAggCCAIIAggCCAIXAgMCXgIeAALcAgICKQIEAgUCBgIHAggCCQI8AgsCPQINAggCCAIIAggCCAIIAggCCAIIAgh6AAAEAAIIAggCCAIIAggCCAIIAhcCAwI+Ah4AAtwCAgIzAgQCBQIGAgcCCAIJAjwCCwI9Ag0CCAIIAggCCAIIAggCCAIIAggCCAIIAggCCAIIAggCCAIIAhcCAwKVAh4AAtwCAgIhAgQCBQIGAgcCCAIJAkICCwI9Ag0CCAIIAggCCAIIAggCCAIIAggCCAIIAggCCAIIAggCCAIIAhcCAwKPAh4AAtwCAgJZAgQCBQIGAgcCCAIJAkICCwI9Ag0CCAIIAggCCAIIAggCCAIIAggCCAIIAggCCAIIAggCCAIIAhcCAwJwAh4AAtwCAgJRAgQCBQIGAgcCCAIJAjwCCwI9Ag0CCAIIAggCCAIIAggCCAIIAggCCAIIAggCCAIIAggCCAIIAhcCAwJ2Ah4AAtwCAgInAgQCBQIGAgcCCAIJAgoCCwI9Ag0CCAIIAggCCAIIAggCCAIIAggCCAIIAggCCAIIAggCCAIIAhcCAwJrAh4AAtwCAgInAgQCBQIGAgcCCAIJAjwCCwI9Ag0CCAIIAggCCAIIAggCCAIIAggCCAIIAggCCAIIAggCCAIIAhcCAwI+Ah4AAtwCAgJnAgQCBQIGAgcCCAIJAgoCCwI9Ag0CCAIIAggCCAIIAggCCAIIAggCCAIIAggCCAIIAggCCAIIAhcCAwJ1Ah4AAtwCAgJRAgQCBQIGAgcCCAIJAgoCCwI9Ag0CCAIIAggCCAIIAggCCAIIAggCCAIIAggCCAIIAggCCAIIAhcCAwJyAh4AAtwCAgIjAgQCBQIGAgcCCAIJAgoCCwI9Ag0CCAIIAggCCAIIAggCCAIIAggCCAIIAggCCAIIAggCCAIIAhcCAwJxAh4AAtwCAgJsAgQCBQIGAgcCCAIJAkICCwI9Ag0CCAIIAggCCAIIAggCCAIIAggCCAIIAggCCAIIAggCCAIIAhcCAwJtAh4AAtwCAgIjAgQCBQIGAgcCCAIJAjwCCwI9Ag0CCAIIAggCCAIIAggCCAIIAggCCAIIAggCCAIIAggCCAIIAhcCAwJqAh4AAtwCAgItAgQCBQIGAgcCCAIJAgoCCwI9Ag0CCAIIAggCCAIIAggCCAIIAggCCAIIAggCCAIIAggCCAIIAhcCAwJNAh4AAtwCAgJOAgQCBQIGAgcCCAIJAgoCCwI9Ag0CCAIIAggCCAIIAggCCAIIAggCCAIIAggCCAIIAggCCAIIAhcCAwJPAh4AAtwCAgJXAgQCBQIGAgcCCAIJAkICCwI9Ag0CCAIIAggCCAIIAggCCAIIAggCCAIIAggCCAIIAggCCAIIAhcCAwKBAh4AAtwCAgIpAgQCBQIGAgcCCAIJAkICCwI9Ag0CCAIIAggCCAJ6AAADFggCCAIIAggCCAIIAggCCAIIAggCCAIIAggCFwIDAoACHgAC3AICAh0CBAIFAgYCBwIIAgkCQgILAj0CDQIIAggCCAIIAggCCAIIAggCCAIIAggCCAIIAggCCAIIAggCFwIDAn0CHgAC3AICAkQCBAIFAgYCBwIIAgkCQgILAj0CDQIIAggCCAIIAggCCAIIAggCCAIIAggCCAIIAggCCAIIAggCFwIDAn4CHgAC3AICAk4CBAIFAgYCBwIIAgkCPAILAj0CDQIIAggCCAIIAggCCAIIAggCCAIIAggCCAIIAggCCAIIAggCFwIDAncCHgAC3AICAi0CBAIFAgYCBwIIAgkCPAILAj0CDQIIAggCCAIIAggCCAIIAggCCAIIAggCCAIIAggCCAIIAggCFwIDAnsCHgAC3AICAlkCBAIFAgYCBwIIAgkCPAILAj0CDQIIAggCCAIIAggCCAIIAggCCAIIAggCCAIIAggCCAIIAggCFwIDAlwCHgAC3AICAiMCBAIFAgYCBwIIAgkCQgILAj0CDQIIAggCCAIIAggCCAIIAggCCAIIAggCCAIIAggCCAIIAggCFwIDAlACHgAC3AICAjUCBAIFAgYCBwIIAgkCQgILAj0CDQIIAggCCAIIAggCCAIIAggCCAIIAggCCAIIAggCCAIIAggCFwIDAlQCHgAC3AICAlkCBAIFAgYCBwIIAgkCCgILAj0CDQIIAggCCAIIAggCCAIIAggCCAIIAggCCAIIAggCCAIIAggCFwIDAloCHgAC3AICAiECBAIFAgYCBwIIAgkCCgILAj0CDQIIAggCCAIIAggCCAIIAggCCAIIAggCCAIIAggCCAIIAggCFwIDAm4CHgAC3AICAlECBAIFAgYCBwIIAgkCQgILAj0CDQIIAggCCAIIAggCCAIIAggCCAIIAggCCAIIAggCCAIIAggCFwIDAlICHgAC3AICAiECBAIFAgYCBwIIAgkCPAILAj0CDQIIAggCCAIIAggCCAIIAggCCAIIAggCCAIIAggCCAIIAggCFwIDAlY=]]></xxe4awand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2BCD095027324CAE9E5703D430B589" ma:contentTypeVersion="104" ma:contentTypeDescription="" ma:contentTypeScope="" ma:versionID="9f0d0700f2f050768a889fad1b856c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170932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30391A86-FC4D-41CB-8B13-1D057E5B1511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64F0A4EE-53F9-468D-B8AD-01FFC6986E61}"/>
</file>

<file path=customXml/itemProps3.xml><?xml version="1.0" encoding="utf-8"?>
<ds:datastoreItem xmlns:ds="http://schemas.openxmlformats.org/officeDocument/2006/customXml" ds:itemID="{D5CE398A-BFEA-40CF-9534-92A3B005BCC8}"/>
</file>

<file path=customXml/itemProps4.xml><?xml version="1.0" encoding="utf-8"?>
<ds:datastoreItem xmlns:ds="http://schemas.openxmlformats.org/officeDocument/2006/customXml" ds:itemID="{4698469A-7868-4669-B4A1-2D7FEC3178F6}"/>
</file>

<file path=customXml/itemProps5.xml><?xml version="1.0" encoding="utf-8"?>
<ds:datastoreItem xmlns:ds="http://schemas.openxmlformats.org/officeDocument/2006/customXml" ds:itemID="{0CF94F7D-364C-46C2-B09D-F4744D2CB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</vt:i4>
      </vt:variant>
    </vt:vector>
  </HeadingPairs>
  <TitlesOfParts>
    <vt:vector size="45" baseType="lpstr">
      <vt:lpstr>PGA Graphs 2012-13</vt:lpstr>
      <vt:lpstr>JE</vt:lpstr>
      <vt:lpstr>191010 WA Summary</vt:lpstr>
      <vt:lpstr>191010 ID Summary</vt:lpstr>
      <vt:lpstr>191000 WA Summary</vt:lpstr>
      <vt:lpstr>191000 ID Summary</vt:lpstr>
      <vt:lpstr>Jan</vt:lpstr>
      <vt:lpstr>Feb</vt:lpstr>
      <vt:lpstr>Mar</vt:lpstr>
      <vt:lpstr>Apr</vt:lpstr>
      <vt:lpstr>WA - Def-Amtz (current)</vt:lpstr>
      <vt:lpstr>PGA Graphs 2013-14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'191000 ID Summary'!Print_Area</vt:lpstr>
      <vt:lpstr>'191000 WA Summary'!Print_Area</vt:lpstr>
      <vt:lpstr>'191010 ID Summary'!Print_Area</vt:lpstr>
      <vt:lpstr>'191010 WA Summary'!Print_Area</vt:lpstr>
      <vt:lpstr>'Amortization of JP Deferral'!Print_Area</vt:lpstr>
      <vt:lpstr>Apr!Print_Area</vt:lpstr>
      <vt:lpstr>Feb!Print_Area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Mar!Print_Area</vt:lpstr>
      <vt:lpstr>'PGA Graphs 2012-13'!Print_Area</vt:lpstr>
      <vt:lpstr>'PGA Graphs 2013-14'!Print_Area</vt:lpstr>
      <vt:lpstr>'WA - Def-Amtz (current)'!Print_Area</vt:lpstr>
      <vt:lpstr>'WA Amort 191000'!Print_Area</vt:lpstr>
      <vt:lpstr>'WA Def 191010'!Print_Area</vt:lpstr>
      <vt:lpstr>Apr!Print_Titles</vt:lpstr>
      <vt:lpstr>Feb!Print_Titles</vt:lpstr>
      <vt:lpstr>'ID Def 191010'!Print_Titles</vt:lpstr>
      <vt:lpstr>'ID Holdback 191015'!Print_Titles</vt:lpstr>
      <vt:lpstr>Jan!Print_Titles</vt:lpstr>
      <vt:lpstr>Mar!Print_Titles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annette brandon</cp:lastModifiedBy>
  <cp:lastPrinted>2018-05-03T23:18:04Z</cp:lastPrinted>
  <dcterms:created xsi:type="dcterms:W3CDTF">2003-05-01T14:02:57Z</dcterms:created>
  <dcterms:modified xsi:type="dcterms:W3CDTF">2018-05-30T21:16:05Z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0x0101006E56B4D1795A2E4DB2F0B01679ED314A00A02BCD095027324CAE9E5703D430B589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