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ProjectDocuments2021WA/Settlement/1-Final_as filed/Native Excel Files for Attachments/"/>
    </mc:Choice>
  </mc:AlternateContent>
  <xr:revisionPtr revIDLastSave="0" documentId="13_ncr:1_{56505600-D97D-4B71-B416-254CF8566723}" xr6:coauthVersionLast="36" xr6:coauthVersionMax="36" xr10:uidLastSave="{00000000-0000-0000-0000-000000000000}"/>
  <bookViews>
    <workbookView xWindow="0" yWindow="0" windowWidth="19200" windowHeight="6640" tabRatio="721" xr2:uid="{A7BAC268-028C-44E3-BC40-581395EBF459}"/>
  </bookViews>
  <sheets>
    <sheet name="Summary" sheetId="1" r:id="rId1"/>
    <sheet name="FERC Summary" sheetId="11" r:id="rId2"/>
    <sheet name="BI Strategy_Power BI" sheetId="6" r:id="rId3"/>
    <sheet name="Horizon 1 breakout" sheetId="8" state="hidden" r:id="rId4"/>
    <sheet name="Accounting Alignment" sheetId="9" state="hidden" r:id="rId5"/>
    <sheet name="Projects" sheetId="12" r:id="rId6"/>
    <sheet name="Dep Rates" sheetId="13" r:id="rId7"/>
    <sheet name="Factors" sheetId="14" r:id="rId8"/>
    <sheet name="Actuals (BI Report)" sheetId="2" state="hidden" r:id="rId9"/>
    <sheet name="INP (A) Plant Construction" sheetId="4" state="hidden" r:id="rId10"/>
  </sheets>
  <externalReferences>
    <externalReference r:id="rId11"/>
    <externalReference r:id="rId12"/>
  </externalReferences>
  <definedNames>
    <definedName name="_xlnm._FilterDatabase" localSheetId="6" hidden="1">'Dep Rates'!$A$2:$A$131</definedName>
    <definedName name="_xlnm._FilterDatabase" localSheetId="1" hidden="1">'FERC Summary'!$A$6:$F$73</definedName>
    <definedName name="_xlnm._FilterDatabase" localSheetId="5" hidden="1">Projects!$A$5:$Z$76</definedName>
    <definedName name="_xlnm.Print_Area" localSheetId="9">'INP (A) Plant Construction'!$A$1:$AK$377</definedName>
    <definedName name="_xlnm.Print_Area" localSheetId="5">Projects!$A$1:$Y$74</definedName>
    <definedName name="_xlnm.Print_Area" localSheetId="0">Summary!$FN$5:$FT$32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R26" i="1" l="1"/>
  <c r="FT23" i="1" l="1"/>
  <c r="FV23" i="1" l="1"/>
  <c r="FT22" i="1"/>
  <c r="FV22" i="1"/>
  <c r="FX17" i="1"/>
  <c r="FV17" i="1"/>
  <c r="FX16" i="1"/>
  <c r="FV16" i="1"/>
  <c r="FX15" i="1"/>
  <c r="FV15" i="1"/>
  <c r="FX14" i="1"/>
  <c r="FV14" i="1"/>
  <c r="FX13" i="1"/>
  <c r="FV13" i="1"/>
  <c r="FX12" i="1"/>
  <c r="FV12" i="1"/>
  <c r="FX11" i="1"/>
  <c r="FV11" i="1"/>
  <c r="FX23" i="1" l="1"/>
  <c r="FX22" i="1"/>
  <c r="C8" i="6"/>
  <c r="D8" i="6"/>
  <c r="M7" i="12"/>
  <c r="C11" i="6" l="1"/>
  <c r="C15" i="6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C16" i="6" l="1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A26" i="14"/>
  <c r="A27" i="14" s="1"/>
  <c r="C3" i="14" l="1"/>
  <c r="A4" i="14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O7" i="12"/>
  <c r="Q7" i="12"/>
  <c r="X7" i="12"/>
  <c r="H7" i="12" s="1"/>
  <c r="M8" i="12"/>
  <c r="O8" i="12" s="1"/>
  <c r="Q8" i="12"/>
  <c r="X8" i="12"/>
  <c r="H8" i="12" s="1"/>
  <c r="G9" i="12"/>
  <c r="G10" i="12" s="1"/>
  <c r="O9" i="12"/>
  <c r="X9" i="12"/>
  <c r="O10" i="12"/>
  <c r="X10" i="12"/>
  <c r="M11" i="12"/>
  <c r="O11" i="12" s="1"/>
  <c r="Q11" i="12"/>
  <c r="X11" i="12"/>
  <c r="H11" i="12" s="1"/>
  <c r="G12" i="12"/>
  <c r="G13" i="12" s="1"/>
  <c r="G14" i="12" s="1"/>
  <c r="X12" i="12"/>
  <c r="H12" i="12" s="1"/>
  <c r="X13" i="12"/>
  <c r="X14" i="12"/>
  <c r="H14" i="12" s="1"/>
  <c r="H15" i="12"/>
  <c r="M15" i="12"/>
  <c r="O15" i="12" s="1"/>
  <c r="Q15" i="12"/>
  <c r="X15" i="12"/>
  <c r="G16" i="12"/>
  <c r="G17" i="12" s="1"/>
  <c r="G18" i="12" s="1"/>
  <c r="X16" i="12"/>
  <c r="X17" i="12"/>
  <c r="H17" i="12" s="1"/>
  <c r="X18" i="12"/>
  <c r="H18" i="12" s="1"/>
  <c r="M19" i="12"/>
  <c r="O19" i="12" s="1"/>
  <c r="Q19" i="12"/>
  <c r="X19" i="12"/>
  <c r="H19" i="12" s="1"/>
  <c r="G20" i="12"/>
  <c r="G21" i="12" s="1"/>
  <c r="G22" i="12" s="1"/>
  <c r="O20" i="12"/>
  <c r="X20" i="12"/>
  <c r="O21" i="12"/>
  <c r="X21" i="12"/>
  <c r="O22" i="12"/>
  <c r="X22" i="12"/>
  <c r="M23" i="12"/>
  <c r="O23" i="12" s="1"/>
  <c r="Q23" i="12"/>
  <c r="X23" i="12"/>
  <c r="H23" i="12" s="1"/>
  <c r="M24" i="12"/>
  <c r="O24" i="12" s="1"/>
  <c r="Q24" i="12"/>
  <c r="X24" i="12"/>
  <c r="H24" i="12" s="1"/>
  <c r="M25" i="12"/>
  <c r="O25" i="12" s="1"/>
  <c r="Q25" i="12"/>
  <c r="X25" i="12"/>
  <c r="H25" i="12" s="1"/>
  <c r="M26" i="12"/>
  <c r="O26" i="12" s="1"/>
  <c r="Q26" i="12"/>
  <c r="X26" i="12"/>
  <c r="H26" i="12" s="1"/>
  <c r="M27" i="12"/>
  <c r="O27" i="12" s="1"/>
  <c r="Q27" i="12"/>
  <c r="X27" i="12"/>
  <c r="H27" i="12" s="1"/>
  <c r="G28" i="12"/>
  <c r="O28" i="12"/>
  <c r="X28" i="12"/>
  <c r="M29" i="12"/>
  <c r="O29" i="12" s="1"/>
  <c r="Q29" i="12"/>
  <c r="X29" i="12"/>
  <c r="H29" i="12" s="1"/>
  <c r="M30" i="12"/>
  <c r="O30" i="12" s="1"/>
  <c r="Q30" i="12"/>
  <c r="X30" i="12"/>
  <c r="H30" i="12" s="1"/>
  <c r="M31" i="12"/>
  <c r="O31" i="12" s="1"/>
  <c r="X31" i="12"/>
  <c r="H31" i="12" s="1"/>
  <c r="M32" i="12"/>
  <c r="O32" i="12" s="1"/>
  <c r="Q32" i="12"/>
  <c r="X32" i="12"/>
  <c r="H32" i="12" s="1"/>
  <c r="M33" i="12"/>
  <c r="O33" i="12" s="1"/>
  <c r="Q33" i="12"/>
  <c r="X33" i="12"/>
  <c r="H33" i="12" s="1"/>
  <c r="M34" i="12"/>
  <c r="O34" i="12" s="1"/>
  <c r="Q34" i="12"/>
  <c r="X34" i="12"/>
  <c r="H34" i="12" s="1"/>
  <c r="M35" i="12"/>
  <c r="O35" i="12" s="1"/>
  <c r="Q35" i="12"/>
  <c r="X35" i="12"/>
  <c r="H35" i="12" s="1"/>
  <c r="G36" i="12"/>
  <c r="G37" i="12" s="1"/>
  <c r="G38" i="12" s="1"/>
  <c r="O36" i="12"/>
  <c r="X36" i="12"/>
  <c r="O37" i="12"/>
  <c r="X37" i="12"/>
  <c r="H37" i="12" s="1"/>
  <c r="O38" i="12"/>
  <c r="X38" i="12"/>
  <c r="H38" i="12" s="1"/>
  <c r="M39" i="12"/>
  <c r="O39" i="12" s="1"/>
  <c r="Q39" i="12"/>
  <c r="X39" i="12"/>
  <c r="H39" i="12" s="1"/>
  <c r="M40" i="12"/>
  <c r="O40" i="12" s="1"/>
  <c r="Q40" i="12"/>
  <c r="X40" i="12"/>
  <c r="M41" i="12"/>
  <c r="O41" i="12" s="1"/>
  <c r="Q41" i="12"/>
  <c r="X41" i="12"/>
  <c r="H41" i="12" s="1"/>
  <c r="M42" i="12"/>
  <c r="O42" i="12" s="1"/>
  <c r="Q42" i="12"/>
  <c r="X42" i="12"/>
  <c r="M43" i="12"/>
  <c r="O43" i="12" s="1"/>
  <c r="Q43" i="12"/>
  <c r="X43" i="12"/>
  <c r="H43" i="12" s="1"/>
  <c r="M47" i="12"/>
  <c r="O47" i="12" s="1"/>
  <c r="Q47" i="12"/>
  <c r="X47" i="12"/>
  <c r="H47" i="12" s="1"/>
  <c r="M48" i="12"/>
  <c r="O48" i="12" s="1"/>
  <c r="X48" i="12"/>
  <c r="H48" i="12" s="1"/>
  <c r="H49" i="12"/>
  <c r="M49" i="12"/>
  <c r="O49" i="12" s="1"/>
  <c r="X49" i="12"/>
  <c r="M50" i="12"/>
  <c r="O50" i="12" s="1"/>
  <c r="X50" i="12"/>
  <c r="H50" i="12" s="1"/>
  <c r="H51" i="12"/>
  <c r="M51" i="12"/>
  <c r="O51" i="12" s="1"/>
  <c r="Q51" i="12"/>
  <c r="X51" i="12"/>
  <c r="M52" i="12"/>
  <c r="O52" i="12" s="1"/>
  <c r="X52" i="12"/>
  <c r="H52" i="12" s="1"/>
  <c r="M53" i="12"/>
  <c r="O53" i="12" s="1"/>
  <c r="X53" i="12"/>
  <c r="H53" i="12" s="1"/>
  <c r="M54" i="12"/>
  <c r="O54" i="12" s="1"/>
  <c r="X54" i="12"/>
  <c r="H54" i="12" s="1"/>
  <c r="M55" i="12"/>
  <c r="O55" i="12" s="1"/>
  <c r="Q55" i="12"/>
  <c r="X55" i="12"/>
  <c r="H55" i="12" s="1"/>
  <c r="M56" i="12"/>
  <c r="O56" i="12" s="1"/>
  <c r="Q56" i="12"/>
  <c r="X56" i="12"/>
  <c r="H56" i="12" s="1"/>
  <c r="G57" i="12"/>
  <c r="G58" i="12" s="1"/>
  <c r="O57" i="12"/>
  <c r="X57" i="12"/>
  <c r="H57" i="12" s="1"/>
  <c r="O58" i="12"/>
  <c r="X58" i="12"/>
  <c r="H58" i="12" s="1"/>
  <c r="M59" i="12"/>
  <c r="O59" i="12" s="1"/>
  <c r="Q59" i="12"/>
  <c r="X59" i="12"/>
  <c r="H59" i="12" s="1"/>
  <c r="G60" i="12"/>
  <c r="G61" i="12" s="1"/>
  <c r="O60" i="12"/>
  <c r="X60" i="12"/>
  <c r="H60" i="12" s="1"/>
  <c r="O61" i="12"/>
  <c r="X61" i="12"/>
  <c r="H61" i="12" s="1"/>
  <c r="M62" i="12"/>
  <c r="O62" i="12" s="1"/>
  <c r="Q62" i="12"/>
  <c r="X62" i="12"/>
  <c r="H62" i="12" s="1"/>
  <c r="G63" i="12"/>
  <c r="G64" i="12" s="1"/>
  <c r="G65" i="12" s="1"/>
  <c r="O63" i="12"/>
  <c r="X63" i="12"/>
  <c r="H63" i="12" s="1"/>
  <c r="O64" i="12"/>
  <c r="X64" i="12"/>
  <c r="O65" i="12"/>
  <c r="X65" i="12"/>
  <c r="H65" i="12" s="1"/>
  <c r="M66" i="12"/>
  <c r="O66" i="12" s="1"/>
  <c r="Q66" i="12"/>
  <c r="X66" i="12"/>
  <c r="H66" i="12" s="1"/>
  <c r="G67" i="12"/>
  <c r="G68" i="12" s="1"/>
  <c r="G69" i="12" s="1"/>
  <c r="H67" i="12"/>
  <c r="O67" i="12"/>
  <c r="X67" i="12"/>
  <c r="O68" i="12"/>
  <c r="X68" i="12"/>
  <c r="O69" i="12"/>
  <c r="X69" i="12"/>
  <c r="H69" i="12" s="1"/>
  <c r="M70" i="12"/>
  <c r="O70" i="12"/>
  <c r="Q70" i="12"/>
  <c r="X70" i="12"/>
  <c r="H70" i="12" s="1"/>
  <c r="M71" i="12"/>
  <c r="O71" i="12" s="1"/>
  <c r="Q71" i="12"/>
  <c r="X71" i="12"/>
  <c r="H71" i="12" s="1"/>
  <c r="B7" i="11"/>
  <c r="D7" i="11"/>
  <c r="B8" i="11"/>
  <c r="D8" i="11"/>
  <c r="B9" i="11"/>
  <c r="B10" i="11"/>
  <c r="B11" i="11"/>
  <c r="D11" i="11"/>
  <c r="B12" i="11"/>
  <c r="B13" i="11"/>
  <c r="B14" i="11"/>
  <c r="B15" i="11"/>
  <c r="D15" i="11"/>
  <c r="B16" i="11"/>
  <c r="B17" i="11"/>
  <c r="B18" i="11"/>
  <c r="B19" i="11"/>
  <c r="D19" i="11"/>
  <c r="B20" i="11"/>
  <c r="B21" i="11"/>
  <c r="B22" i="11"/>
  <c r="B23" i="11"/>
  <c r="D23" i="11"/>
  <c r="B24" i="11"/>
  <c r="D24" i="11"/>
  <c r="B25" i="11"/>
  <c r="D25" i="11"/>
  <c r="B26" i="11"/>
  <c r="D26" i="11"/>
  <c r="B27" i="11"/>
  <c r="D27" i="11"/>
  <c r="B28" i="11"/>
  <c r="B29" i="11"/>
  <c r="D29" i="11"/>
  <c r="B30" i="11"/>
  <c r="D30" i="11"/>
  <c r="B31" i="11"/>
  <c r="D31" i="11"/>
  <c r="B32" i="11"/>
  <c r="D32" i="11"/>
  <c r="B33" i="11"/>
  <c r="D33" i="11"/>
  <c r="B34" i="11"/>
  <c r="D34" i="11"/>
  <c r="B35" i="11"/>
  <c r="D35" i="11"/>
  <c r="B36" i="11"/>
  <c r="B37" i="11"/>
  <c r="B38" i="11"/>
  <c r="B39" i="11"/>
  <c r="D39" i="11"/>
  <c r="B40" i="11"/>
  <c r="D40" i="11"/>
  <c r="B41" i="11"/>
  <c r="D41" i="11"/>
  <c r="B42" i="11"/>
  <c r="D42" i="11"/>
  <c r="B43" i="11"/>
  <c r="D43" i="11"/>
  <c r="B46" i="11"/>
  <c r="D46" i="11"/>
  <c r="B47" i="11"/>
  <c r="D47" i="11"/>
  <c r="B48" i="11"/>
  <c r="D48" i="11"/>
  <c r="B49" i="11"/>
  <c r="D49" i="11"/>
  <c r="B50" i="11"/>
  <c r="D50" i="11"/>
  <c r="B51" i="11"/>
  <c r="D51" i="11"/>
  <c r="B52" i="11"/>
  <c r="D52" i="11"/>
  <c r="B53" i="11"/>
  <c r="D53" i="11"/>
  <c r="B54" i="11"/>
  <c r="D54" i="11"/>
  <c r="B55" i="11"/>
  <c r="D55" i="11"/>
  <c r="B56" i="11"/>
  <c r="B57" i="11"/>
  <c r="B58" i="11"/>
  <c r="D58" i="11"/>
  <c r="B59" i="11"/>
  <c r="B60" i="11"/>
  <c r="B61" i="11"/>
  <c r="D61" i="11"/>
  <c r="B62" i="11"/>
  <c r="B63" i="11"/>
  <c r="B64" i="11"/>
  <c r="B65" i="11"/>
  <c r="D65" i="11"/>
  <c r="B66" i="11"/>
  <c r="B67" i="11"/>
  <c r="B68" i="11"/>
  <c r="B69" i="11"/>
  <c r="D69" i="11"/>
  <c r="B70" i="11"/>
  <c r="D70" i="11"/>
  <c r="E80" i="11"/>
  <c r="F80" i="11"/>
  <c r="E89" i="11"/>
  <c r="F89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M74" i="12" l="1"/>
  <c r="R62" i="12"/>
  <c r="V65" i="12" s="1"/>
  <c r="R15" i="12"/>
  <c r="V18" i="12" s="1"/>
  <c r="Y18" i="12" s="1"/>
  <c r="F18" i="11" s="1"/>
  <c r="R66" i="12"/>
  <c r="V68" i="12" s="1"/>
  <c r="R70" i="12"/>
  <c r="V70" i="12" s="1"/>
  <c r="W70" i="12" s="1"/>
  <c r="E69" i="11" s="1"/>
  <c r="F98" i="11" s="1"/>
  <c r="R56" i="12"/>
  <c r="V57" i="12" s="1"/>
  <c r="R43" i="12"/>
  <c r="V43" i="12" s="1"/>
  <c r="F101" i="11"/>
  <c r="F97" i="11"/>
  <c r="F100" i="11"/>
  <c r="F110" i="11"/>
  <c r="F102" i="11"/>
  <c r="R51" i="12"/>
  <c r="V51" i="12" s="1"/>
  <c r="R26" i="12"/>
  <c r="V26" i="12" s="1"/>
  <c r="R27" i="12"/>
  <c r="V28" i="12" s="1"/>
  <c r="R19" i="12"/>
  <c r="V19" i="12" s="1"/>
  <c r="R59" i="12"/>
  <c r="V60" i="12" s="1"/>
  <c r="R39" i="12"/>
  <c r="V39" i="12" s="1"/>
  <c r="Y39" i="12" s="1"/>
  <c r="F39" i="11" s="1"/>
  <c r="F81" i="11" s="1"/>
  <c r="R71" i="12"/>
  <c r="V71" i="12" s="1"/>
  <c r="R35" i="12"/>
  <c r="V35" i="12" s="1"/>
  <c r="R24" i="12"/>
  <c r="V24" i="12" s="1"/>
  <c r="R55" i="12"/>
  <c r="V55" i="12" s="1"/>
  <c r="R40" i="12"/>
  <c r="V40" i="12" s="1"/>
  <c r="R32" i="12"/>
  <c r="V32" i="12" s="1"/>
  <c r="R29" i="12"/>
  <c r="V29" i="12" s="1"/>
  <c r="R7" i="12"/>
  <c r="R42" i="12"/>
  <c r="V42" i="12" s="1"/>
  <c r="R34" i="12"/>
  <c r="V34" i="12" s="1"/>
  <c r="R23" i="12"/>
  <c r="V23" i="12" s="1"/>
  <c r="R25" i="12"/>
  <c r="V25" i="12" s="1"/>
  <c r="R11" i="12"/>
  <c r="V12" i="12" s="1"/>
  <c r="R41" i="12"/>
  <c r="V41" i="12" s="1"/>
  <c r="R33" i="12"/>
  <c r="V33" i="12" s="1"/>
  <c r="R30" i="12"/>
  <c r="V30" i="12" s="1"/>
  <c r="R8" i="12"/>
  <c r="H42" i="12"/>
  <c r="H40" i="12"/>
  <c r="O74" i="12"/>
  <c r="R47" i="12"/>
  <c r="M46" i="12"/>
  <c r="M76" i="12" s="1"/>
  <c r="Y68" i="12"/>
  <c r="F67" i="11" s="1"/>
  <c r="H68" i="12"/>
  <c r="W68" i="12" s="1"/>
  <c r="E67" i="11" s="1"/>
  <c r="V69" i="12"/>
  <c r="V66" i="12"/>
  <c r="V67" i="12"/>
  <c r="W18" i="12"/>
  <c r="E18" i="11" s="1"/>
  <c r="H64" i="12"/>
  <c r="H28" i="12"/>
  <c r="Q54" i="12"/>
  <c r="R54" i="12" s="1"/>
  <c r="V54" i="12" s="1"/>
  <c r="Q50" i="12"/>
  <c r="R50" i="12" s="1"/>
  <c r="V50" i="12" s="1"/>
  <c r="V17" i="12"/>
  <c r="H16" i="12"/>
  <c r="H13" i="12"/>
  <c r="H36" i="12"/>
  <c r="Q31" i="12"/>
  <c r="R31" i="12" s="1"/>
  <c r="V31" i="12" s="1"/>
  <c r="H22" i="12"/>
  <c r="H21" i="12"/>
  <c r="H20" i="12"/>
  <c r="H10" i="12"/>
  <c r="H9" i="12"/>
  <c r="Q53" i="12"/>
  <c r="R53" i="12" s="1"/>
  <c r="V53" i="12" s="1"/>
  <c r="Q49" i="12"/>
  <c r="R49" i="12" s="1"/>
  <c r="V49" i="12" s="1"/>
  <c r="Q52" i="12"/>
  <c r="R52" i="12" s="1"/>
  <c r="V52" i="12" s="1"/>
  <c r="Q48" i="12"/>
  <c r="R48" i="12" s="1"/>
  <c r="V48" i="12" s="1"/>
  <c r="V58" i="12" l="1"/>
  <c r="V15" i="12"/>
  <c r="V63" i="12"/>
  <c r="V62" i="12"/>
  <c r="W62" i="12" s="1"/>
  <c r="E61" i="11" s="1"/>
  <c r="V16" i="12"/>
  <c r="V64" i="12"/>
  <c r="W64" i="12" s="1"/>
  <c r="E63" i="11" s="1"/>
  <c r="F107" i="11" s="1"/>
  <c r="V13" i="12"/>
  <c r="Y13" i="12" s="1"/>
  <c r="F13" i="11" s="1"/>
  <c r="V56" i="12"/>
  <c r="Y56" i="12" s="1"/>
  <c r="F55" i="11" s="1"/>
  <c r="V21" i="12"/>
  <c r="Y21" i="12" s="1"/>
  <c r="F21" i="11" s="1"/>
  <c r="Y70" i="12"/>
  <c r="F69" i="11" s="1"/>
  <c r="V61" i="12"/>
  <c r="Y61" i="12" s="1"/>
  <c r="F60" i="11" s="1"/>
  <c r="Y30" i="12"/>
  <c r="F30" i="11" s="1"/>
  <c r="W33" i="12"/>
  <c r="E33" i="11" s="1"/>
  <c r="E110" i="11" s="1"/>
  <c r="Y71" i="12"/>
  <c r="F70" i="11" s="1"/>
  <c r="W41" i="12"/>
  <c r="E41" i="11" s="1"/>
  <c r="W39" i="12"/>
  <c r="E39" i="11" s="1"/>
  <c r="E81" i="11" s="1"/>
  <c r="W35" i="12"/>
  <c r="W29" i="12"/>
  <c r="E29" i="11" s="1"/>
  <c r="W25" i="12"/>
  <c r="E25" i="11" s="1"/>
  <c r="Y32" i="12"/>
  <c r="F32" i="11" s="1"/>
  <c r="Y19" i="12"/>
  <c r="F19" i="11" s="1"/>
  <c r="Y16" i="12"/>
  <c r="F16" i="11" s="1"/>
  <c r="Y40" i="12"/>
  <c r="F40" i="11" s="1"/>
  <c r="Y28" i="12"/>
  <c r="F28" i="11" s="1"/>
  <c r="Y42" i="12"/>
  <c r="F42" i="11" s="1"/>
  <c r="Y23" i="12"/>
  <c r="F23" i="11" s="1"/>
  <c r="W26" i="12"/>
  <c r="E26" i="11" s="1"/>
  <c r="E102" i="11" s="1"/>
  <c r="V8" i="12"/>
  <c r="W34" i="12"/>
  <c r="E34" i="11" s="1"/>
  <c r="Y24" i="12"/>
  <c r="F24" i="11" s="1"/>
  <c r="Y51" i="12"/>
  <c r="F50" i="11" s="1"/>
  <c r="Y43" i="12"/>
  <c r="F43" i="11" s="1"/>
  <c r="V7" i="12"/>
  <c r="V10" i="12"/>
  <c r="V9" i="12"/>
  <c r="W9" i="12" s="1"/>
  <c r="E9" i="11" s="1"/>
  <c r="V59" i="12"/>
  <c r="Y59" i="12" s="1"/>
  <c r="F58" i="11" s="1"/>
  <c r="V22" i="12"/>
  <c r="V20" i="12"/>
  <c r="W51" i="12"/>
  <c r="E50" i="11" s="1"/>
  <c r="V37" i="12"/>
  <c r="V27" i="12"/>
  <c r="Y26" i="12"/>
  <c r="F26" i="11" s="1"/>
  <c r="W24" i="12"/>
  <c r="E24" i="11" s="1"/>
  <c r="E99" i="11" s="1"/>
  <c r="W42" i="12"/>
  <c r="E42" i="11" s="1"/>
  <c r="W71" i="12"/>
  <c r="E70" i="11" s="1"/>
  <c r="F99" i="11" s="1"/>
  <c r="Y41" i="12"/>
  <c r="F41" i="11" s="1"/>
  <c r="Y34" i="12"/>
  <c r="F34" i="11" s="1"/>
  <c r="V38" i="12"/>
  <c r="Y33" i="12"/>
  <c r="F33" i="11" s="1"/>
  <c r="V36" i="12"/>
  <c r="V11" i="12"/>
  <c r="V14" i="12"/>
  <c r="Y35" i="12"/>
  <c r="F35" i="11" s="1"/>
  <c r="W40" i="12"/>
  <c r="E40" i="11" s="1"/>
  <c r="W16" i="12"/>
  <c r="E16" i="11" s="1"/>
  <c r="W23" i="12"/>
  <c r="E23" i="11" s="1"/>
  <c r="Y55" i="12"/>
  <c r="F54" i="11" s="1"/>
  <c r="W55" i="12"/>
  <c r="E54" i="11" s="1"/>
  <c r="F109" i="11" s="1"/>
  <c r="Y29" i="12"/>
  <c r="F29" i="11" s="1"/>
  <c r="W30" i="12"/>
  <c r="E30" i="11" s="1"/>
  <c r="W32" i="12"/>
  <c r="E32" i="11" s="1"/>
  <c r="Y25" i="12"/>
  <c r="F25" i="11" s="1"/>
  <c r="Y49" i="12"/>
  <c r="F48" i="11" s="1"/>
  <c r="W49" i="12"/>
  <c r="E48" i="11" s="1"/>
  <c r="Y53" i="12"/>
  <c r="F52" i="11" s="1"/>
  <c r="W53" i="12"/>
  <c r="E52" i="11" s="1"/>
  <c r="Y65" i="12"/>
  <c r="F64" i="11" s="1"/>
  <c r="W65" i="12"/>
  <c r="E64" i="11" s="1"/>
  <c r="W28" i="12"/>
  <c r="E28" i="11" s="1"/>
  <c r="V47" i="12"/>
  <c r="R74" i="12"/>
  <c r="W31" i="12"/>
  <c r="E31" i="11" s="1"/>
  <c r="Y31" i="12"/>
  <c r="F31" i="11" s="1"/>
  <c r="Y15" i="12"/>
  <c r="F15" i="11" s="1"/>
  <c r="W15" i="12"/>
  <c r="E15" i="11" s="1"/>
  <c r="W50" i="12"/>
  <c r="E49" i="11" s="1"/>
  <c r="Y50" i="12"/>
  <c r="F49" i="11" s="1"/>
  <c r="W67" i="12"/>
  <c r="E66" i="11" s="1"/>
  <c r="Y67" i="12"/>
  <c r="F66" i="11" s="1"/>
  <c r="Y12" i="12"/>
  <c r="F12" i="11" s="1"/>
  <c r="W12" i="12"/>
  <c r="E12" i="11" s="1"/>
  <c r="W57" i="12"/>
  <c r="E56" i="11" s="1"/>
  <c r="Y57" i="12"/>
  <c r="F56" i="11" s="1"/>
  <c r="W17" i="12"/>
  <c r="E17" i="11" s="1"/>
  <c r="Y17" i="12"/>
  <c r="F17" i="11" s="1"/>
  <c r="O46" i="12"/>
  <c r="O76" i="12" s="1"/>
  <c r="W19" i="12"/>
  <c r="E19" i="11" s="1"/>
  <c r="W48" i="12"/>
  <c r="E47" i="11" s="1"/>
  <c r="Y48" i="12"/>
  <c r="F47" i="11" s="1"/>
  <c r="W54" i="12"/>
  <c r="E53" i="11" s="1"/>
  <c r="Y54" i="12"/>
  <c r="F53" i="11" s="1"/>
  <c r="E35" i="11"/>
  <c r="E104" i="11" s="1"/>
  <c r="W61" i="12"/>
  <c r="E60" i="11" s="1"/>
  <c r="Y66" i="12"/>
  <c r="F65" i="11" s="1"/>
  <c r="W13" i="12"/>
  <c r="E13" i="11" s="1"/>
  <c r="W56" i="12"/>
  <c r="E55" i="11" s="1"/>
  <c r="W66" i="12"/>
  <c r="E65" i="11" s="1"/>
  <c r="W58" i="12"/>
  <c r="E57" i="11" s="1"/>
  <c r="Y58" i="12"/>
  <c r="F57" i="11" s="1"/>
  <c r="W52" i="12"/>
  <c r="E51" i="11" s="1"/>
  <c r="Y52" i="12"/>
  <c r="F51" i="11" s="1"/>
  <c r="W37" i="12"/>
  <c r="E37" i="11" s="1"/>
  <c r="E107" i="11" s="1"/>
  <c r="W60" i="12"/>
  <c r="E59" i="11" s="1"/>
  <c r="Y60" i="12"/>
  <c r="F59" i="11" s="1"/>
  <c r="Y10" i="12"/>
  <c r="F10" i="11" s="1"/>
  <c r="Y69" i="12"/>
  <c r="F68" i="11" s="1"/>
  <c r="Y63" i="12"/>
  <c r="F62" i="11" s="1"/>
  <c r="W63" i="12"/>
  <c r="E62" i="11" s="1"/>
  <c r="W69" i="12"/>
  <c r="E68" i="11" s="1"/>
  <c r="W59" i="12"/>
  <c r="E58" i="11" s="1"/>
  <c r="Y62" i="12" l="1"/>
  <c r="F61" i="11" s="1"/>
  <c r="W21" i="12"/>
  <c r="E21" i="11" s="1"/>
  <c r="Y64" i="12"/>
  <c r="F63" i="11" s="1"/>
  <c r="E108" i="11"/>
  <c r="F91" i="11"/>
  <c r="W36" i="12"/>
  <c r="E36" i="11" s="1"/>
  <c r="E78" i="11" s="1"/>
  <c r="Y11" i="12"/>
  <c r="F11" i="11" s="1"/>
  <c r="W11" i="12"/>
  <c r="E11" i="11" s="1"/>
  <c r="Y22" i="12"/>
  <c r="F22" i="11" s="1"/>
  <c r="Y7" i="12"/>
  <c r="F7" i="11" s="1"/>
  <c r="W7" i="12"/>
  <c r="E7" i="11" s="1"/>
  <c r="E100" i="11" s="1"/>
  <c r="Y36" i="12"/>
  <c r="F36" i="11" s="1"/>
  <c r="W8" i="12"/>
  <c r="E8" i="11" s="1"/>
  <c r="Y38" i="12"/>
  <c r="F38" i="11" s="1"/>
  <c r="F79" i="11" s="1"/>
  <c r="Y9" i="12"/>
  <c r="F9" i="11" s="1"/>
  <c r="W14" i="12"/>
  <c r="E14" i="11" s="1"/>
  <c r="Y8" i="12"/>
  <c r="F8" i="11" s="1"/>
  <c r="F77" i="11" s="1"/>
  <c r="W20" i="12"/>
  <c r="E20" i="11" s="1"/>
  <c r="E98" i="11" s="1"/>
  <c r="Y27" i="12"/>
  <c r="F27" i="11" s="1"/>
  <c r="F76" i="11" s="1"/>
  <c r="W10" i="12"/>
  <c r="E10" i="11" s="1"/>
  <c r="Y37" i="12"/>
  <c r="F37" i="11" s="1"/>
  <c r="Y20" i="12"/>
  <c r="F20" i="11" s="1"/>
  <c r="E91" i="11"/>
  <c r="Y14" i="12"/>
  <c r="F14" i="11" s="1"/>
  <c r="W22" i="12"/>
  <c r="E22" i="11" s="1"/>
  <c r="W38" i="12"/>
  <c r="E38" i="11" s="1"/>
  <c r="E111" i="11" s="1"/>
  <c r="W27" i="12"/>
  <c r="E27" i="11" s="1"/>
  <c r="E96" i="11"/>
  <c r="F96" i="11"/>
  <c r="F104" i="11"/>
  <c r="F87" i="11"/>
  <c r="E86" i="11"/>
  <c r="F103" i="11"/>
  <c r="E87" i="11"/>
  <c r="F105" i="11"/>
  <c r="E109" i="11"/>
  <c r="F106" i="11"/>
  <c r="F111" i="11"/>
  <c r="E88" i="11"/>
  <c r="F88" i="11"/>
  <c r="F95" i="11"/>
  <c r="E85" i="11"/>
  <c r="F85" i="11"/>
  <c r="E105" i="11"/>
  <c r="V74" i="12"/>
  <c r="Y47" i="12"/>
  <c r="W47" i="12"/>
  <c r="W74" i="12" s="1"/>
  <c r="R46" i="12"/>
  <c r="R76" i="12" s="1"/>
  <c r="F86" i="11"/>
  <c r="E106" i="11" l="1"/>
  <c r="E103" i="11"/>
  <c r="E77" i="11"/>
  <c r="E101" i="11"/>
  <c r="F78" i="11"/>
  <c r="F82" i="11"/>
  <c r="E82" i="11"/>
  <c r="F44" i="11"/>
  <c r="E97" i="11"/>
  <c r="E79" i="11"/>
  <c r="E46" i="11"/>
  <c r="Y74" i="12"/>
  <c r="F46" i="11"/>
  <c r="V46" i="12"/>
  <c r="Y46" i="12"/>
  <c r="F83" i="11" l="1"/>
  <c r="V76" i="12"/>
  <c r="F90" i="11"/>
  <c r="F92" i="11" s="1"/>
  <c r="F71" i="11"/>
  <c r="F73" i="11" s="1"/>
  <c r="Y76" i="12"/>
  <c r="E71" i="11"/>
  <c r="F108" i="11"/>
  <c r="F112" i="11" s="1"/>
  <c r="E90" i="11"/>
  <c r="E92" i="11" s="1"/>
  <c r="EM23" i="1" l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F26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DL10" i="1"/>
  <c r="FF10" i="1" s="1"/>
  <c r="DL16" i="1"/>
  <c r="FF16" i="1" s="1"/>
  <c r="DL18" i="1"/>
  <c r="FF18" i="1" s="1"/>
  <c r="DL26" i="1"/>
  <c r="DH10" i="1"/>
  <c r="FB10" i="1" s="1"/>
  <c r="DH16" i="1"/>
  <c r="FB16" i="1" s="1"/>
  <c r="DH18" i="1"/>
  <c r="FB18" i="1" s="1"/>
  <c r="DH26" i="1"/>
  <c r="FB26" i="1" s="1"/>
  <c r="DE10" i="1"/>
  <c r="EY10" i="1" s="1"/>
  <c r="DE16" i="1"/>
  <c r="EY16" i="1" s="1"/>
  <c r="DE18" i="1"/>
  <c r="EY18" i="1" s="1"/>
  <c r="DE26" i="1"/>
  <c r="EY26" i="1" s="1"/>
  <c r="BS10" i="1"/>
  <c r="BS16" i="1"/>
  <c r="BS18" i="1"/>
  <c r="BS26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5" i="1"/>
  <c r="AV26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7" i="1"/>
  <c r="E14" i="6" l="1"/>
  <c r="D14" i="6"/>
  <c r="D15" i="6" s="1"/>
  <c r="F14" i="6" l="1"/>
  <c r="E15" i="6"/>
  <c r="FI29" i="1"/>
  <c r="G14" i="6" l="1"/>
  <c r="F15" i="6"/>
  <c r="DP44" i="1"/>
  <c r="DP38" i="1"/>
  <c r="H14" i="6" l="1"/>
  <c r="G15" i="6"/>
  <c r="EL23" i="1"/>
  <c r="EL24" i="1"/>
  <c r="EL27" i="1"/>
  <c r="EL28" i="1"/>
  <c r="DP37" i="1"/>
  <c r="DP39" i="1"/>
  <c r="DP40" i="1"/>
  <c r="DP41" i="1"/>
  <c r="DP42" i="1"/>
  <c r="DP43" i="1"/>
  <c r="DP45" i="1"/>
  <c r="DP46" i="1"/>
  <c r="DP47" i="1"/>
  <c r="DP7" i="1"/>
  <c r="DP8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5" i="1"/>
  <c r="DP26" i="1"/>
  <c r="CS10" i="1"/>
  <c r="EM10" i="1" s="1"/>
  <c r="CT10" i="1"/>
  <c r="EN10" i="1" s="1"/>
  <c r="CU10" i="1"/>
  <c r="EO10" i="1" s="1"/>
  <c r="CV10" i="1"/>
  <c r="EP10" i="1" s="1"/>
  <c r="CW10" i="1"/>
  <c r="EQ10" i="1" s="1"/>
  <c r="CX10" i="1"/>
  <c r="ER10" i="1" s="1"/>
  <c r="CY10" i="1"/>
  <c r="ES10" i="1" s="1"/>
  <c r="CZ10" i="1"/>
  <c r="ET10" i="1" s="1"/>
  <c r="DA10" i="1"/>
  <c r="EU10" i="1" s="1"/>
  <c r="DB10" i="1"/>
  <c r="EV10" i="1" s="1"/>
  <c r="DC10" i="1"/>
  <c r="EW10" i="1" s="1"/>
  <c r="DD10" i="1"/>
  <c r="EX10" i="1" s="1"/>
  <c r="DF10" i="1"/>
  <c r="EZ10" i="1" s="1"/>
  <c r="DG10" i="1"/>
  <c r="FA10" i="1" s="1"/>
  <c r="DI10" i="1"/>
  <c r="FC10" i="1" s="1"/>
  <c r="DJ10" i="1"/>
  <c r="FD10" i="1" s="1"/>
  <c r="DK10" i="1"/>
  <c r="FE10" i="1" s="1"/>
  <c r="CS16" i="1"/>
  <c r="EM16" i="1" s="1"/>
  <c r="CT16" i="1"/>
  <c r="EN16" i="1" s="1"/>
  <c r="CU16" i="1"/>
  <c r="EO16" i="1" s="1"/>
  <c r="CV16" i="1"/>
  <c r="EP16" i="1" s="1"/>
  <c r="CW16" i="1"/>
  <c r="EQ16" i="1" s="1"/>
  <c r="CX16" i="1"/>
  <c r="ER16" i="1" s="1"/>
  <c r="CY16" i="1"/>
  <c r="ES16" i="1" s="1"/>
  <c r="CZ16" i="1"/>
  <c r="ET16" i="1" s="1"/>
  <c r="DA16" i="1"/>
  <c r="EU16" i="1" s="1"/>
  <c r="DB16" i="1"/>
  <c r="EV16" i="1" s="1"/>
  <c r="DC16" i="1"/>
  <c r="EW16" i="1" s="1"/>
  <c r="DD16" i="1"/>
  <c r="EX16" i="1" s="1"/>
  <c r="DF16" i="1"/>
  <c r="EZ16" i="1" s="1"/>
  <c r="DG16" i="1"/>
  <c r="FA16" i="1" s="1"/>
  <c r="DI16" i="1"/>
  <c r="FC16" i="1" s="1"/>
  <c r="DJ16" i="1"/>
  <c r="FD16" i="1" s="1"/>
  <c r="DK16" i="1"/>
  <c r="FE16" i="1" s="1"/>
  <c r="CS18" i="1"/>
  <c r="EM18" i="1" s="1"/>
  <c r="CT18" i="1"/>
  <c r="EN18" i="1" s="1"/>
  <c r="CU18" i="1"/>
  <c r="EO18" i="1" s="1"/>
  <c r="CV18" i="1"/>
  <c r="EP18" i="1" s="1"/>
  <c r="CW18" i="1"/>
  <c r="EQ18" i="1" s="1"/>
  <c r="CX18" i="1"/>
  <c r="ER18" i="1" s="1"/>
  <c r="CY18" i="1"/>
  <c r="ES18" i="1" s="1"/>
  <c r="CZ18" i="1"/>
  <c r="ET18" i="1" s="1"/>
  <c r="DA18" i="1"/>
  <c r="EU18" i="1" s="1"/>
  <c r="DB18" i="1"/>
  <c r="EV18" i="1" s="1"/>
  <c r="DC18" i="1"/>
  <c r="EW18" i="1" s="1"/>
  <c r="DD18" i="1"/>
  <c r="EX18" i="1" s="1"/>
  <c r="DF18" i="1"/>
  <c r="EZ18" i="1" s="1"/>
  <c r="DG18" i="1"/>
  <c r="FA18" i="1" s="1"/>
  <c r="DI18" i="1"/>
  <c r="FC18" i="1" s="1"/>
  <c r="DJ18" i="1"/>
  <c r="FD18" i="1" s="1"/>
  <c r="DK18" i="1"/>
  <c r="FE18" i="1" s="1"/>
  <c r="CS26" i="1"/>
  <c r="EM26" i="1" s="1"/>
  <c r="CT26" i="1"/>
  <c r="EN26" i="1" s="1"/>
  <c r="CU26" i="1"/>
  <c r="EO26" i="1" s="1"/>
  <c r="CV26" i="1"/>
  <c r="EP26" i="1" s="1"/>
  <c r="CW26" i="1"/>
  <c r="EQ26" i="1" s="1"/>
  <c r="CX26" i="1"/>
  <c r="ER26" i="1" s="1"/>
  <c r="CY26" i="1"/>
  <c r="ES26" i="1" s="1"/>
  <c r="CZ26" i="1"/>
  <c r="ET26" i="1" s="1"/>
  <c r="DA26" i="1"/>
  <c r="EU26" i="1" s="1"/>
  <c r="DB26" i="1"/>
  <c r="EV26" i="1" s="1"/>
  <c r="DC26" i="1"/>
  <c r="EW26" i="1" s="1"/>
  <c r="DD26" i="1"/>
  <c r="EX26" i="1" s="1"/>
  <c r="DF26" i="1"/>
  <c r="EZ26" i="1" s="1"/>
  <c r="DG26" i="1"/>
  <c r="FA26" i="1" s="1"/>
  <c r="DI26" i="1"/>
  <c r="FC26" i="1" s="1"/>
  <c r="DJ26" i="1"/>
  <c r="FD26" i="1" s="1"/>
  <c r="DK26" i="1"/>
  <c r="FE26" i="1" s="1"/>
  <c r="I14" i="6" l="1"/>
  <c r="H15" i="6"/>
  <c r="FG28" i="1"/>
  <c r="FJ28" i="1" s="1"/>
  <c r="FK28" i="1" s="1"/>
  <c r="FG27" i="1"/>
  <c r="FJ27" i="1" s="1"/>
  <c r="FK27" i="1" s="1"/>
  <c r="FG24" i="1"/>
  <c r="FJ24" i="1" s="1"/>
  <c r="FK24" i="1" s="1"/>
  <c r="FG23" i="1"/>
  <c r="FJ23" i="1" s="1"/>
  <c r="FK23" i="1" s="1"/>
  <c r="S26" i="1"/>
  <c r="J14" i="6" l="1"/>
  <c r="I15" i="6"/>
  <c r="S35" i="1"/>
  <c r="C25" i="8"/>
  <c r="K14" i="6" l="1"/>
  <c r="J15" i="6"/>
  <c r="M31" i="1"/>
  <c r="M30" i="1"/>
  <c r="M33" i="1"/>
  <c r="M32" i="1"/>
  <c r="M37" i="9"/>
  <c r="L37" i="9"/>
  <c r="K37" i="9"/>
  <c r="J37" i="9"/>
  <c r="M33" i="9"/>
  <c r="L33" i="9"/>
  <c r="M32" i="9"/>
  <c r="L32" i="9"/>
  <c r="M29" i="9"/>
  <c r="L29" i="9"/>
  <c r="M25" i="9"/>
  <c r="L25" i="9"/>
  <c r="M24" i="9"/>
  <c r="L24" i="9"/>
  <c r="M22" i="9"/>
  <c r="L22" i="9"/>
  <c r="M21" i="9"/>
  <c r="L21" i="9"/>
  <c r="M20" i="9"/>
  <c r="L20" i="9"/>
  <c r="M19" i="9"/>
  <c r="L19" i="9"/>
  <c r="M18" i="9"/>
  <c r="L18" i="9"/>
  <c r="M16" i="9"/>
  <c r="L16" i="9"/>
  <c r="M15" i="9"/>
  <c r="L15" i="9"/>
  <c r="K28" i="9"/>
  <c r="J28" i="9"/>
  <c r="K17" i="9"/>
  <c r="J17" i="9"/>
  <c r="K8" i="9"/>
  <c r="J8" i="9"/>
  <c r="K7" i="9"/>
  <c r="J7" i="9"/>
  <c r="K6" i="9"/>
  <c r="J6" i="9"/>
  <c r="G60" i="9"/>
  <c r="G42" i="9"/>
  <c r="F37" i="9"/>
  <c r="E37" i="9"/>
  <c r="G61" i="9" s="1"/>
  <c r="G35" i="9"/>
  <c r="G34" i="9"/>
  <c r="G33" i="9"/>
  <c r="G32" i="9"/>
  <c r="G31" i="9"/>
  <c r="G29" i="9"/>
  <c r="G28" i="9"/>
  <c r="G27" i="9"/>
  <c r="G26" i="9"/>
  <c r="G25" i="9"/>
  <c r="G24" i="9"/>
  <c r="G22" i="9"/>
  <c r="G21" i="9"/>
  <c r="G20" i="9"/>
  <c r="G19" i="9"/>
  <c r="G18" i="9"/>
  <c r="G17" i="9"/>
  <c r="G16" i="9"/>
  <c r="G15" i="9"/>
  <c r="G14" i="9"/>
  <c r="G13" i="9"/>
  <c r="G12" i="9"/>
  <c r="G10" i="9"/>
  <c r="G9" i="9"/>
  <c r="G8" i="9"/>
  <c r="G7" i="9"/>
  <c r="G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G5" i="9"/>
  <c r="L14" i="6" l="1"/>
  <c r="K15" i="6"/>
  <c r="G37" i="9"/>
  <c r="G44" i="9" s="1"/>
  <c r="F44" i="9"/>
  <c r="E44" i="9"/>
  <c r="U33" i="1"/>
  <c r="T33" i="1"/>
  <c r="S33" i="1"/>
  <c r="R33" i="1"/>
  <c r="Q33" i="1"/>
  <c r="L33" i="1"/>
  <c r="U32" i="1"/>
  <c r="T32" i="1"/>
  <c r="S32" i="1"/>
  <c r="R32" i="1"/>
  <c r="Q32" i="1"/>
  <c r="L32" i="1"/>
  <c r="U31" i="1"/>
  <c r="T31" i="1"/>
  <c r="S31" i="1"/>
  <c r="R31" i="1"/>
  <c r="Q31" i="1"/>
  <c r="L31" i="1"/>
  <c r="M14" i="6" l="1"/>
  <c r="M15" i="6" s="1"/>
  <c r="L15" i="6"/>
  <c r="W33" i="1"/>
  <c r="W31" i="1"/>
  <c r="W32" i="1"/>
  <c r="M36" i="1"/>
  <c r="BF32" i="1" l="1"/>
  <c r="CZ32" i="1" s="1"/>
  <c r="ET32" i="1" s="1"/>
  <c r="BN32" i="1"/>
  <c r="DH32" i="1" s="1"/>
  <c r="FB32" i="1" s="1"/>
  <c r="AY32" i="1"/>
  <c r="CS32" i="1" s="1"/>
  <c r="EM32" i="1" s="1"/>
  <c r="BG32" i="1"/>
  <c r="DA32" i="1" s="1"/>
  <c r="EU32" i="1" s="1"/>
  <c r="BO32" i="1"/>
  <c r="DI32" i="1" s="1"/>
  <c r="FC32" i="1" s="1"/>
  <c r="AZ32" i="1"/>
  <c r="CT32" i="1" s="1"/>
  <c r="EN32" i="1" s="1"/>
  <c r="BH32" i="1"/>
  <c r="DB32" i="1" s="1"/>
  <c r="EV32" i="1" s="1"/>
  <c r="BP32" i="1"/>
  <c r="DJ32" i="1" s="1"/>
  <c r="FD32" i="1" s="1"/>
  <c r="BA32" i="1"/>
  <c r="CU32" i="1" s="1"/>
  <c r="EO32" i="1" s="1"/>
  <c r="BI32" i="1"/>
  <c r="DC32" i="1" s="1"/>
  <c r="EW32" i="1" s="1"/>
  <c r="BQ32" i="1"/>
  <c r="DK32" i="1" s="1"/>
  <c r="FE32" i="1" s="1"/>
  <c r="BB32" i="1"/>
  <c r="CV32" i="1" s="1"/>
  <c r="EP32" i="1" s="1"/>
  <c r="BJ32" i="1"/>
  <c r="DD32" i="1" s="1"/>
  <c r="EX32" i="1" s="1"/>
  <c r="BR32" i="1"/>
  <c r="DL32" i="1" s="1"/>
  <c r="FF32" i="1" s="1"/>
  <c r="BE32" i="1"/>
  <c r="CY32" i="1" s="1"/>
  <c r="ES32" i="1" s="1"/>
  <c r="BM32" i="1"/>
  <c r="DG32" i="1" s="1"/>
  <c r="FA32" i="1" s="1"/>
  <c r="BC32" i="1"/>
  <c r="CW32" i="1" s="1"/>
  <c r="EQ32" i="1" s="1"/>
  <c r="BD32" i="1"/>
  <c r="CX32" i="1" s="1"/>
  <c r="ER32" i="1" s="1"/>
  <c r="BK32" i="1"/>
  <c r="DE32" i="1" s="1"/>
  <c r="EY32" i="1" s="1"/>
  <c r="BL32" i="1"/>
  <c r="DF32" i="1" s="1"/>
  <c r="EZ32" i="1" s="1"/>
  <c r="BB33" i="1"/>
  <c r="CV33" i="1" s="1"/>
  <c r="EP33" i="1" s="1"/>
  <c r="BJ33" i="1"/>
  <c r="DD33" i="1" s="1"/>
  <c r="EX33" i="1" s="1"/>
  <c r="BR33" i="1"/>
  <c r="DL33" i="1" s="1"/>
  <c r="FF33" i="1" s="1"/>
  <c r="BC33" i="1"/>
  <c r="CW33" i="1" s="1"/>
  <c r="EQ33" i="1" s="1"/>
  <c r="BK33" i="1"/>
  <c r="DE33" i="1" s="1"/>
  <c r="EY33" i="1" s="1"/>
  <c r="BD33" i="1"/>
  <c r="CX33" i="1" s="1"/>
  <c r="ER33" i="1" s="1"/>
  <c r="BL33" i="1"/>
  <c r="DF33" i="1" s="1"/>
  <c r="EZ33" i="1" s="1"/>
  <c r="BE33" i="1"/>
  <c r="CY33" i="1" s="1"/>
  <c r="ES33" i="1" s="1"/>
  <c r="BM33" i="1"/>
  <c r="DG33" i="1" s="1"/>
  <c r="FA33" i="1" s="1"/>
  <c r="BF33" i="1"/>
  <c r="CZ33" i="1" s="1"/>
  <c r="ET33" i="1" s="1"/>
  <c r="BN33" i="1"/>
  <c r="DH33" i="1" s="1"/>
  <c r="FB33" i="1" s="1"/>
  <c r="BA33" i="1"/>
  <c r="CU33" i="1" s="1"/>
  <c r="EO33" i="1" s="1"/>
  <c r="BI33" i="1"/>
  <c r="DC33" i="1" s="1"/>
  <c r="EW33" i="1" s="1"/>
  <c r="BQ33" i="1"/>
  <c r="DK33" i="1" s="1"/>
  <c r="FE33" i="1" s="1"/>
  <c r="BO33" i="1"/>
  <c r="DI33" i="1" s="1"/>
  <c r="FC33" i="1" s="1"/>
  <c r="BG33" i="1"/>
  <c r="DA33" i="1" s="1"/>
  <c r="EU33" i="1" s="1"/>
  <c r="BP33" i="1"/>
  <c r="DJ33" i="1" s="1"/>
  <c r="FD33" i="1" s="1"/>
  <c r="AY33" i="1"/>
  <c r="CS33" i="1" s="1"/>
  <c r="EM33" i="1" s="1"/>
  <c r="AZ33" i="1"/>
  <c r="CT33" i="1" s="1"/>
  <c r="EN33" i="1" s="1"/>
  <c r="BH33" i="1"/>
  <c r="DB33" i="1" s="1"/>
  <c r="EV33" i="1" s="1"/>
  <c r="BB31" i="1"/>
  <c r="CV31" i="1" s="1"/>
  <c r="EP31" i="1" s="1"/>
  <c r="BJ31" i="1"/>
  <c r="DD31" i="1" s="1"/>
  <c r="EX31" i="1" s="1"/>
  <c r="BR31" i="1"/>
  <c r="DL31" i="1" s="1"/>
  <c r="FF31" i="1" s="1"/>
  <c r="BC31" i="1"/>
  <c r="CW31" i="1" s="1"/>
  <c r="EQ31" i="1" s="1"/>
  <c r="BK31" i="1"/>
  <c r="DE31" i="1" s="1"/>
  <c r="EY31" i="1" s="1"/>
  <c r="BD31" i="1"/>
  <c r="CX31" i="1" s="1"/>
  <c r="ER31" i="1" s="1"/>
  <c r="BL31" i="1"/>
  <c r="DF31" i="1" s="1"/>
  <c r="EZ31" i="1" s="1"/>
  <c r="BE31" i="1"/>
  <c r="CY31" i="1" s="1"/>
  <c r="ES31" i="1" s="1"/>
  <c r="BM31" i="1"/>
  <c r="DG31" i="1" s="1"/>
  <c r="FA31" i="1" s="1"/>
  <c r="BF31" i="1"/>
  <c r="CZ31" i="1" s="1"/>
  <c r="ET31" i="1" s="1"/>
  <c r="BN31" i="1"/>
  <c r="DH31" i="1" s="1"/>
  <c r="FB31" i="1" s="1"/>
  <c r="BA31" i="1"/>
  <c r="CU31" i="1" s="1"/>
  <c r="EO31" i="1" s="1"/>
  <c r="BI31" i="1"/>
  <c r="DC31" i="1" s="1"/>
  <c r="EW31" i="1" s="1"/>
  <c r="BQ31" i="1"/>
  <c r="DK31" i="1" s="1"/>
  <c r="FE31" i="1" s="1"/>
  <c r="BG31" i="1"/>
  <c r="DA31" i="1" s="1"/>
  <c r="EU31" i="1" s="1"/>
  <c r="AY31" i="1"/>
  <c r="CS31" i="1" s="1"/>
  <c r="EM31" i="1" s="1"/>
  <c r="BH31" i="1"/>
  <c r="DB31" i="1" s="1"/>
  <c r="EV31" i="1" s="1"/>
  <c r="BO31" i="1"/>
  <c r="DI31" i="1" s="1"/>
  <c r="FC31" i="1" s="1"/>
  <c r="AZ31" i="1"/>
  <c r="CT31" i="1" s="1"/>
  <c r="EN31" i="1" s="1"/>
  <c r="BP31" i="1"/>
  <c r="DJ31" i="1" s="1"/>
  <c r="FD31" i="1" s="1"/>
  <c r="AX31" i="1"/>
  <c r="AX33" i="1"/>
  <c r="CR33" i="1" s="1"/>
  <c r="AX32" i="1"/>
  <c r="R36" i="1"/>
  <c r="C28" i="8"/>
  <c r="C18" i="8"/>
  <c r="C11" i="8"/>
  <c r="BS31" i="1" l="1"/>
  <c r="BT31" i="1" s="1"/>
  <c r="CR32" i="1"/>
  <c r="DM32" i="1" s="1"/>
  <c r="BS32" i="1"/>
  <c r="BT32" i="1" s="1"/>
  <c r="BS33" i="1"/>
  <c r="BT33" i="1" s="1"/>
  <c r="CR31" i="1"/>
  <c r="EL31" i="1" s="1"/>
  <c r="FG31" i="1" s="1"/>
  <c r="EL32" i="1"/>
  <c r="FG32" i="1" s="1"/>
  <c r="EL33" i="1"/>
  <c r="FG33" i="1" s="1"/>
  <c r="DM33" i="1"/>
  <c r="L28" i="8"/>
  <c r="K27" i="8"/>
  <c r="J27" i="8"/>
  <c r="N27" i="8" s="1"/>
  <c r="K25" i="8"/>
  <c r="M25" i="8" s="1"/>
  <c r="J25" i="8"/>
  <c r="K23" i="8"/>
  <c r="M23" i="8" s="1"/>
  <c r="J23" i="8"/>
  <c r="N23" i="8" s="1"/>
  <c r="K21" i="8"/>
  <c r="M21" i="8" s="1"/>
  <c r="J21" i="8"/>
  <c r="K20" i="8"/>
  <c r="M20" i="8" s="1"/>
  <c r="J20" i="8"/>
  <c r="K17" i="8"/>
  <c r="M17" i="8" s="1"/>
  <c r="J17" i="8"/>
  <c r="K16" i="8"/>
  <c r="M16" i="8" s="1"/>
  <c r="J16" i="8"/>
  <c r="K15" i="8"/>
  <c r="M15" i="8" s="1"/>
  <c r="J15" i="8"/>
  <c r="K14" i="8"/>
  <c r="M14" i="8" s="1"/>
  <c r="J14" i="8"/>
  <c r="K10" i="8"/>
  <c r="H10" i="8"/>
  <c r="G10" i="8"/>
  <c r="F10" i="8"/>
  <c r="J10" i="8" s="1"/>
  <c r="N9" i="8"/>
  <c r="K8" i="8"/>
  <c r="M8" i="8" s="1"/>
  <c r="J8" i="8"/>
  <c r="N8" i="8" s="1"/>
  <c r="K7" i="8"/>
  <c r="M7" i="8" s="1"/>
  <c r="J7" i="8"/>
  <c r="J28" i="8" s="1"/>
  <c r="M35" i="1" s="1"/>
  <c r="R35" i="1" s="1"/>
  <c r="G7" i="8"/>
  <c r="DM31" i="1" l="1"/>
  <c r="FJ31" i="1"/>
  <c r="FJ33" i="1"/>
  <c r="FK33" i="1" s="1"/>
  <c r="FJ32" i="1"/>
  <c r="FK32" i="1" s="1"/>
  <c r="N14" i="8"/>
  <c r="N16" i="8"/>
  <c r="N20" i="8"/>
  <c r="N15" i="8"/>
  <c r="N17" i="8"/>
  <c r="N21" i="8"/>
  <c r="N25" i="8"/>
  <c r="N10" i="8"/>
  <c r="M10" i="8"/>
  <c r="M27" i="8"/>
  <c r="M28" i="8" s="1"/>
  <c r="K28" i="8"/>
  <c r="M34" i="1" s="1"/>
  <c r="N7" i="8"/>
  <c r="N28" i="8" s="1"/>
  <c r="FK31" i="1" l="1"/>
  <c r="P34" i="1"/>
  <c r="P36" i="1" s="1"/>
  <c r="O34" i="1"/>
  <c r="O36" i="1" s="1"/>
  <c r="N34" i="1"/>
  <c r="N36" i="1" s="1"/>
  <c r="R34" i="1"/>
  <c r="P9" i="6"/>
  <c r="P8" i="6"/>
  <c r="P7" i="6"/>
  <c r="N11" i="6"/>
  <c r="O11" i="6"/>
  <c r="E11" i="6" l="1"/>
  <c r="M11" i="6"/>
  <c r="J11" i="6"/>
  <c r="F11" i="6"/>
  <c r="G11" i="6"/>
  <c r="H11" i="6"/>
  <c r="I11" i="6"/>
  <c r="K11" i="6"/>
  <c r="L11" i="6"/>
  <c r="D16" i="6"/>
  <c r="S12" i="1"/>
  <c r="Q35" i="1"/>
  <c r="L35" i="1"/>
  <c r="J16" i="6" l="1"/>
  <c r="G16" i="6"/>
  <c r="H16" i="6"/>
  <c r="F16" i="6"/>
  <c r="M16" i="6"/>
  <c r="L16" i="6"/>
  <c r="D11" i="6"/>
  <c r="K16" i="6"/>
  <c r="E16" i="6"/>
  <c r="I16" i="6"/>
  <c r="U36" i="1"/>
  <c r="T36" i="1"/>
  <c r="S36" i="1"/>
  <c r="Q36" i="1"/>
  <c r="L36" i="1"/>
  <c r="W43" i="12" l="1"/>
  <c r="E43" i="11" s="1"/>
  <c r="FJ47" i="1"/>
  <c r="P11" i="6"/>
  <c r="L47" i="1"/>
  <c r="W46" i="12" l="1"/>
  <c r="W76" i="12" s="1"/>
  <c r="E44" i="11"/>
  <c r="E73" i="11" s="1"/>
  <c r="E76" i="11"/>
  <c r="E83" i="11" s="1"/>
  <c r="E95" i="11"/>
  <c r="E112" i="11" s="1"/>
  <c r="R30" i="1"/>
  <c r="S30" i="1"/>
  <c r="T30" i="1"/>
  <c r="U30" i="1"/>
  <c r="U47" i="1" l="1"/>
  <c r="T47" i="1"/>
  <c r="S47" i="1"/>
  <c r="R47" i="1"/>
  <c r="Q47" i="1"/>
  <c r="W47" i="1" l="1"/>
  <c r="BC47" i="1" l="1"/>
  <c r="CW47" i="1" s="1"/>
  <c r="EQ47" i="1" s="1"/>
  <c r="BK47" i="1"/>
  <c r="DE47" i="1" s="1"/>
  <c r="EY47" i="1" s="1"/>
  <c r="BD47" i="1"/>
  <c r="CX47" i="1" s="1"/>
  <c r="ER47" i="1" s="1"/>
  <c r="BL47" i="1"/>
  <c r="DF47" i="1" s="1"/>
  <c r="EZ47" i="1" s="1"/>
  <c r="BE47" i="1"/>
  <c r="CY47" i="1" s="1"/>
  <c r="ES47" i="1" s="1"/>
  <c r="BM47" i="1"/>
  <c r="DG47" i="1" s="1"/>
  <c r="FA47" i="1" s="1"/>
  <c r="BF47" i="1"/>
  <c r="CZ47" i="1" s="1"/>
  <c r="ET47" i="1" s="1"/>
  <c r="BN47" i="1"/>
  <c r="DH47" i="1" s="1"/>
  <c r="FB47" i="1" s="1"/>
  <c r="BA47" i="1"/>
  <c r="CU47" i="1" s="1"/>
  <c r="EO47" i="1" s="1"/>
  <c r="BI47" i="1"/>
  <c r="DC47" i="1" s="1"/>
  <c r="EW47" i="1" s="1"/>
  <c r="BQ47" i="1"/>
  <c r="DK47" i="1" s="1"/>
  <c r="FE47" i="1" s="1"/>
  <c r="AZ47" i="1"/>
  <c r="CT47" i="1" s="1"/>
  <c r="EN47" i="1" s="1"/>
  <c r="BJ47" i="1"/>
  <c r="DD47" i="1" s="1"/>
  <c r="EX47" i="1" s="1"/>
  <c r="BO47" i="1"/>
  <c r="DI47" i="1" s="1"/>
  <c r="FC47" i="1" s="1"/>
  <c r="BB47" i="1"/>
  <c r="CV47" i="1" s="1"/>
  <c r="EP47" i="1" s="1"/>
  <c r="BG47" i="1"/>
  <c r="DA47" i="1" s="1"/>
  <c r="EU47" i="1" s="1"/>
  <c r="BP47" i="1"/>
  <c r="DJ47" i="1" s="1"/>
  <c r="FD47" i="1" s="1"/>
  <c r="BH47" i="1"/>
  <c r="DB47" i="1" s="1"/>
  <c r="EV47" i="1" s="1"/>
  <c r="AY47" i="1"/>
  <c r="CS47" i="1" s="1"/>
  <c r="EM47" i="1" s="1"/>
  <c r="BR47" i="1"/>
  <c r="DL47" i="1" s="1"/>
  <c r="FF47" i="1" s="1"/>
  <c r="W30" i="1"/>
  <c r="L30" i="1"/>
  <c r="Q30" i="1"/>
  <c r="BF30" i="1" l="1"/>
  <c r="CZ30" i="1" s="1"/>
  <c r="ET30" i="1" s="1"/>
  <c r="BN30" i="1"/>
  <c r="DH30" i="1" s="1"/>
  <c r="FB30" i="1" s="1"/>
  <c r="AY30" i="1"/>
  <c r="CS30" i="1" s="1"/>
  <c r="EM30" i="1" s="1"/>
  <c r="BG30" i="1"/>
  <c r="DA30" i="1" s="1"/>
  <c r="EU30" i="1" s="1"/>
  <c r="BO30" i="1"/>
  <c r="DI30" i="1" s="1"/>
  <c r="FC30" i="1" s="1"/>
  <c r="AZ30" i="1"/>
  <c r="CT30" i="1" s="1"/>
  <c r="EN30" i="1" s="1"/>
  <c r="BH30" i="1"/>
  <c r="DB30" i="1" s="1"/>
  <c r="EV30" i="1" s="1"/>
  <c r="BP30" i="1"/>
  <c r="DJ30" i="1" s="1"/>
  <c r="FD30" i="1" s="1"/>
  <c r="BA30" i="1"/>
  <c r="CU30" i="1" s="1"/>
  <c r="EO30" i="1" s="1"/>
  <c r="BI30" i="1"/>
  <c r="DC30" i="1" s="1"/>
  <c r="EW30" i="1" s="1"/>
  <c r="BQ30" i="1"/>
  <c r="DK30" i="1" s="1"/>
  <c r="FE30" i="1" s="1"/>
  <c r="BB30" i="1"/>
  <c r="CV30" i="1" s="1"/>
  <c r="EP30" i="1" s="1"/>
  <c r="BJ30" i="1"/>
  <c r="DD30" i="1" s="1"/>
  <c r="EX30" i="1" s="1"/>
  <c r="BR30" i="1"/>
  <c r="DL30" i="1" s="1"/>
  <c r="FF30" i="1" s="1"/>
  <c r="BE30" i="1"/>
  <c r="CY30" i="1" s="1"/>
  <c r="ES30" i="1" s="1"/>
  <c r="BM30" i="1"/>
  <c r="DG30" i="1" s="1"/>
  <c r="FA30" i="1" s="1"/>
  <c r="BK30" i="1"/>
  <c r="DE30" i="1" s="1"/>
  <c r="EY30" i="1" s="1"/>
  <c r="BC30" i="1"/>
  <c r="CW30" i="1" s="1"/>
  <c r="EQ30" i="1" s="1"/>
  <c r="BL30" i="1"/>
  <c r="DF30" i="1" s="1"/>
  <c r="EZ30" i="1" s="1"/>
  <c r="BD30" i="1"/>
  <c r="CX30" i="1" s="1"/>
  <c r="ER30" i="1" s="1"/>
  <c r="AX30" i="1"/>
  <c r="CR30" i="1" l="1"/>
  <c r="BS30" i="1"/>
  <c r="EL30" i="1"/>
  <c r="FG30" i="1" s="1"/>
  <c r="DM30" i="1"/>
  <c r="BT30" i="1"/>
  <c r="FJ30" i="1" l="1"/>
  <c r="FK30" i="1" s="1"/>
  <c r="AX47" i="1"/>
  <c r="CR47" i="1" l="1"/>
  <c r="EL47" i="1" s="1"/>
  <c r="FG47" i="1" s="1"/>
  <c r="BS47" i="1"/>
  <c r="BT47" i="1"/>
  <c r="DM47" i="1" l="1"/>
  <c r="FK47" i="1" s="1"/>
  <c r="Q42" i="1"/>
  <c r="Q43" i="1"/>
  <c r="Q41" i="1"/>
  <c r="Q46" i="1"/>
  <c r="Q40" i="1"/>
  <c r="L42" i="1"/>
  <c r="L43" i="1"/>
  <c r="L41" i="1"/>
  <c r="L46" i="1"/>
  <c r="L40" i="1"/>
  <c r="R42" i="1"/>
  <c r="S42" i="1"/>
  <c r="T42" i="1"/>
  <c r="U42" i="1"/>
  <c r="R43" i="1"/>
  <c r="S43" i="1"/>
  <c r="T43" i="1"/>
  <c r="U43" i="1"/>
  <c r="R41" i="1"/>
  <c r="S41" i="1"/>
  <c r="T41" i="1"/>
  <c r="U41" i="1"/>
  <c r="R46" i="1"/>
  <c r="S46" i="1"/>
  <c r="T46" i="1"/>
  <c r="U46" i="1"/>
  <c r="R40" i="1"/>
  <c r="S40" i="1"/>
  <c r="T40" i="1"/>
  <c r="U40" i="1"/>
  <c r="W40" i="1" l="1"/>
  <c r="W46" i="1"/>
  <c r="W41" i="1"/>
  <c r="W43" i="1"/>
  <c r="W42" i="1"/>
  <c r="K38" i="1"/>
  <c r="L38" i="1" s="1"/>
  <c r="K39" i="1"/>
  <c r="U39" i="1" s="1"/>
  <c r="R38" i="1"/>
  <c r="S38" i="1"/>
  <c r="T38" i="1"/>
  <c r="Q38" i="1"/>
  <c r="Q39" i="1"/>
  <c r="Q44" i="1"/>
  <c r="Q45" i="1"/>
  <c r="Q26" i="1"/>
  <c r="Q18" i="1"/>
  <c r="Q13" i="1"/>
  <c r="Q10" i="1"/>
  <c r="BB41" i="1" l="1"/>
  <c r="CV41" i="1" s="1"/>
  <c r="EP41" i="1" s="1"/>
  <c r="BJ41" i="1"/>
  <c r="DD41" i="1" s="1"/>
  <c r="EX41" i="1" s="1"/>
  <c r="BR41" i="1"/>
  <c r="DL41" i="1" s="1"/>
  <c r="FF41" i="1" s="1"/>
  <c r="BC41" i="1"/>
  <c r="CW41" i="1" s="1"/>
  <c r="EQ41" i="1" s="1"/>
  <c r="BK41" i="1"/>
  <c r="DE41" i="1" s="1"/>
  <c r="EY41" i="1" s="1"/>
  <c r="BD41" i="1"/>
  <c r="CX41" i="1" s="1"/>
  <c r="ER41" i="1" s="1"/>
  <c r="BL41" i="1"/>
  <c r="DF41" i="1" s="1"/>
  <c r="EZ41" i="1" s="1"/>
  <c r="BE41" i="1"/>
  <c r="CY41" i="1" s="1"/>
  <c r="ES41" i="1" s="1"/>
  <c r="BM41" i="1"/>
  <c r="DG41" i="1" s="1"/>
  <c r="FA41" i="1" s="1"/>
  <c r="BF41" i="1"/>
  <c r="CZ41" i="1" s="1"/>
  <c r="ET41" i="1" s="1"/>
  <c r="BN41" i="1"/>
  <c r="DH41" i="1" s="1"/>
  <c r="FB41" i="1" s="1"/>
  <c r="BA41" i="1"/>
  <c r="CU41" i="1" s="1"/>
  <c r="EO41" i="1" s="1"/>
  <c r="BI41" i="1"/>
  <c r="DC41" i="1" s="1"/>
  <c r="EW41" i="1" s="1"/>
  <c r="BQ41" i="1"/>
  <c r="DK41" i="1" s="1"/>
  <c r="FE41" i="1" s="1"/>
  <c r="BO41" i="1"/>
  <c r="DI41" i="1" s="1"/>
  <c r="FC41" i="1" s="1"/>
  <c r="AY41" i="1"/>
  <c r="CS41" i="1" s="1"/>
  <c r="EM41" i="1" s="1"/>
  <c r="BG41" i="1"/>
  <c r="DA41" i="1" s="1"/>
  <c r="EU41" i="1" s="1"/>
  <c r="BP41" i="1"/>
  <c r="DJ41" i="1" s="1"/>
  <c r="FD41" i="1" s="1"/>
  <c r="AZ41" i="1"/>
  <c r="CT41" i="1" s="1"/>
  <c r="EN41" i="1" s="1"/>
  <c r="BH41" i="1"/>
  <c r="DB41" i="1" s="1"/>
  <c r="EV41" i="1" s="1"/>
  <c r="AY46" i="1"/>
  <c r="CS46" i="1" s="1"/>
  <c r="EM46" i="1" s="1"/>
  <c r="BG46" i="1"/>
  <c r="DA46" i="1" s="1"/>
  <c r="EU46" i="1" s="1"/>
  <c r="BO46" i="1"/>
  <c r="DI46" i="1" s="1"/>
  <c r="FC46" i="1" s="1"/>
  <c r="AZ46" i="1"/>
  <c r="CT46" i="1" s="1"/>
  <c r="EN46" i="1" s="1"/>
  <c r="BH46" i="1"/>
  <c r="DB46" i="1" s="1"/>
  <c r="EV46" i="1" s="1"/>
  <c r="BP46" i="1"/>
  <c r="DJ46" i="1" s="1"/>
  <c r="FD46" i="1" s="1"/>
  <c r="BA46" i="1"/>
  <c r="CU46" i="1" s="1"/>
  <c r="EO46" i="1" s="1"/>
  <c r="BI46" i="1"/>
  <c r="DC46" i="1" s="1"/>
  <c r="EW46" i="1" s="1"/>
  <c r="BQ46" i="1"/>
  <c r="DK46" i="1" s="1"/>
  <c r="FE46" i="1" s="1"/>
  <c r="BB46" i="1"/>
  <c r="CV46" i="1" s="1"/>
  <c r="EP46" i="1" s="1"/>
  <c r="BJ46" i="1"/>
  <c r="DD46" i="1" s="1"/>
  <c r="EX46" i="1" s="1"/>
  <c r="BR46" i="1"/>
  <c r="DL46" i="1" s="1"/>
  <c r="FF46" i="1" s="1"/>
  <c r="BE46" i="1"/>
  <c r="CY46" i="1" s="1"/>
  <c r="ES46" i="1" s="1"/>
  <c r="BM46" i="1"/>
  <c r="DG46" i="1" s="1"/>
  <c r="FA46" i="1" s="1"/>
  <c r="BC46" i="1"/>
  <c r="CW46" i="1" s="1"/>
  <c r="EQ46" i="1" s="1"/>
  <c r="BK46" i="1"/>
  <c r="DE46" i="1" s="1"/>
  <c r="EY46" i="1" s="1"/>
  <c r="BN46" i="1"/>
  <c r="DH46" i="1" s="1"/>
  <c r="FB46" i="1" s="1"/>
  <c r="BD46" i="1"/>
  <c r="CX46" i="1" s="1"/>
  <c r="ER46" i="1" s="1"/>
  <c r="BF46" i="1"/>
  <c r="CZ46" i="1" s="1"/>
  <c r="ET46" i="1" s="1"/>
  <c r="BL46" i="1"/>
  <c r="DF46" i="1" s="1"/>
  <c r="EZ46" i="1" s="1"/>
  <c r="BF42" i="1"/>
  <c r="CZ42" i="1" s="1"/>
  <c r="ET42" i="1" s="1"/>
  <c r="BN42" i="1"/>
  <c r="DH42" i="1" s="1"/>
  <c r="FB42" i="1" s="1"/>
  <c r="AY42" i="1"/>
  <c r="CS42" i="1" s="1"/>
  <c r="EM42" i="1" s="1"/>
  <c r="BG42" i="1"/>
  <c r="DA42" i="1" s="1"/>
  <c r="EU42" i="1" s="1"/>
  <c r="BO42" i="1"/>
  <c r="DI42" i="1" s="1"/>
  <c r="FC42" i="1" s="1"/>
  <c r="AZ42" i="1"/>
  <c r="CT42" i="1" s="1"/>
  <c r="EN42" i="1" s="1"/>
  <c r="BH42" i="1"/>
  <c r="DB42" i="1" s="1"/>
  <c r="EV42" i="1" s="1"/>
  <c r="BP42" i="1"/>
  <c r="DJ42" i="1" s="1"/>
  <c r="FD42" i="1" s="1"/>
  <c r="BA42" i="1"/>
  <c r="CU42" i="1" s="1"/>
  <c r="EO42" i="1" s="1"/>
  <c r="BI42" i="1"/>
  <c r="DC42" i="1" s="1"/>
  <c r="EW42" i="1" s="1"/>
  <c r="BQ42" i="1"/>
  <c r="DK42" i="1" s="1"/>
  <c r="FE42" i="1" s="1"/>
  <c r="BB42" i="1"/>
  <c r="CV42" i="1" s="1"/>
  <c r="EP42" i="1" s="1"/>
  <c r="BJ42" i="1"/>
  <c r="DD42" i="1" s="1"/>
  <c r="EX42" i="1" s="1"/>
  <c r="BR42" i="1"/>
  <c r="DL42" i="1" s="1"/>
  <c r="FF42" i="1" s="1"/>
  <c r="BE42" i="1"/>
  <c r="CY42" i="1" s="1"/>
  <c r="ES42" i="1" s="1"/>
  <c r="BM42" i="1"/>
  <c r="DG42" i="1" s="1"/>
  <c r="FA42" i="1" s="1"/>
  <c r="BK42" i="1"/>
  <c r="DE42" i="1" s="1"/>
  <c r="EY42" i="1" s="1"/>
  <c r="BL42" i="1"/>
  <c r="DF42" i="1" s="1"/>
  <c r="EZ42" i="1" s="1"/>
  <c r="BC42" i="1"/>
  <c r="CW42" i="1" s="1"/>
  <c r="EQ42" i="1" s="1"/>
  <c r="BD42" i="1"/>
  <c r="CX42" i="1" s="1"/>
  <c r="ER42" i="1" s="1"/>
  <c r="BB43" i="1"/>
  <c r="CV43" i="1" s="1"/>
  <c r="EP43" i="1" s="1"/>
  <c r="BJ43" i="1"/>
  <c r="DD43" i="1" s="1"/>
  <c r="EX43" i="1" s="1"/>
  <c r="BR43" i="1"/>
  <c r="DL43" i="1" s="1"/>
  <c r="FF43" i="1" s="1"/>
  <c r="BC43" i="1"/>
  <c r="CW43" i="1" s="1"/>
  <c r="EQ43" i="1" s="1"/>
  <c r="BK43" i="1"/>
  <c r="DE43" i="1" s="1"/>
  <c r="EY43" i="1" s="1"/>
  <c r="BD43" i="1"/>
  <c r="CX43" i="1" s="1"/>
  <c r="ER43" i="1" s="1"/>
  <c r="BL43" i="1"/>
  <c r="DF43" i="1" s="1"/>
  <c r="EZ43" i="1" s="1"/>
  <c r="BE43" i="1"/>
  <c r="CY43" i="1" s="1"/>
  <c r="ES43" i="1" s="1"/>
  <c r="BM43" i="1"/>
  <c r="DG43" i="1" s="1"/>
  <c r="FA43" i="1" s="1"/>
  <c r="BF43" i="1"/>
  <c r="CZ43" i="1" s="1"/>
  <c r="ET43" i="1" s="1"/>
  <c r="BN43" i="1"/>
  <c r="DH43" i="1" s="1"/>
  <c r="FB43" i="1" s="1"/>
  <c r="BA43" i="1"/>
  <c r="CU43" i="1" s="1"/>
  <c r="EO43" i="1" s="1"/>
  <c r="BI43" i="1"/>
  <c r="DC43" i="1" s="1"/>
  <c r="EW43" i="1" s="1"/>
  <c r="BQ43" i="1"/>
  <c r="DK43" i="1" s="1"/>
  <c r="FE43" i="1" s="1"/>
  <c r="BG43" i="1"/>
  <c r="DA43" i="1" s="1"/>
  <c r="EU43" i="1" s="1"/>
  <c r="BH43" i="1"/>
  <c r="DB43" i="1" s="1"/>
  <c r="EV43" i="1" s="1"/>
  <c r="BO43" i="1"/>
  <c r="DI43" i="1" s="1"/>
  <c r="FC43" i="1" s="1"/>
  <c r="AY43" i="1"/>
  <c r="CS43" i="1" s="1"/>
  <c r="EM43" i="1" s="1"/>
  <c r="BP43" i="1"/>
  <c r="DJ43" i="1" s="1"/>
  <c r="FD43" i="1" s="1"/>
  <c r="AZ43" i="1"/>
  <c r="CT43" i="1" s="1"/>
  <c r="EN43" i="1" s="1"/>
  <c r="BF40" i="1"/>
  <c r="CZ40" i="1" s="1"/>
  <c r="ET40" i="1" s="1"/>
  <c r="BN40" i="1"/>
  <c r="DH40" i="1" s="1"/>
  <c r="FB40" i="1" s="1"/>
  <c r="AY40" i="1"/>
  <c r="CS40" i="1" s="1"/>
  <c r="EM40" i="1" s="1"/>
  <c r="BG40" i="1"/>
  <c r="DA40" i="1" s="1"/>
  <c r="EU40" i="1" s="1"/>
  <c r="BO40" i="1"/>
  <c r="DI40" i="1" s="1"/>
  <c r="FC40" i="1" s="1"/>
  <c r="AZ40" i="1"/>
  <c r="CT40" i="1" s="1"/>
  <c r="EN40" i="1" s="1"/>
  <c r="BH40" i="1"/>
  <c r="DB40" i="1" s="1"/>
  <c r="EV40" i="1" s="1"/>
  <c r="BP40" i="1"/>
  <c r="DJ40" i="1" s="1"/>
  <c r="FD40" i="1" s="1"/>
  <c r="BA40" i="1"/>
  <c r="CU40" i="1" s="1"/>
  <c r="EO40" i="1" s="1"/>
  <c r="BI40" i="1"/>
  <c r="DC40" i="1" s="1"/>
  <c r="EW40" i="1" s="1"/>
  <c r="BQ40" i="1"/>
  <c r="DK40" i="1" s="1"/>
  <c r="FE40" i="1" s="1"/>
  <c r="BB40" i="1"/>
  <c r="CV40" i="1" s="1"/>
  <c r="EP40" i="1" s="1"/>
  <c r="BJ40" i="1"/>
  <c r="DD40" i="1" s="1"/>
  <c r="EX40" i="1" s="1"/>
  <c r="BR40" i="1"/>
  <c r="DL40" i="1" s="1"/>
  <c r="FF40" i="1" s="1"/>
  <c r="BE40" i="1"/>
  <c r="CY40" i="1" s="1"/>
  <c r="ES40" i="1" s="1"/>
  <c r="BM40" i="1"/>
  <c r="DG40" i="1" s="1"/>
  <c r="FA40" i="1" s="1"/>
  <c r="BC40" i="1"/>
  <c r="CW40" i="1" s="1"/>
  <c r="EQ40" i="1" s="1"/>
  <c r="BD40" i="1"/>
  <c r="CX40" i="1" s="1"/>
  <c r="ER40" i="1" s="1"/>
  <c r="BK40" i="1"/>
  <c r="DE40" i="1" s="1"/>
  <c r="EY40" i="1" s="1"/>
  <c r="BL40" i="1"/>
  <c r="DF40" i="1" s="1"/>
  <c r="EZ40" i="1" s="1"/>
  <c r="AX46" i="1"/>
  <c r="AX43" i="1"/>
  <c r="AX40" i="1"/>
  <c r="AX42" i="1"/>
  <c r="AX41" i="1"/>
  <c r="U38" i="1"/>
  <c r="W38" i="1" s="1"/>
  <c r="CR42" i="1" l="1"/>
  <c r="DM42" i="1" s="1"/>
  <c r="BS42" i="1"/>
  <c r="CR43" i="1"/>
  <c r="DM43" i="1" s="1"/>
  <c r="BS43" i="1"/>
  <c r="CR46" i="1"/>
  <c r="EL46" i="1" s="1"/>
  <c r="FG46" i="1" s="1"/>
  <c r="BS46" i="1"/>
  <c r="BT46" i="1" s="1"/>
  <c r="CR40" i="1"/>
  <c r="EL40" i="1" s="1"/>
  <c r="FG40" i="1" s="1"/>
  <c r="BS40" i="1"/>
  <c r="BT40" i="1" s="1"/>
  <c r="BF38" i="1"/>
  <c r="CZ38" i="1" s="1"/>
  <c r="ET38" i="1" s="1"/>
  <c r="BN38" i="1"/>
  <c r="DH38" i="1" s="1"/>
  <c r="FB38" i="1" s="1"/>
  <c r="AY38" i="1"/>
  <c r="CS38" i="1" s="1"/>
  <c r="EM38" i="1" s="1"/>
  <c r="BG38" i="1"/>
  <c r="DA38" i="1" s="1"/>
  <c r="EU38" i="1" s="1"/>
  <c r="BO38" i="1"/>
  <c r="DI38" i="1" s="1"/>
  <c r="FC38" i="1" s="1"/>
  <c r="AZ38" i="1"/>
  <c r="CT38" i="1" s="1"/>
  <c r="EN38" i="1" s="1"/>
  <c r="BH38" i="1"/>
  <c r="DB38" i="1" s="1"/>
  <c r="EV38" i="1" s="1"/>
  <c r="BP38" i="1"/>
  <c r="DJ38" i="1" s="1"/>
  <c r="FD38" i="1" s="1"/>
  <c r="BA38" i="1"/>
  <c r="CU38" i="1" s="1"/>
  <c r="EO38" i="1" s="1"/>
  <c r="BI38" i="1"/>
  <c r="DC38" i="1" s="1"/>
  <c r="EW38" i="1" s="1"/>
  <c r="BQ38" i="1"/>
  <c r="DK38" i="1" s="1"/>
  <c r="FE38" i="1" s="1"/>
  <c r="BB38" i="1"/>
  <c r="CV38" i="1" s="1"/>
  <c r="EP38" i="1" s="1"/>
  <c r="BJ38" i="1"/>
  <c r="DD38" i="1" s="1"/>
  <c r="EX38" i="1" s="1"/>
  <c r="BR38" i="1"/>
  <c r="DL38" i="1" s="1"/>
  <c r="FF38" i="1" s="1"/>
  <c r="BE38" i="1"/>
  <c r="CY38" i="1" s="1"/>
  <c r="ES38" i="1" s="1"/>
  <c r="BM38" i="1"/>
  <c r="DG38" i="1" s="1"/>
  <c r="FA38" i="1" s="1"/>
  <c r="BK38" i="1"/>
  <c r="DE38" i="1" s="1"/>
  <c r="EY38" i="1" s="1"/>
  <c r="BL38" i="1"/>
  <c r="DF38" i="1" s="1"/>
  <c r="EZ38" i="1" s="1"/>
  <c r="BC38" i="1"/>
  <c r="CW38" i="1" s="1"/>
  <c r="EQ38" i="1" s="1"/>
  <c r="BD38" i="1"/>
  <c r="CX38" i="1" s="1"/>
  <c r="ER38" i="1" s="1"/>
  <c r="CR41" i="1"/>
  <c r="EL41" i="1" s="1"/>
  <c r="FG41" i="1" s="1"/>
  <c r="BS41" i="1"/>
  <c r="BT41" i="1" s="1"/>
  <c r="EL42" i="1"/>
  <c r="FG42" i="1" s="1"/>
  <c r="EL43" i="1"/>
  <c r="FG43" i="1" s="1"/>
  <c r="BT43" i="1"/>
  <c r="BT42" i="1"/>
  <c r="AX38" i="1"/>
  <c r="DM46" i="1" l="1"/>
  <c r="DM40" i="1"/>
  <c r="BS38" i="1"/>
  <c r="BT38" i="1" s="1"/>
  <c r="DM41" i="1"/>
  <c r="FJ42" i="1"/>
  <c r="FK42" i="1" s="1"/>
  <c r="FJ43" i="1"/>
  <c r="FK43" i="1" s="1"/>
  <c r="FJ41" i="1"/>
  <c r="FK41" i="1" s="1"/>
  <c r="FJ46" i="1"/>
  <c r="FJ40" i="1"/>
  <c r="CR38" i="1"/>
  <c r="DM38" i="1" s="1"/>
  <c r="FK40" i="1" l="1"/>
  <c r="FK46" i="1"/>
  <c r="EL38" i="1"/>
  <c r="AM380" i="4"/>
  <c r="AL380" i="4"/>
  <c r="AM379" i="4"/>
  <c r="AL379" i="4"/>
  <c r="AL378" i="4"/>
  <c r="AM378" i="4" s="1"/>
  <c r="AL377" i="4"/>
  <c r="AM377" i="4" s="1"/>
  <c r="AM376" i="4"/>
  <c r="AL376" i="4"/>
  <c r="AM375" i="4"/>
  <c r="AL375" i="4"/>
  <c r="AL374" i="4"/>
  <c r="AM374" i="4" s="1"/>
  <c r="AL373" i="4"/>
  <c r="AM373" i="4" s="1"/>
  <c r="AM372" i="4"/>
  <c r="AL372" i="4"/>
  <c r="AM371" i="4"/>
  <c r="AL371" i="4"/>
  <c r="AL370" i="4"/>
  <c r="AM370" i="4" s="1"/>
  <c r="AL369" i="4"/>
  <c r="AM369" i="4" s="1"/>
  <c r="AM368" i="4"/>
  <c r="AL368" i="4"/>
  <c r="AM367" i="4"/>
  <c r="AL367" i="4"/>
  <c r="AL366" i="4"/>
  <c r="AM366" i="4" s="1"/>
  <c r="AL365" i="4"/>
  <c r="AM365" i="4" s="1"/>
  <c r="AM364" i="4"/>
  <c r="AL364" i="4"/>
  <c r="AM363" i="4"/>
  <c r="AL363" i="4"/>
  <c r="AL362" i="4"/>
  <c r="AM362" i="4" s="1"/>
  <c r="AL361" i="4"/>
  <c r="AM361" i="4" s="1"/>
  <c r="AM360" i="4"/>
  <c r="AL360" i="4"/>
  <c r="AM359" i="4"/>
  <c r="AL359" i="4"/>
  <c r="AL358" i="4"/>
  <c r="AM358" i="4" s="1"/>
  <c r="AL357" i="4"/>
  <c r="AM357" i="4" s="1"/>
  <c r="AM356" i="4"/>
  <c r="AL356" i="4"/>
  <c r="AM355" i="4"/>
  <c r="AL355" i="4"/>
  <c r="AL354" i="4"/>
  <c r="AM354" i="4" s="1"/>
  <c r="AL353" i="4"/>
  <c r="AM353" i="4" s="1"/>
  <c r="AM352" i="4"/>
  <c r="AL352" i="4"/>
  <c r="AM351" i="4"/>
  <c r="AL351" i="4"/>
  <c r="AL350" i="4"/>
  <c r="AM350" i="4" s="1"/>
  <c r="AL349" i="4"/>
  <c r="AM349" i="4" s="1"/>
  <c r="AM348" i="4"/>
  <c r="AL348" i="4"/>
  <c r="AM347" i="4"/>
  <c r="AL347" i="4"/>
  <c r="AL346" i="4"/>
  <c r="AM346" i="4" s="1"/>
  <c r="AL345" i="4"/>
  <c r="AM345" i="4" s="1"/>
  <c r="AM344" i="4"/>
  <c r="AL344" i="4"/>
  <c r="AM343" i="4"/>
  <c r="AL343" i="4"/>
  <c r="AL342" i="4"/>
  <c r="AM342" i="4" s="1"/>
  <c r="AL341" i="4"/>
  <c r="AM341" i="4" s="1"/>
  <c r="AM340" i="4"/>
  <c r="AL340" i="4"/>
  <c r="AM339" i="4"/>
  <c r="AL339" i="4"/>
  <c r="AL338" i="4"/>
  <c r="AM338" i="4" s="1"/>
  <c r="AL337" i="4"/>
  <c r="AM337" i="4" s="1"/>
  <c r="AM336" i="4"/>
  <c r="AL336" i="4"/>
  <c r="AM335" i="4"/>
  <c r="AL335" i="4"/>
  <c r="AL334" i="4"/>
  <c r="AM334" i="4" s="1"/>
  <c r="AL333" i="4"/>
  <c r="AM333" i="4" s="1"/>
  <c r="AM332" i="4"/>
  <c r="AL332" i="4"/>
  <c r="AM331" i="4"/>
  <c r="AL331" i="4"/>
  <c r="AL330" i="4"/>
  <c r="AM330" i="4" s="1"/>
  <c r="AL329" i="4"/>
  <c r="AM329" i="4" s="1"/>
  <c r="AM328" i="4"/>
  <c r="AL328" i="4"/>
  <c r="AM327" i="4"/>
  <c r="AL327" i="4"/>
  <c r="AL326" i="4"/>
  <c r="AM326" i="4" s="1"/>
  <c r="AL325" i="4"/>
  <c r="AM325" i="4" s="1"/>
  <c r="AM324" i="4"/>
  <c r="AL324" i="4"/>
  <c r="AM323" i="4"/>
  <c r="AL323" i="4"/>
  <c r="AL322" i="4"/>
  <c r="AM322" i="4" s="1"/>
  <c r="AL321" i="4"/>
  <c r="AM321" i="4" s="1"/>
  <c r="AM320" i="4"/>
  <c r="AL320" i="4"/>
  <c r="AM319" i="4"/>
  <c r="AL319" i="4"/>
  <c r="AL318" i="4"/>
  <c r="AM318" i="4" s="1"/>
  <c r="AL317" i="4"/>
  <c r="AM317" i="4" s="1"/>
  <c r="AM316" i="4"/>
  <c r="AL316" i="4"/>
  <c r="AM315" i="4"/>
  <c r="AL315" i="4"/>
  <c r="AL314" i="4"/>
  <c r="AM314" i="4" s="1"/>
  <c r="AL313" i="4"/>
  <c r="AM313" i="4" s="1"/>
  <c r="AM312" i="4"/>
  <c r="AL312" i="4"/>
  <c r="AM311" i="4"/>
  <c r="AL311" i="4"/>
  <c r="AL310" i="4"/>
  <c r="AM310" i="4" s="1"/>
  <c r="AL309" i="4"/>
  <c r="AM309" i="4" s="1"/>
  <c r="AM308" i="4"/>
  <c r="AL308" i="4"/>
  <c r="AM307" i="4"/>
  <c r="AL307" i="4"/>
  <c r="AL306" i="4"/>
  <c r="AM306" i="4" s="1"/>
  <c r="AL305" i="4"/>
  <c r="AM305" i="4" s="1"/>
  <c r="AM304" i="4"/>
  <c r="AL304" i="4"/>
  <c r="AM303" i="4"/>
  <c r="AL303" i="4"/>
  <c r="AL302" i="4"/>
  <c r="AM302" i="4" s="1"/>
  <c r="AL301" i="4"/>
  <c r="AM301" i="4" s="1"/>
  <c r="AM300" i="4"/>
  <c r="AL300" i="4"/>
  <c r="AM299" i="4"/>
  <c r="AL299" i="4"/>
  <c r="AL298" i="4"/>
  <c r="AM298" i="4" s="1"/>
  <c r="AL297" i="4"/>
  <c r="AM297" i="4" s="1"/>
  <c r="AM296" i="4"/>
  <c r="AL296" i="4"/>
  <c r="AM295" i="4"/>
  <c r="AL295" i="4"/>
  <c r="AL294" i="4"/>
  <c r="AM294" i="4" s="1"/>
  <c r="AL293" i="4"/>
  <c r="AM293" i="4" s="1"/>
  <c r="AM292" i="4"/>
  <c r="AL292" i="4"/>
  <c r="AM291" i="4"/>
  <c r="AL291" i="4"/>
  <c r="AL290" i="4"/>
  <c r="AM290" i="4" s="1"/>
  <c r="AL289" i="4"/>
  <c r="AM289" i="4" s="1"/>
  <c r="AM288" i="4"/>
  <c r="AL288" i="4"/>
  <c r="AM287" i="4"/>
  <c r="AL287" i="4"/>
  <c r="AL286" i="4"/>
  <c r="AM286" i="4" s="1"/>
  <c r="AL285" i="4"/>
  <c r="AM285" i="4" s="1"/>
  <c r="AM284" i="4"/>
  <c r="AL284" i="4"/>
  <c r="AM283" i="4"/>
  <c r="AL283" i="4"/>
  <c r="AL282" i="4"/>
  <c r="AM282" i="4" s="1"/>
  <c r="AL281" i="4"/>
  <c r="AM281" i="4" s="1"/>
  <c r="AM280" i="4"/>
  <c r="AL280" i="4"/>
  <c r="AM279" i="4"/>
  <c r="AL279" i="4"/>
  <c r="AL278" i="4"/>
  <c r="AM278" i="4" s="1"/>
  <c r="AL277" i="4"/>
  <c r="AM277" i="4" s="1"/>
  <c r="AM276" i="4"/>
  <c r="AL276" i="4"/>
  <c r="AM275" i="4"/>
  <c r="AL275" i="4"/>
  <c r="AL274" i="4"/>
  <c r="AM274" i="4" s="1"/>
  <c r="AL273" i="4"/>
  <c r="AM273" i="4" s="1"/>
  <c r="AM272" i="4"/>
  <c r="AL272" i="4"/>
  <c r="AM271" i="4"/>
  <c r="AL271" i="4"/>
  <c r="AL270" i="4"/>
  <c r="AM270" i="4" s="1"/>
  <c r="AL269" i="4"/>
  <c r="AM269" i="4" s="1"/>
  <c r="AM268" i="4"/>
  <c r="AL268" i="4"/>
  <c r="AM267" i="4"/>
  <c r="AL267" i="4"/>
  <c r="AL266" i="4"/>
  <c r="AM266" i="4" s="1"/>
  <c r="AL265" i="4"/>
  <c r="AM265" i="4" s="1"/>
  <c r="AM264" i="4"/>
  <c r="AL264" i="4"/>
  <c r="AM263" i="4"/>
  <c r="AL263" i="4"/>
  <c r="AL262" i="4"/>
  <c r="AM262" i="4" s="1"/>
  <c r="AL261" i="4"/>
  <c r="AM261" i="4" s="1"/>
  <c r="AM260" i="4"/>
  <c r="AL260" i="4"/>
  <c r="AM259" i="4"/>
  <c r="AL259" i="4"/>
  <c r="AL258" i="4"/>
  <c r="AM258" i="4" s="1"/>
  <c r="AL257" i="4"/>
  <c r="AM257" i="4" s="1"/>
  <c r="AM256" i="4"/>
  <c r="AL256" i="4"/>
  <c r="AM255" i="4"/>
  <c r="AL255" i="4"/>
  <c r="AL254" i="4"/>
  <c r="AM254" i="4" s="1"/>
  <c r="AL253" i="4"/>
  <c r="AM253" i="4" s="1"/>
  <c r="AM252" i="4"/>
  <c r="AL252" i="4"/>
  <c r="AM251" i="4"/>
  <c r="AL251" i="4"/>
  <c r="AL250" i="4"/>
  <c r="AM250" i="4" s="1"/>
  <c r="AL249" i="4"/>
  <c r="AM249" i="4" s="1"/>
  <c r="AM248" i="4"/>
  <c r="AL248" i="4"/>
  <c r="AM247" i="4"/>
  <c r="AL247" i="4"/>
  <c r="AL246" i="4"/>
  <c r="AM246" i="4" s="1"/>
  <c r="AL245" i="4"/>
  <c r="AM245" i="4" s="1"/>
  <c r="AM244" i="4"/>
  <c r="AL244" i="4"/>
  <c r="AM243" i="4"/>
  <c r="AL243" i="4"/>
  <c r="AL242" i="4"/>
  <c r="AM242" i="4" s="1"/>
  <c r="AM241" i="4"/>
  <c r="AN241" i="4" s="1"/>
  <c r="AL241" i="4"/>
  <c r="AL240" i="4"/>
  <c r="AM240" i="4" s="1"/>
  <c r="AM239" i="4"/>
  <c r="AL239" i="4"/>
  <c r="AM238" i="4"/>
  <c r="AL238" i="4"/>
  <c r="AM237" i="4"/>
  <c r="AL237" i="4"/>
  <c r="AL236" i="4"/>
  <c r="AM236" i="4" s="1"/>
  <c r="AM235" i="4"/>
  <c r="AL235" i="4"/>
  <c r="AM234" i="4"/>
  <c r="AL234" i="4"/>
  <c r="AM233" i="4"/>
  <c r="AL233" i="4"/>
  <c r="AL232" i="4"/>
  <c r="AM232" i="4" s="1"/>
  <c r="AM231" i="4"/>
  <c r="AL231" i="4"/>
  <c r="AM230" i="4"/>
  <c r="AL230" i="4"/>
  <c r="AM229" i="4"/>
  <c r="AL229" i="4"/>
  <c r="AL228" i="4"/>
  <c r="AM228" i="4" s="1"/>
  <c r="AM227" i="4"/>
  <c r="AL227" i="4"/>
  <c r="AM226" i="4"/>
  <c r="AL226" i="4"/>
  <c r="AN225" i="4"/>
  <c r="AM225" i="4"/>
  <c r="AL225" i="4"/>
  <c r="AN224" i="4"/>
  <c r="AM224" i="4"/>
  <c r="AL224" i="4"/>
  <c r="AM223" i="4"/>
  <c r="AL223" i="4"/>
  <c r="AM222" i="4"/>
  <c r="AL222" i="4"/>
  <c r="AL221" i="4"/>
  <c r="AM221" i="4" s="1"/>
  <c r="AM220" i="4"/>
  <c r="AL220" i="4"/>
  <c r="AM219" i="4"/>
  <c r="AL219" i="4"/>
  <c r="AM218" i="4"/>
  <c r="AL218" i="4"/>
  <c r="AL217" i="4"/>
  <c r="AM217" i="4" s="1"/>
  <c r="AM216" i="4"/>
  <c r="AL216" i="4"/>
  <c r="AM215" i="4"/>
  <c r="AL215" i="4"/>
  <c r="AM214" i="4"/>
  <c r="AL214" i="4"/>
  <c r="AL213" i="4"/>
  <c r="AM213" i="4" s="1"/>
  <c r="AM212" i="4"/>
  <c r="AL212" i="4"/>
  <c r="AM211" i="4"/>
  <c r="AL211" i="4"/>
  <c r="AM210" i="4"/>
  <c r="AL210" i="4"/>
  <c r="AL209" i="4"/>
  <c r="AM209" i="4" s="1"/>
  <c r="AM208" i="4"/>
  <c r="AL208" i="4"/>
  <c r="AL207" i="4"/>
  <c r="AM207" i="4" s="1"/>
  <c r="AN207" i="4" s="1"/>
  <c r="AM206" i="4"/>
  <c r="AL206" i="4"/>
  <c r="AM205" i="4"/>
  <c r="AL205" i="4"/>
  <c r="AL204" i="4"/>
  <c r="AM204" i="4" s="1"/>
  <c r="AL203" i="4"/>
  <c r="AM203" i="4" s="1"/>
  <c r="AM202" i="4"/>
  <c r="AL202" i="4"/>
  <c r="AM201" i="4"/>
  <c r="AL201" i="4"/>
  <c r="AL200" i="4"/>
  <c r="AM200" i="4" s="1"/>
  <c r="AL199" i="4"/>
  <c r="AM199" i="4" s="1"/>
  <c r="AM198" i="4"/>
  <c r="AL198" i="4"/>
  <c r="AM197" i="4"/>
  <c r="AL197" i="4"/>
  <c r="AL196" i="4"/>
  <c r="AM196" i="4" s="1"/>
  <c r="AL195" i="4"/>
  <c r="AM195" i="4" s="1"/>
  <c r="AM194" i="4"/>
  <c r="AL194" i="4"/>
  <c r="AM193" i="4"/>
  <c r="AL193" i="4"/>
  <c r="AL192" i="4"/>
  <c r="AM192" i="4" s="1"/>
  <c r="AM191" i="4"/>
  <c r="AN191" i="4" s="1"/>
  <c r="AL191" i="4"/>
  <c r="AM190" i="4"/>
  <c r="AL190" i="4"/>
  <c r="AL189" i="4"/>
  <c r="AM189" i="4" s="1"/>
  <c r="AL188" i="4"/>
  <c r="AM188" i="4" s="1"/>
  <c r="AM187" i="4"/>
  <c r="AL187" i="4"/>
  <c r="AM186" i="4"/>
  <c r="AL186" i="4"/>
  <c r="AL185" i="4"/>
  <c r="AM185" i="4" s="1"/>
  <c r="AL184" i="4"/>
  <c r="AM184" i="4" s="1"/>
  <c r="AM183" i="4"/>
  <c r="AL183" i="4"/>
  <c r="AM182" i="4"/>
  <c r="AL182" i="4"/>
  <c r="AL181" i="4"/>
  <c r="AM181" i="4" s="1"/>
  <c r="AL180" i="4"/>
  <c r="AM180" i="4" s="1"/>
  <c r="AM179" i="4"/>
  <c r="AL179" i="4"/>
  <c r="AM178" i="4"/>
  <c r="AL178" i="4"/>
  <c r="AL177" i="4"/>
  <c r="AM177" i="4" s="1"/>
  <c r="AL176" i="4"/>
  <c r="AM176" i="4" s="1"/>
  <c r="AM175" i="4"/>
  <c r="AL175" i="4"/>
  <c r="AM174" i="4"/>
  <c r="AL174" i="4"/>
  <c r="AL173" i="4"/>
  <c r="AM173" i="4" s="1"/>
  <c r="AL172" i="4"/>
  <c r="AM172" i="4" s="1"/>
  <c r="AM171" i="4"/>
  <c r="AL171" i="4"/>
  <c r="AM170" i="4"/>
  <c r="AL170" i="4"/>
  <c r="AL169" i="4"/>
  <c r="AM169" i="4" s="1"/>
  <c r="AL168" i="4"/>
  <c r="AM168" i="4" s="1"/>
  <c r="AM167" i="4"/>
  <c r="AL167" i="4"/>
  <c r="AM166" i="4"/>
  <c r="AL166" i="4"/>
  <c r="AL165" i="4"/>
  <c r="AM165" i="4" s="1"/>
  <c r="AL164" i="4"/>
  <c r="AM164" i="4" s="1"/>
  <c r="AM163" i="4"/>
  <c r="AL163" i="4"/>
  <c r="AM162" i="4"/>
  <c r="AL162" i="4"/>
  <c r="AL161" i="4"/>
  <c r="AM161" i="4" s="1"/>
  <c r="AL160" i="4"/>
  <c r="AM160" i="4" s="1"/>
  <c r="AM159" i="4"/>
  <c r="AL159" i="4"/>
  <c r="AM158" i="4"/>
  <c r="AL158" i="4"/>
  <c r="AL157" i="4"/>
  <c r="AM157" i="4" s="1"/>
  <c r="AL156" i="4"/>
  <c r="AM156" i="4" s="1"/>
  <c r="AM155" i="4"/>
  <c r="AL155" i="4"/>
  <c r="AM154" i="4"/>
  <c r="AL154" i="4"/>
  <c r="AL153" i="4"/>
  <c r="AM153" i="4" s="1"/>
  <c r="AL152" i="4"/>
  <c r="AM152" i="4" s="1"/>
  <c r="AM151" i="4"/>
  <c r="AL151" i="4"/>
  <c r="AM150" i="4"/>
  <c r="AL150" i="4"/>
  <c r="AL149" i="4"/>
  <c r="AM149" i="4" s="1"/>
  <c r="AL148" i="4"/>
  <c r="AM148" i="4" s="1"/>
  <c r="AM147" i="4"/>
  <c r="AL147" i="4"/>
  <c r="AM146" i="4"/>
  <c r="AL146" i="4"/>
  <c r="AL145" i="4"/>
  <c r="AM145" i="4" s="1"/>
  <c r="AL144" i="4"/>
  <c r="AM144" i="4" s="1"/>
  <c r="AM143" i="4"/>
  <c r="AL143" i="4"/>
  <c r="AM142" i="4"/>
  <c r="AL142" i="4"/>
  <c r="AL141" i="4"/>
  <c r="AM141" i="4" s="1"/>
  <c r="AL140" i="4"/>
  <c r="AM140" i="4" s="1"/>
  <c r="AL139" i="4"/>
  <c r="AM139" i="4" s="1"/>
  <c r="AN139" i="4" s="1"/>
  <c r="AM138" i="4"/>
  <c r="AL138" i="4"/>
  <c r="AM137" i="4"/>
  <c r="AL137" i="4"/>
  <c r="AM136" i="4"/>
  <c r="AL136" i="4"/>
  <c r="AL135" i="4"/>
  <c r="AM135" i="4" s="1"/>
  <c r="AM134" i="4"/>
  <c r="AL134" i="4"/>
  <c r="AM133" i="4"/>
  <c r="AL133" i="4"/>
  <c r="AM132" i="4"/>
  <c r="AL132" i="4"/>
  <c r="AL131" i="4"/>
  <c r="AM131" i="4" s="1"/>
  <c r="AM130" i="4"/>
  <c r="AL130" i="4"/>
  <c r="AM129" i="4"/>
  <c r="AL129" i="4"/>
  <c r="AM128" i="4"/>
  <c r="AL128" i="4"/>
  <c r="AL127" i="4"/>
  <c r="AM127" i="4" s="1"/>
  <c r="AM126" i="4"/>
  <c r="AL126" i="4"/>
  <c r="AM125" i="4"/>
  <c r="AL125" i="4"/>
  <c r="AM124" i="4"/>
  <c r="AL124" i="4"/>
  <c r="AM123" i="4"/>
  <c r="AN123" i="4" s="1"/>
  <c r="AL123" i="4"/>
  <c r="AM122" i="4"/>
  <c r="AN122" i="4" s="1"/>
  <c r="AL122" i="4"/>
  <c r="AN121" i="4"/>
  <c r="AM121" i="4"/>
  <c r="AL121" i="4"/>
  <c r="AM120" i="4"/>
  <c r="AL120" i="4"/>
  <c r="AL119" i="4"/>
  <c r="AM119" i="4" s="1"/>
  <c r="AL118" i="4"/>
  <c r="AM118" i="4" s="1"/>
  <c r="AM117" i="4"/>
  <c r="AL117" i="4"/>
  <c r="AM116" i="4"/>
  <c r="AL116" i="4"/>
  <c r="AL115" i="4"/>
  <c r="AM115" i="4" s="1"/>
  <c r="AL114" i="4"/>
  <c r="AM114" i="4" s="1"/>
  <c r="AM113" i="4"/>
  <c r="AL113" i="4"/>
  <c r="AM112" i="4"/>
  <c r="AL112" i="4"/>
  <c r="AL111" i="4"/>
  <c r="AM111" i="4" s="1"/>
  <c r="AL110" i="4"/>
  <c r="AM110" i="4" s="1"/>
  <c r="AM109" i="4"/>
  <c r="AL109" i="4"/>
  <c r="AM108" i="4"/>
  <c r="AL108" i="4"/>
  <c r="AL107" i="4"/>
  <c r="AM107" i="4" s="1"/>
  <c r="AL106" i="4"/>
  <c r="AM106" i="4" s="1"/>
  <c r="AM105" i="4"/>
  <c r="AL105" i="4"/>
  <c r="AM104" i="4"/>
  <c r="AL104" i="4"/>
  <c r="AL103" i="4"/>
  <c r="AM103" i="4" s="1"/>
  <c r="AL102" i="4"/>
  <c r="AM102" i="4" s="1"/>
  <c r="AM101" i="4"/>
  <c r="AL101" i="4"/>
  <c r="AL100" i="4"/>
  <c r="AM100" i="4" s="1"/>
  <c r="AL99" i="4"/>
  <c r="AM99" i="4" s="1"/>
  <c r="AL98" i="4"/>
  <c r="AM98" i="4" s="1"/>
  <c r="AM97" i="4"/>
  <c r="AL97" i="4"/>
  <c r="AL96" i="4"/>
  <c r="AM96" i="4" s="1"/>
  <c r="AL95" i="4"/>
  <c r="AM95" i="4" s="1"/>
  <c r="AL94" i="4"/>
  <c r="AM94" i="4" s="1"/>
  <c r="AM93" i="4"/>
  <c r="AL93" i="4"/>
  <c r="AL92" i="4"/>
  <c r="AM92" i="4" s="1"/>
  <c r="AL91" i="4"/>
  <c r="AM91" i="4" s="1"/>
  <c r="AL90" i="4"/>
  <c r="AM90" i="4" s="1"/>
  <c r="AL89" i="4"/>
  <c r="AM89" i="4" s="1"/>
  <c r="AL88" i="4"/>
  <c r="AM88" i="4" s="1"/>
  <c r="AL87" i="4"/>
  <c r="AM87" i="4" s="1"/>
  <c r="AL86" i="4"/>
  <c r="AM86" i="4" s="1"/>
  <c r="AL85" i="4"/>
  <c r="AM85" i="4" s="1"/>
  <c r="AL84" i="4"/>
  <c r="AM84" i="4" s="1"/>
  <c r="AL83" i="4"/>
  <c r="AM83" i="4" s="1"/>
  <c r="AL82" i="4"/>
  <c r="AM82" i="4" s="1"/>
  <c r="AL81" i="4"/>
  <c r="AM81" i="4" s="1"/>
  <c r="AL80" i="4"/>
  <c r="AM80" i="4" s="1"/>
  <c r="AL79" i="4"/>
  <c r="AM79" i="4" s="1"/>
  <c r="AL78" i="4"/>
  <c r="AM78" i="4" s="1"/>
  <c r="AL77" i="4"/>
  <c r="AM77" i="4" s="1"/>
  <c r="AL76" i="4"/>
  <c r="AM76" i="4" s="1"/>
  <c r="AL75" i="4"/>
  <c r="AM75" i="4" s="1"/>
  <c r="AL74" i="4"/>
  <c r="AM74" i="4" s="1"/>
  <c r="AL73" i="4"/>
  <c r="AM73" i="4" s="1"/>
  <c r="AL72" i="4"/>
  <c r="AM72" i="4" s="1"/>
  <c r="AL71" i="4"/>
  <c r="AM71" i="4" s="1"/>
  <c r="AL70" i="4"/>
  <c r="AM70" i="4" s="1"/>
  <c r="AL69" i="4"/>
  <c r="AM69" i="4" s="1"/>
  <c r="AL68" i="4"/>
  <c r="AM68" i="4" s="1"/>
  <c r="AL67" i="4"/>
  <c r="AM67" i="4" s="1"/>
  <c r="AL66" i="4"/>
  <c r="AM66" i="4" s="1"/>
  <c r="AL65" i="4"/>
  <c r="AM65" i="4" s="1"/>
  <c r="AL64" i="4"/>
  <c r="AM64" i="4" s="1"/>
  <c r="AL63" i="4"/>
  <c r="AM63" i="4" s="1"/>
  <c r="AL62" i="4"/>
  <c r="AM62" i="4" s="1"/>
  <c r="AL61" i="4"/>
  <c r="AM61" i="4" s="1"/>
  <c r="AL60" i="4"/>
  <c r="AM60" i="4" s="1"/>
  <c r="AL59" i="4"/>
  <c r="AM59" i="4" s="1"/>
  <c r="AL58" i="4"/>
  <c r="AM58" i="4" s="1"/>
  <c r="AL57" i="4"/>
  <c r="AM57" i="4" s="1"/>
  <c r="AL56" i="4"/>
  <c r="AM56" i="4" s="1"/>
  <c r="AL55" i="4"/>
  <c r="AM55" i="4" s="1"/>
  <c r="AL54" i="4"/>
  <c r="AM54" i="4" s="1"/>
  <c r="AL53" i="4"/>
  <c r="AM53" i="4" s="1"/>
  <c r="AL52" i="4"/>
  <c r="AM52" i="4" s="1"/>
  <c r="AL51" i="4"/>
  <c r="AM51" i="4" s="1"/>
  <c r="AL50" i="4"/>
  <c r="AM50" i="4" s="1"/>
  <c r="AL49" i="4"/>
  <c r="AM49" i="4" s="1"/>
  <c r="AL48" i="4"/>
  <c r="AM48" i="4" s="1"/>
  <c r="AL47" i="4"/>
  <c r="AM47" i="4" s="1"/>
  <c r="AL46" i="4"/>
  <c r="AM46" i="4" s="1"/>
  <c r="AL45" i="4"/>
  <c r="AM45" i="4" s="1"/>
  <c r="AL44" i="4"/>
  <c r="AM44" i="4" s="1"/>
  <c r="AL43" i="4"/>
  <c r="AM43" i="4" s="1"/>
  <c r="AL42" i="4"/>
  <c r="AM42" i="4" s="1"/>
  <c r="AL41" i="4"/>
  <c r="AM41" i="4" s="1"/>
  <c r="AL40" i="4"/>
  <c r="AM40" i="4" s="1"/>
  <c r="AL39" i="4"/>
  <c r="AM39" i="4" s="1"/>
  <c r="AL38" i="4"/>
  <c r="AM38" i="4" s="1"/>
  <c r="AL37" i="4"/>
  <c r="AM37" i="4" s="1"/>
  <c r="AL36" i="4"/>
  <c r="AM36" i="4" s="1"/>
  <c r="AL35" i="4"/>
  <c r="AM35" i="4" s="1"/>
  <c r="AL34" i="4"/>
  <c r="AM34" i="4" s="1"/>
  <c r="AL33" i="4"/>
  <c r="AM33" i="4" s="1"/>
  <c r="AL32" i="4"/>
  <c r="AM32" i="4" s="1"/>
  <c r="AL31" i="4"/>
  <c r="AM31" i="4" s="1"/>
  <c r="AL30" i="4"/>
  <c r="AM30" i="4" s="1"/>
  <c r="AL29" i="4"/>
  <c r="AM29" i="4" s="1"/>
  <c r="AL28" i="4"/>
  <c r="AM28" i="4" s="1"/>
  <c r="AL27" i="4"/>
  <c r="AM27" i="4" s="1"/>
  <c r="AL26" i="4"/>
  <c r="AM26" i="4" s="1"/>
  <c r="AL25" i="4"/>
  <c r="AM25" i="4" s="1"/>
  <c r="AM24" i="4"/>
  <c r="AL24" i="4"/>
  <c r="AM23" i="4"/>
  <c r="AL23" i="4"/>
  <c r="AM22" i="4"/>
  <c r="AL22" i="4"/>
  <c r="AL21" i="4"/>
  <c r="AM21" i="4" s="1"/>
  <c r="AN21" i="4" s="1"/>
  <c r="AM20" i="4"/>
  <c r="AN20" i="4" s="1"/>
  <c r="AL20" i="4"/>
  <c r="AM19" i="4"/>
  <c r="AL19" i="4"/>
  <c r="AM18" i="4"/>
  <c r="AL18" i="4"/>
  <c r="AM17" i="4"/>
  <c r="AL17" i="4"/>
  <c r="AM16" i="4"/>
  <c r="AL16" i="4"/>
  <c r="AM15" i="4"/>
  <c r="AL15" i="4"/>
  <c r="AM14" i="4"/>
  <c r="AL14" i="4"/>
  <c r="AM13" i="4"/>
  <c r="AL13" i="4"/>
  <c r="AM12" i="4"/>
  <c r="AL12" i="4"/>
  <c r="AM11" i="4"/>
  <c r="AL11" i="4"/>
  <c r="AM10" i="4"/>
  <c r="AL10" i="4"/>
  <c r="AM9" i="4"/>
  <c r="AL9" i="4"/>
  <c r="AM8" i="4"/>
  <c r="AL8" i="4"/>
  <c r="AM7" i="4"/>
  <c r="AL7" i="4"/>
  <c r="AM6" i="4"/>
  <c r="AL6" i="4"/>
  <c r="FG38" i="1" l="1"/>
  <c r="AN190" i="4"/>
  <c r="AN24" i="4"/>
  <c r="R12" i="1"/>
  <c r="T12" i="1"/>
  <c r="U12" i="1"/>
  <c r="R10" i="1"/>
  <c r="S10" i="1"/>
  <c r="T10" i="1"/>
  <c r="U10" i="1"/>
  <c r="Q7" i="1"/>
  <c r="Q8" i="1"/>
  <c r="Q9" i="1"/>
  <c r="Q11" i="1"/>
  <c r="Q12" i="1"/>
  <c r="Q14" i="1"/>
  <c r="Q15" i="1"/>
  <c r="Q16" i="1"/>
  <c r="Q17" i="1"/>
  <c r="Q19" i="1"/>
  <c r="Q20" i="1"/>
  <c r="Q21" i="1"/>
  <c r="Q22" i="1"/>
  <c r="Q25" i="1"/>
  <c r="Q29" i="1"/>
  <c r="Q34" i="1"/>
  <c r="Q37" i="1"/>
  <c r="L12" i="1"/>
  <c r="K7" i="1"/>
  <c r="U7" i="1" s="1"/>
  <c r="K8" i="1"/>
  <c r="U8" i="1" s="1"/>
  <c r="K9" i="1"/>
  <c r="U9" i="1" s="1"/>
  <c r="K11" i="1"/>
  <c r="U11" i="1" s="1"/>
  <c r="K14" i="1"/>
  <c r="U14" i="1" s="1"/>
  <c r="K15" i="1"/>
  <c r="U15" i="1" s="1"/>
  <c r="U16" i="1"/>
  <c r="K17" i="1"/>
  <c r="U17" i="1" s="1"/>
  <c r="U18" i="1"/>
  <c r="K19" i="1"/>
  <c r="U19" i="1" s="1"/>
  <c r="K20" i="1"/>
  <c r="U20" i="1" s="1"/>
  <c r="K21" i="1"/>
  <c r="U21" i="1" s="1"/>
  <c r="K22" i="1"/>
  <c r="U22" i="1" s="1"/>
  <c r="K23" i="1"/>
  <c r="U23" i="1" s="1"/>
  <c r="K25" i="1"/>
  <c r="U25" i="1" s="1"/>
  <c r="K27" i="1"/>
  <c r="U27" i="1" s="1"/>
  <c r="K29" i="1"/>
  <c r="U29" i="1" s="1"/>
  <c r="U34" i="1"/>
  <c r="K37" i="1"/>
  <c r="U37" i="1" s="1"/>
  <c r="K44" i="1"/>
  <c r="U44" i="1" s="1"/>
  <c r="K45" i="1"/>
  <c r="U45" i="1" s="1"/>
  <c r="J7" i="1"/>
  <c r="T7" i="1" s="1"/>
  <c r="J8" i="1"/>
  <c r="T8" i="1" s="1"/>
  <c r="J9" i="1"/>
  <c r="T9" i="1" s="1"/>
  <c r="J11" i="1"/>
  <c r="T11" i="1" s="1"/>
  <c r="J14" i="1"/>
  <c r="T14" i="1" s="1"/>
  <c r="J15" i="1"/>
  <c r="T15" i="1" s="1"/>
  <c r="T16" i="1"/>
  <c r="J17" i="1"/>
  <c r="T17" i="1" s="1"/>
  <c r="T18" i="1"/>
  <c r="J19" i="1"/>
  <c r="T19" i="1" s="1"/>
  <c r="J20" i="1"/>
  <c r="T20" i="1" s="1"/>
  <c r="J21" i="1"/>
  <c r="T21" i="1" s="1"/>
  <c r="J22" i="1"/>
  <c r="T22" i="1" s="1"/>
  <c r="J23" i="1"/>
  <c r="T23" i="1" s="1"/>
  <c r="J25" i="1"/>
  <c r="T25" i="1" s="1"/>
  <c r="J27" i="1"/>
  <c r="T27" i="1" s="1"/>
  <c r="J29" i="1"/>
  <c r="T29" i="1" s="1"/>
  <c r="T34" i="1"/>
  <c r="T37" i="1"/>
  <c r="J39" i="1"/>
  <c r="T39" i="1" s="1"/>
  <c r="J44" i="1"/>
  <c r="T44" i="1" s="1"/>
  <c r="J45" i="1"/>
  <c r="T45" i="1" s="1"/>
  <c r="I23" i="1"/>
  <c r="S23" i="1" s="1"/>
  <c r="I25" i="1"/>
  <c r="S25" i="1" s="1"/>
  <c r="I27" i="1"/>
  <c r="S27" i="1" s="1"/>
  <c r="I29" i="1"/>
  <c r="S29" i="1" s="1"/>
  <c r="S34" i="1"/>
  <c r="S37" i="1"/>
  <c r="I39" i="1"/>
  <c r="S39" i="1" s="1"/>
  <c r="I44" i="1"/>
  <c r="S44" i="1" s="1"/>
  <c r="I45" i="1"/>
  <c r="S45" i="1" s="1"/>
  <c r="I7" i="1"/>
  <c r="S7" i="1" s="1"/>
  <c r="I8" i="1"/>
  <c r="S8" i="1" s="1"/>
  <c r="I9" i="1"/>
  <c r="S9" i="1" s="1"/>
  <c r="I11" i="1"/>
  <c r="S11" i="1" s="1"/>
  <c r="I14" i="1"/>
  <c r="S14" i="1" s="1"/>
  <c r="I15" i="1"/>
  <c r="S15" i="1" s="1"/>
  <c r="S16" i="1"/>
  <c r="I17" i="1"/>
  <c r="S17" i="1" s="1"/>
  <c r="S18" i="1"/>
  <c r="I19" i="1"/>
  <c r="S19" i="1" s="1"/>
  <c r="I20" i="1"/>
  <c r="S20" i="1" s="1"/>
  <c r="I21" i="1"/>
  <c r="S21" i="1" s="1"/>
  <c r="I22" i="1"/>
  <c r="S22" i="1" s="1"/>
  <c r="H7" i="1"/>
  <c r="R7" i="1" s="1"/>
  <c r="H8" i="1"/>
  <c r="R8" i="1" s="1"/>
  <c r="H9" i="1"/>
  <c r="R9" i="1" s="1"/>
  <c r="H11" i="1"/>
  <c r="R11" i="1" s="1"/>
  <c r="R13" i="1"/>
  <c r="H14" i="1"/>
  <c r="R14" i="1" s="1"/>
  <c r="H15" i="1"/>
  <c r="R15" i="1" s="1"/>
  <c r="R16" i="1"/>
  <c r="H17" i="1"/>
  <c r="R17" i="1" s="1"/>
  <c r="R18" i="1"/>
  <c r="H19" i="1"/>
  <c r="R19" i="1" s="1"/>
  <c r="H20" i="1"/>
  <c r="R20" i="1" s="1"/>
  <c r="H21" i="1"/>
  <c r="R21" i="1" s="1"/>
  <c r="H22" i="1"/>
  <c r="R22" i="1" s="1"/>
  <c r="H23" i="1"/>
  <c r="R23" i="1" s="1"/>
  <c r="H25" i="1"/>
  <c r="R25" i="1" s="1"/>
  <c r="R26" i="1"/>
  <c r="H27" i="1"/>
  <c r="R27" i="1" s="1"/>
  <c r="H29" i="1"/>
  <c r="R29" i="1" s="1"/>
  <c r="R37" i="1"/>
  <c r="H39" i="1"/>
  <c r="H44" i="1"/>
  <c r="H45" i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H5" i="2"/>
  <c r="H4" i="2"/>
  <c r="H3" i="2"/>
  <c r="FJ38" i="1" l="1"/>
  <c r="FK38" i="1" s="1"/>
  <c r="V34" i="1"/>
  <c r="W34" i="1" s="1"/>
  <c r="V35" i="1"/>
  <c r="W35" i="1" s="1"/>
  <c r="V36" i="1"/>
  <c r="W36" i="1" s="1"/>
  <c r="W37" i="1"/>
  <c r="W22" i="1"/>
  <c r="W18" i="1"/>
  <c r="W14" i="1"/>
  <c r="W9" i="1"/>
  <c r="W19" i="1"/>
  <c r="W15" i="1"/>
  <c r="W11" i="1"/>
  <c r="W29" i="1"/>
  <c r="W26" i="1"/>
  <c r="W21" i="1"/>
  <c r="W17" i="1"/>
  <c r="W13" i="1"/>
  <c r="W8" i="1"/>
  <c r="W10" i="1"/>
  <c r="W12" i="1"/>
  <c r="W25" i="1"/>
  <c r="W20" i="1"/>
  <c r="W16" i="1"/>
  <c r="W7" i="1"/>
  <c r="R39" i="1"/>
  <c r="W39" i="1" s="1"/>
  <c r="L39" i="1"/>
  <c r="R44" i="1"/>
  <c r="W44" i="1" s="1"/>
  <c r="L44" i="1"/>
  <c r="L37" i="1"/>
  <c r="L45" i="1"/>
  <c r="R45" i="1"/>
  <c r="W45" i="1" s="1"/>
  <c r="L34" i="1"/>
  <c r="L14" i="1"/>
  <c r="L29" i="1"/>
  <c r="L26" i="1"/>
  <c r="L25" i="1"/>
  <c r="L7" i="1"/>
  <c r="L8" i="1"/>
  <c r="L9" i="1"/>
  <c r="L10" i="1"/>
  <c r="L11" i="1"/>
  <c r="L13" i="1"/>
  <c r="L15" i="1"/>
  <c r="L16" i="1"/>
  <c r="L17" i="1"/>
  <c r="L18" i="1"/>
  <c r="L19" i="1"/>
  <c r="L20" i="1"/>
  <c r="L21" i="1"/>
  <c r="L22" i="1"/>
  <c r="BC45" i="1" l="1"/>
  <c r="CW45" i="1" s="1"/>
  <c r="EQ45" i="1" s="1"/>
  <c r="BK45" i="1"/>
  <c r="DE45" i="1" s="1"/>
  <c r="EY45" i="1" s="1"/>
  <c r="BD45" i="1"/>
  <c r="CX45" i="1" s="1"/>
  <c r="ER45" i="1" s="1"/>
  <c r="BL45" i="1"/>
  <c r="DF45" i="1" s="1"/>
  <c r="EZ45" i="1" s="1"/>
  <c r="BE45" i="1"/>
  <c r="CY45" i="1" s="1"/>
  <c r="ES45" i="1" s="1"/>
  <c r="BM45" i="1"/>
  <c r="DG45" i="1" s="1"/>
  <c r="FA45" i="1" s="1"/>
  <c r="BF45" i="1"/>
  <c r="CZ45" i="1" s="1"/>
  <c r="ET45" i="1" s="1"/>
  <c r="BN45" i="1"/>
  <c r="DH45" i="1" s="1"/>
  <c r="FB45" i="1" s="1"/>
  <c r="BA45" i="1"/>
  <c r="CU45" i="1" s="1"/>
  <c r="EO45" i="1" s="1"/>
  <c r="BI45" i="1"/>
  <c r="DC45" i="1" s="1"/>
  <c r="EW45" i="1" s="1"/>
  <c r="BQ45" i="1"/>
  <c r="DK45" i="1" s="1"/>
  <c r="FE45" i="1" s="1"/>
  <c r="AY45" i="1"/>
  <c r="CS45" i="1" s="1"/>
  <c r="EM45" i="1" s="1"/>
  <c r="BR45" i="1"/>
  <c r="DL45" i="1" s="1"/>
  <c r="FF45" i="1" s="1"/>
  <c r="BH45" i="1"/>
  <c r="DB45" i="1" s="1"/>
  <c r="EV45" i="1" s="1"/>
  <c r="BJ45" i="1"/>
  <c r="DD45" i="1" s="1"/>
  <c r="EX45" i="1" s="1"/>
  <c r="BO45" i="1"/>
  <c r="DI45" i="1" s="1"/>
  <c r="FC45" i="1" s="1"/>
  <c r="AZ45" i="1"/>
  <c r="CT45" i="1" s="1"/>
  <c r="EN45" i="1" s="1"/>
  <c r="BB45" i="1"/>
  <c r="CV45" i="1" s="1"/>
  <c r="EP45" i="1" s="1"/>
  <c r="BG45" i="1"/>
  <c r="DA45" i="1" s="1"/>
  <c r="EU45" i="1" s="1"/>
  <c r="BP45" i="1"/>
  <c r="DJ45" i="1" s="1"/>
  <c r="FD45" i="1" s="1"/>
  <c r="BB21" i="1"/>
  <c r="CV21" i="1" s="1"/>
  <c r="EP21" i="1" s="1"/>
  <c r="BJ21" i="1"/>
  <c r="DD21" i="1" s="1"/>
  <c r="EX21" i="1" s="1"/>
  <c r="BR21" i="1"/>
  <c r="DL21" i="1" s="1"/>
  <c r="FF21" i="1" s="1"/>
  <c r="BC21" i="1"/>
  <c r="CW21" i="1" s="1"/>
  <c r="EQ21" i="1" s="1"/>
  <c r="BK21" i="1"/>
  <c r="DE21" i="1" s="1"/>
  <c r="EY21" i="1" s="1"/>
  <c r="BD21" i="1"/>
  <c r="CX21" i="1" s="1"/>
  <c r="ER21" i="1" s="1"/>
  <c r="BL21" i="1"/>
  <c r="DF21" i="1" s="1"/>
  <c r="EZ21" i="1" s="1"/>
  <c r="BE21" i="1"/>
  <c r="CY21" i="1" s="1"/>
  <c r="ES21" i="1" s="1"/>
  <c r="BM21" i="1"/>
  <c r="DG21" i="1" s="1"/>
  <c r="FA21" i="1" s="1"/>
  <c r="BF21" i="1"/>
  <c r="CZ21" i="1" s="1"/>
  <c r="ET21" i="1" s="1"/>
  <c r="BN21" i="1"/>
  <c r="DH21" i="1" s="1"/>
  <c r="FB21" i="1" s="1"/>
  <c r="BA21" i="1"/>
  <c r="CU21" i="1" s="1"/>
  <c r="EO21" i="1" s="1"/>
  <c r="BI21" i="1"/>
  <c r="DC21" i="1" s="1"/>
  <c r="EW21" i="1" s="1"/>
  <c r="BQ21" i="1"/>
  <c r="DK21" i="1" s="1"/>
  <c r="FE21" i="1" s="1"/>
  <c r="BO21" i="1"/>
  <c r="DI21" i="1" s="1"/>
  <c r="FC21" i="1" s="1"/>
  <c r="AZ21" i="1"/>
  <c r="CT21" i="1" s="1"/>
  <c r="EN21" i="1" s="1"/>
  <c r="BP21" i="1"/>
  <c r="DJ21" i="1" s="1"/>
  <c r="FD21" i="1" s="1"/>
  <c r="AY21" i="1"/>
  <c r="CS21" i="1" s="1"/>
  <c r="EM21" i="1" s="1"/>
  <c r="BG21" i="1"/>
  <c r="DA21" i="1" s="1"/>
  <c r="EU21" i="1" s="1"/>
  <c r="BH21" i="1"/>
  <c r="DB21" i="1" s="1"/>
  <c r="EV21" i="1" s="1"/>
  <c r="BF20" i="1"/>
  <c r="CZ20" i="1" s="1"/>
  <c r="ET20" i="1" s="1"/>
  <c r="BN20" i="1"/>
  <c r="DH20" i="1" s="1"/>
  <c r="FB20" i="1" s="1"/>
  <c r="AY20" i="1"/>
  <c r="CS20" i="1" s="1"/>
  <c r="EM20" i="1" s="1"/>
  <c r="BG20" i="1"/>
  <c r="DA20" i="1" s="1"/>
  <c r="EU20" i="1" s="1"/>
  <c r="BO20" i="1"/>
  <c r="DI20" i="1" s="1"/>
  <c r="FC20" i="1" s="1"/>
  <c r="AZ20" i="1"/>
  <c r="CT20" i="1" s="1"/>
  <c r="EN20" i="1" s="1"/>
  <c r="BH20" i="1"/>
  <c r="DB20" i="1" s="1"/>
  <c r="EV20" i="1" s="1"/>
  <c r="BP20" i="1"/>
  <c r="DJ20" i="1" s="1"/>
  <c r="FD20" i="1" s="1"/>
  <c r="BA20" i="1"/>
  <c r="CU20" i="1" s="1"/>
  <c r="EO20" i="1" s="1"/>
  <c r="BI20" i="1"/>
  <c r="DC20" i="1" s="1"/>
  <c r="EW20" i="1" s="1"/>
  <c r="BQ20" i="1"/>
  <c r="DK20" i="1" s="1"/>
  <c r="FE20" i="1" s="1"/>
  <c r="BB20" i="1"/>
  <c r="CV20" i="1" s="1"/>
  <c r="EP20" i="1" s="1"/>
  <c r="BJ20" i="1"/>
  <c r="DD20" i="1" s="1"/>
  <c r="EX20" i="1" s="1"/>
  <c r="BR20" i="1"/>
  <c r="DL20" i="1" s="1"/>
  <c r="FF20" i="1" s="1"/>
  <c r="BE20" i="1"/>
  <c r="CY20" i="1" s="1"/>
  <c r="ES20" i="1" s="1"/>
  <c r="BM20" i="1"/>
  <c r="DG20" i="1" s="1"/>
  <c r="FA20" i="1" s="1"/>
  <c r="BC20" i="1"/>
  <c r="CW20" i="1" s="1"/>
  <c r="EQ20" i="1" s="1"/>
  <c r="BD20" i="1"/>
  <c r="CX20" i="1" s="1"/>
  <c r="ER20" i="1" s="1"/>
  <c r="BK20" i="1"/>
  <c r="DE20" i="1" s="1"/>
  <c r="EY20" i="1" s="1"/>
  <c r="BL20" i="1"/>
  <c r="DF20" i="1" s="1"/>
  <c r="EZ20" i="1" s="1"/>
  <c r="BF22" i="1"/>
  <c r="CZ22" i="1" s="1"/>
  <c r="ET22" i="1" s="1"/>
  <c r="BN22" i="1"/>
  <c r="DH22" i="1" s="1"/>
  <c r="FB22" i="1" s="1"/>
  <c r="AY22" i="1"/>
  <c r="CS22" i="1" s="1"/>
  <c r="EM22" i="1" s="1"/>
  <c r="BG22" i="1"/>
  <c r="DA22" i="1" s="1"/>
  <c r="EU22" i="1" s="1"/>
  <c r="BO22" i="1"/>
  <c r="DI22" i="1" s="1"/>
  <c r="FC22" i="1" s="1"/>
  <c r="AZ22" i="1"/>
  <c r="CT22" i="1" s="1"/>
  <c r="EN22" i="1" s="1"/>
  <c r="BH22" i="1"/>
  <c r="DB22" i="1" s="1"/>
  <c r="EV22" i="1" s="1"/>
  <c r="BP22" i="1"/>
  <c r="DJ22" i="1" s="1"/>
  <c r="FD22" i="1" s="1"/>
  <c r="BA22" i="1"/>
  <c r="CU22" i="1" s="1"/>
  <c r="EO22" i="1" s="1"/>
  <c r="BI22" i="1"/>
  <c r="DC22" i="1" s="1"/>
  <c r="EW22" i="1" s="1"/>
  <c r="BQ22" i="1"/>
  <c r="DK22" i="1" s="1"/>
  <c r="FE22" i="1" s="1"/>
  <c r="BB22" i="1"/>
  <c r="CV22" i="1" s="1"/>
  <c r="EP22" i="1" s="1"/>
  <c r="BJ22" i="1"/>
  <c r="DD22" i="1" s="1"/>
  <c r="EX22" i="1" s="1"/>
  <c r="BR22" i="1"/>
  <c r="DL22" i="1" s="1"/>
  <c r="FF22" i="1" s="1"/>
  <c r="BE22" i="1"/>
  <c r="CY22" i="1" s="1"/>
  <c r="ES22" i="1" s="1"/>
  <c r="BM22" i="1"/>
  <c r="DG22" i="1" s="1"/>
  <c r="FA22" i="1" s="1"/>
  <c r="BK22" i="1"/>
  <c r="DE22" i="1" s="1"/>
  <c r="EY22" i="1" s="1"/>
  <c r="BL22" i="1"/>
  <c r="DF22" i="1" s="1"/>
  <c r="EZ22" i="1" s="1"/>
  <c r="BC22" i="1"/>
  <c r="CW22" i="1" s="1"/>
  <c r="EQ22" i="1" s="1"/>
  <c r="BD22" i="1"/>
  <c r="CX22" i="1" s="1"/>
  <c r="ER22" i="1" s="1"/>
  <c r="BB37" i="1"/>
  <c r="CV37" i="1" s="1"/>
  <c r="EP37" i="1" s="1"/>
  <c r="BJ37" i="1"/>
  <c r="DD37" i="1" s="1"/>
  <c r="EX37" i="1" s="1"/>
  <c r="BR37" i="1"/>
  <c r="DL37" i="1" s="1"/>
  <c r="FF37" i="1" s="1"/>
  <c r="BC37" i="1"/>
  <c r="CW37" i="1" s="1"/>
  <c r="EQ37" i="1" s="1"/>
  <c r="BK37" i="1"/>
  <c r="DE37" i="1" s="1"/>
  <c r="EY37" i="1" s="1"/>
  <c r="BD37" i="1"/>
  <c r="CX37" i="1" s="1"/>
  <c r="ER37" i="1" s="1"/>
  <c r="BL37" i="1"/>
  <c r="DF37" i="1" s="1"/>
  <c r="EZ37" i="1" s="1"/>
  <c r="BE37" i="1"/>
  <c r="CY37" i="1" s="1"/>
  <c r="ES37" i="1" s="1"/>
  <c r="BM37" i="1"/>
  <c r="DG37" i="1" s="1"/>
  <c r="FA37" i="1" s="1"/>
  <c r="BF37" i="1"/>
  <c r="CZ37" i="1" s="1"/>
  <c r="ET37" i="1" s="1"/>
  <c r="BN37" i="1"/>
  <c r="DH37" i="1" s="1"/>
  <c r="FB37" i="1" s="1"/>
  <c r="BA37" i="1"/>
  <c r="CU37" i="1" s="1"/>
  <c r="EO37" i="1" s="1"/>
  <c r="BI37" i="1"/>
  <c r="DC37" i="1" s="1"/>
  <c r="EW37" i="1" s="1"/>
  <c r="BQ37" i="1"/>
  <c r="DK37" i="1" s="1"/>
  <c r="FE37" i="1" s="1"/>
  <c r="AY37" i="1"/>
  <c r="CS37" i="1" s="1"/>
  <c r="EM37" i="1" s="1"/>
  <c r="BO37" i="1"/>
  <c r="DI37" i="1" s="1"/>
  <c r="FC37" i="1" s="1"/>
  <c r="AZ37" i="1"/>
  <c r="CT37" i="1" s="1"/>
  <c r="EN37" i="1" s="1"/>
  <c r="BG37" i="1"/>
  <c r="DA37" i="1" s="1"/>
  <c r="EU37" i="1" s="1"/>
  <c r="BP37" i="1"/>
  <c r="DJ37" i="1" s="1"/>
  <c r="FD37" i="1" s="1"/>
  <c r="BH37" i="1"/>
  <c r="DB37" i="1" s="1"/>
  <c r="EV37" i="1" s="1"/>
  <c r="BF7" i="1"/>
  <c r="CZ7" i="1" s="1"/>
  <c r="ET7" i="1" s="1"/>
  <c r="BN7" i="1"/>
  <c r="DH7" i="1" s="1"/>
  <c r="FB7" i="1" s="1"/>
  <c r="AY7" i="1"/>
  <c r="CS7" i="1" s="1"/>
  <c r="EM7" i="1" s="1"/>
  <c r="BG7" i="1"/>
  <c r="DA7" i="1" s="1"/>
  <c r="EU7" i="1" s="1"/>
  <c r="BO7" i="1"/>
  <c r="DI7" i="1" s="1"/>
  <c r="FC7" i="1" s="1"/>
  <c r="AZ7" i="1"/>
  <c r="CT7" i="1" s="1"/>
  <c r="EN7" i="1" s="1"/>
  <c r="BH7" i="1"/>
  <c r="DB7" i="1" s="1"/>
  <c r="EV7" i="1" s="1"/>
  <c r="BP7" i="1"/>
  <c r="DJ7" i="1" s="1"/>
  <c r="FD7" i="1" s="1"/>
  <c r="BA7" i="1"/>
  <c r="CU7" i="1" s="1"/>
  <c r="EO7" i="1" s="1"/>
  <c r="BI7" i="1"/>
  <c r="DC7" i="1" s="1"/>
  <c r="EW7" i="1" s="1"/>
  <c r="BQ7" i="1"/>
  <c r="DK7" i="1" s="1"/>
  <c r="FE7" i="1" s="1"/>
  <c r="BB7" i="1"/>
  <c r="CV7" i="1" s="1"/>
  <c r="EP7" i="1" s="1"/>
  <c r="BJ7" i="1"/>
  <c r="DD7" i="1" s="1"/>
  <c r="EX7" i="1" s="1"/>
  <c r="BR7" i="1"/>
  <c r="DL7" i="1" s="1"/>
  <c r="FF7" i="1" s="1"/>
  <c r="BE7" i="1"/>
  <c r="CY7" i="1" s="1"/>
  <c r="ES7" i="1" s="1"/>
  <c r="BM7" i="1"/>
  <c r="DG7" i="1" s="1"/>
  <c r="FA7" i="1" s="1"/>
  <c r="BK7" i="1"/>
  <c r="DE7" i="1" s="1"/>
  <c r="EY7" i="1" s="1"/>
  <c r="BL7" i="1"/>
  <c r="DF7" i="1" s="1"/>
  <c r="EZ7" i="1" s="1"/>
  <c r="BC7" i="1"/>
  <c r="CW7" i="1" s="1"/>
  <c r="EQ7" i="1" s="1"/>
  <c r="BD7" i="1"/>
  <c r="CX7" i="1" s="1"/>
  <c r="ER7" i="1" s="1"/>
  <c r="BB29" i="1"/>
  <c r="CV29" i="1" s="1"/>
  <c r="EP29" i="1" s="1"/>
  <c r="BJ29" i="1"/>
  <c r="DD29" i="1" s="1"/>
  <c r="EX29" i="1" s="1"/>
  <c r="BR29" i="1"/>
  <c r="DL29" i="1" s="1"/>
  <c r="FF29" i="1" s="1"/>
  <c r="BC29" i="1"/>
  <c r="CW29" i="1" s="1"/>
  <c r="EQ29" i="1" s="1"/>
  <c r="BK29" i="1"/>
  <c r="DE29" i="1" s="1"/>
  <c r="EY29" i="1" s="1"/>
  <c r="BD29" i="1"/>
  <c r="CX29" i="1" s="1"/>
  <c r="ER29" i="1" s="1"/>
  <c r="BL29" i="1"/>
  <c r="DF29" i="1" s="1"/>
  <c r="EZ29" i="1" s="1"/>
  <c r="BE29" i="1"/>
  <c r="CY29" i="1" s="1"/>
  <c r="ES29" i="1" s="1"/>
  <c r="BM29" i="1"/>
  <c r="DG29" i="1" s="1"/>
  <c r="FA29" i="1" s="1"/>
  <c r="BF29" i="1"/>
  <c r="CZ29" i="1" s="1"/>
  <c r="ET29" i="1" s="1"/>
  <c r="BN29" i="1"/>
  <c r="DH29" i="1" s="1"/>
  <c r="FB29" i="1" s="1"/>
  <c r="BA29" i="1"/>
  <c r="CU29" i="1" s="1"/>
  <c r="EO29" i="1" s="1"/>
  <c r="BI29" i="1"/>
  <c r="DC29" i="1" s="1"/>
  <c r="EW29" i="1" s="1"/>
  <c r="BQ29" i="1"/>
  <c r="DK29" i="1" s="1"/>
  <c r="FE29" i="1" s="1"/>
  <c r="AY29" i="1"/>
  <c r="CS29" i="1" s="1"/>
  <c r="EM29" i="1" s="1"/>
  <c r="BP29" i="1"/>
  <c r="DJ29" i="1" s="1"/>
  <c r="FD29" i="1" s="1"/>
  <c r="AZ29" i="1"/>
  <c r="CT29" i="1" s="1"/>
  <c r="EN29" i="1" s="1"/>
  <c r="BG29" i="1"/>
  <c r="DA29" i="1" s="1"/>
  <c r="EU29" i="1" s="1"/>
  <c r="BO29" i="1"/>
  <c r="DI29" i="1" s="1"/>
  <c r="FC29" i="1" s="1"/>
  <c r="BH29" i="1"/>
  <c r="DB29" i="1" s="1"/>
  <c r="EV29" i="1" s="1"/>
  <c r="BB11" i="1"/>
  <c r="CV11" i="1" s="1"/>
  <c r="EP11" i="1" s="1"/>
  <c r="BJ11" i="1"/>
  <c r="DD11" i="1" s="1"/>
  <c r="EX11" i="1" s="1"/>
  <c r="BR11" i="1"/>
  <c r="DL11" i="1" s="1"/>
  <c r="FF11" i="1" s="1"/>
  <c r="BC11" i="1"/>
  <c r="CW11" i="1" s="1"/>
  <c r="EQ11" i="1" s="1"/>
  <c r="BK11" i="1"/>
  <c r="DE11" i="1" s="1"/>
  <c r="EY11" i="1" s="1"/>
  <c r="BD11" i="1"/>
  <c r="CX11" i="1" s="1"/>
  <c r="ER11" i="1" s="1"/>
  <c r="BL11" i="1"/>
  <c r="DF11" i="1" s="1"/>
  <c r="EZ11" i="1" s="1"/>
  <c r="BE11" i="1"/>
  <c r="CY11" i="1" s="1"/>
  <c r="ES11" i="1" s="1"/>
  <c r="BM11" i="1"/>
  <c r="DG11" i="1" s="1"/>
  <c r="FA11" i="1" s="1"/>
  <c r="BF11" i="1"/>
  <c r="CZ11" i="1" s="1"/>
  <c r="ET11" i="1" s="1"/>
  <c r="BN11" i="1"/>
  <c r="DH11" i="1" s="1"/>
  <c r="FB11" i="1" s="1"/>
  <c r="BA11" i="1"/>
  <c r="CU11" i="1" s="1"/>
  <c r="EO11" i="1" s="1"/>
  <c r="BI11" i="1"/>
  <c r="DC11" i="1" s="1"/>
  <c r="EW11" i="1" s="1"/>
  <c r="BQ11" i="1"/>
  <c r="DK11" i="1" s="1"/>
  <c r="FE11" i="1" s="1"/>
  <c r="BO11" i="1"/>
  <c r="DI11" i="1" s="1"/>
  <c r="FC11" i="1" s="1"/>
  <c r="AY11" i="1"/>
  <c r="CS11" i="1" s="1"/>
  <c r="EM11" i="1" s="1"/>
  <c r="AZ11" i="1"/>
  <c r="CT11" i="1" s="1"/>
  <c r="EN11" i="1" s="1"/>
  <c r="BP11" i="1"/>
  <c r="DJ11" i="1" s="1"/>
  <c r="FD11" i="1" s="1"/>
  <c r="BG11" i="1"/>
  <c r="DA11" i="1" s="1"/>
  <c r="EU11" i="1" s="1"/>
  <c r="BH11" i="1"/>
  <c r="DB11" i="1" s="1"/>
  <c r="EV11" i="1" s="1"/>
  <c r="BF36" i="1"/>
  <c r="CZ36" i="1" s="1"/>
  <c r="ET36" i="1" s="1"/>
  <c r="BN36" i="1"/>
  <c r="DH36" i="1" s="1"/>
  <c r="FB36" i="1" s="1"/>
  <c r="AY36" i="1"/>
  <c r="CS36" i="1" s="1"/>
  <c r="EM36" i="1" s="1"/>
  <c r="BG36" i="1"/>
  <c r="DA36" i="1" s="1"/>
  <c r="EU36" i="1" s="1"/>
  <c r="BO36" i="1"/>
  <c r="DI36" i="1" s="1"/>
  <c r="FC36" i="1" s="1"/>
  <c r="AZ36" i="1"/>
  <c r="CT36" i="1" s="1"/>
  <c r="EN36" i="1" s="1"/>
  <c r="BH36" i="1"/>
  <c r="DB36" i="1" s="1"/>
  <c r="EV36" i="1" s="1"/>
  <c r="BP36" i="1"/>
  <c r="DJ36" i="1" s="1"/>
  <c r="FD36" i="1" s="1"/>
  <c r="BA36" i="1"/>
  <c r="CU36" i="1" s="1"/>
  <c r="EO36" i="1" s="1"/>
  <c r="BI36" i="1"/>
  <c r="DC36" i="1" s="1"/>
  <c r="EW36" i="1" s="1"/>
  <c r="BQ36" i="1"/>
  <c r="DK36" i="1" s="1"/>
  <c r="FE36" i="1" s="1"/>
  <c r="BB36" i="1"/>
  <c r="CV36" i="1" s="1"/>
  <c r="EP36" i="1" s="1"/>
  <c r="BJ36" i="1"/>
  <c r="DD36" i="1" s="1"/>
  <c r="EX36" i="1" s="1"/>
  <c r="BR36" i="1"/>
  <c r="DL36" i="1" s="1"/>
  <c r="FF36" i="1" s="1"/>
  <c r="BE36" i="1"/>
  <c r="CY36" i="1" s="1"/>
  <c r="ES36" i="1" s="1"/>
  <c r="BM36" i="1"/>
  <c r="DG36" i="1" s="1"/>
  <c r="FA36" i="1" s="1"/>
  <c r="BD36" i="1"/>
  <c r="CX36" i="1" s="1"/>
  <c r="ER36" i="1" s="1"/>
  <c r="BK36" i="1"/>
  <c r="DE36" i="1" s="1"/>
  <c r="EY36" i="1" s="1"/>
  <c r="BC36" i="1"/>
  <c r="CW36" i="1" s="1"/>
  <c r="EQ36" i="1" s="1"/>
  <c r="BL36" i="1"/>
  <c r="DF36" i="1" s="1"/>
  <c r="EZ36" i="1" s="1"/>
  <c r="BB25" i="1"/>
  <c r="CV25" i="1" s="1"/>
  <c r="EP25" i="1" s="1"/>
  <c r="BJ25" i="1"/>
  <c r="DD25" i="1" s="1"/>
  <c r="EX25" i="1" s="1"/>
  <c r="BR25" i="1"/>
  <c r="DL25" i="1" s="1"/>
  <c r="FF25" i="1" s="1"/>
  <c r="BC25" i="1"/>
  <c r="CW25" i="1" s="1"/>
  <c r="EQ25" i="1" s="1"/>
  <c r="BK25" i="1"/>
  <c r="DE25" i="1" s="1"/>
  <c r="EY25" i="1" s="1"/>
  <c r="BD25" i="1"/>
  <c r="CX25" i="1" s="1"/>
  <c r="ER25" i="1" s="1"/>
  <c r="BL25" i="1"/>
  <c r="DF25" i="1" s="1"/>
  <c r="EZ25" i="1" s="1"/>
  <c r="BE25" i="1"/>
  <c r="CY25" i="1" s="1"/>
  <c r="ES25" i="1" s="1"/>
  <c r="BM25" i="1"/>
  <c r="DG25" i="1" s="1"/>
  <c r="FA25" i="1" s="1"/>
  <c r="BF25" i="1"/>
  <c r="CZ25" i="1" s="1"/>
  <c r="ET25" i="1" s="1"/>
  <c r="BN25" i="1"/>
  <c r="DH25" i="1" s="1"/>
  <c r="FB25" i="1" s="1"/>
  <c r="BA25" i="1"/>
  <c r="CU25" i="1" s="1"/>
  <c r="EO25" i="1" s="1"/>
  <c r="BI25" i="1"/>
  <c r="DC25" i="1" s="1"/>
  <c r="EW25" i="1" s="1"/>
  <c r="BQ25" i="1"/>
  <c r="DK25" i="1" s="1"/>
  <c r="FE25" i="1" s="1"/>
  <c r="BG25" i="1"/>
  <c r="DA25" i="1" s="1"/>
  <c r="EU25" i="1" s="1"/>
  <c r="BH25" i="1"/>
  <c r="DB25" i="1" s="1"/>
  <c r="EV25" i="1" s="1"/>
  <c r="AY25" i="1"/>
  <c r="CS25" i="1" s="1"/>
  <c r="EM25" i="1" s="1"/>
  <c r="BO25" i="1"/>
  <c r="DI25" i="1" s="1"/>
  <c r="FC25" i="1" s="1"/>
  <c r="BP25" i="1"/>
  <c r="DJ25" i="1" s="1"/>
  <c r="FD25" i="1" s="1"/>
  <c r="AZ25" i="1"/>
  <c r="CT25" i="1" s="1"/>
  <c r="EN25" i="1" s="1"/>
  <c r="BF44" i="1"/>
  <c r="CZ44" i="1" s="1"/>
  <c r="ET44" i="1" s="1"/>
  <c r="BN44" i="1"/>
  <c r="DH44" i="1" s="1"/>
  <c r="FB44" i="1" s="1"/>
  <c r="AY44" i="1"/>
  <c r="CS44" i="1" s="1"/>
  <c r="EM44" i="1" s="1"/>
  <c r="BG44" i="1"/>
  <c r="DA44" i="1" s="1"/>
  <c r="EU44" i="1" s="1"/>
  <c r="BO44" i="1"/>
  <c r="DI44" i="1" s="1"/>
  <c r="FC44" i="1" s="1"/>
  <c r="AZ44" i="1"/>
  <c r="CT44" i="1" s="1"/>
  <c r="EN44" i="1" s="1"/>
  <c r="BH44" i="1"/>
  <c r="DB44" i="1" s="1"/>
  <c r="EV44" i="1" s="1"/>
  <c r="BP44" i="1"/>
  <c r="DJ44" i="1" s="1"/>
  <c r="FD44" i="1" s="1"/>
  <c r="BA44" i="1"/>
  <c r="CU44" i="1" s="1"/>
  <c r="EO44" i="1" s="1"/>
  <c r="BI44" i="1"/>
  <c r="DC44" i="1" s="1"/>
  <c r="EW44" i="1" s="1"/>
  <c r="BQ44" i="1"/>
  <c r="DK44" i="1" s="1"/>
  <c r="FE44" i="1" s="1"/>
  <c r="BB44" i="1"/>
  <c r="CV44" i="1" s="1"/>
  <c r="EP44" i="1" s="1"/>
  <c r="BJ44" i="1"/>
  <c r="DD44" i="1" s="1"/>
  <c r="EX44" i="1" s="1"/>
  <c r="BR44" i="1"/>
  <c r="DL44" i="1" s="1"/>
  <c r="FF44" i="1" s="1"/>
  <c r="BE44" i="1"/>
  <c r="CY44" i="1" s="1"/>
  <c r="ES44" i="1" s="1"/>
  <c r="BM44" i="1"/>
  <c r="DG44" i="1" s="1"/>
  <c r="FA44" i="1" s="1"/>
  <c r="BC44" i="1"/>
  <c r="CW44" i="1" s="1"/>
  <c r="EQ44" i="1" s="1"/>
  <c r="BD44" i="1"/>
  <c r="CX44" i="1" s="1"/>
  <c r="ER44" i="1" s="1"/>
  <c r="BK44" i="1"/>
  <c r="DE44" i="1" s="1"/>
  <c r="EY44" i="1" s="1"/>
  <c r="BL44" i="1"/>
  <c r="DF44" i="1" s="1"/>
  <c r="EZ44" i="1" s="1"/>
  <c r="BB15" i="1"/>
  <c r="CV15" i="1" s="1"/>
  <c r="EP15" i="1" s="1"/>
  <c r="BJ15" i="1"/>
  <c r="DD15" i="1" s="1"/>
  <c r="EX15" i="1" s="1"/>
  <c r="BR15" i="1"/>
  <c r="DL15" i="1" s="1"/>
  <c r="FF15" i="1" s="1"/>
  <c r="BC15" i="1"/>
  <c r="CW15" i="1" s="1"/>
  <c r="EQ15" i="1" s="1"/>
  <c r="BK15" i="1"/>
  <c r="DE15" i="1" s="1"/>
  <c r="EY15" i="1" s="1"/>
  <c r="BD15" i="1"/>
  <c r="CX15" i="1" s="1"/>
  <c r="ER15" i="1" s="1"/>
  <c r="BL15" i="1"/>
  <c r="DF15" i="1" s="1"/>
  <c r="EZ15" i="1" s="1"/>
  <c r="BE15" i="1"/>
  <c r="CY15" i="1" s="1"/>
  <c r="ES15" i="1" s="1"/>
  <c r="BM15" i="1"/>
  <c r="DG15" i="1" s="1"/>
  <c r="FA15" i="1" s="1"/>
  <c r="BF15" i="1"/>
  <c r="CZ15" i="1" s="1"/>
  <c r="ET15" i="1" s="1"/>
  <c r="BN15" i="1"/>
  <c r="DH15" i="1" s="1"/>
  <c r="FB15" i="1" s="1"/>
  <c r="BA15" i="1"/>
  <c r="CU15" i="1" s="1"/>
  <c r="EO15" i="1" s="1"/>
  <c r="BI15" i="1"/>
  <c r="DC15" i="1" s="1"/>
  <c r="EW15" i="1" s="1"/>
  <c r="BQ15" i="1"/>
  <c r="DK15" i="1" s="1"/>
  <c r="FE15" i="1" s="1"/>
  <c r="BG15" i="1"/>
  <c r="DA15" i="1" s="1"/>
  <c r="EU15" i="1" s="1"/>
  <c r="AY15" i="1"/>
  <c r="CS15" i="1" s="1"/>
  <c r="EM15" i="1" s="1"/>
  <c r="BH15" i="1"/>
  <c r="DB15" i="1" s="1"/>
  <c r="EV15" i="1" s="1"/>
  <c r="BO15" i="1"/>
  <c r="DI15" i="1" s="1"/>
  <c r="FC15" i="1" s="1"/>
  <c r="BP15" i="1"/>
  <c r="DJ15" i="1" s="1"/>
  <c r="FD15" i="1" s="1"/>
  <c r="AZ15" i="1"/>
  <c r="CT15" i="1" s="1"/>
  <c r="EN15" i="1" s="1"/>
  <c r="BB35" i="1"/>
  <c r="CV35" i="1" s="1"/>
  <c r="EP35" i="1" s="1"/>
  <c r="BJ35" i="1"/>
  <c r="DD35" i="1" s="1"/>
  <c r="EX35" i="1" s="1"/>
  <c r="BR35" i="1"/>
  <c r="DL35" i="1" s="1"/>
  <c r="FF35" i="1" s="1"/>
  <c r="BC35" i="1"/>
  <c r="CW35" i="1" s="1"/>
  <c r="EQ35" i="1" s="1"/>
  <c r="BK35" i="1"/>
  <c r="DE35" i="1" s="1"/>
  <c r="EY35" i="1" s="1"/>
  <c r="BD35" i="1"/>
  <c r="CX35" i="1" s="1"/>
  <c r="ER35" i="1" s="1"/>
  <c r="BL35" i="1"/>
  <c r="DF35" i="1" s="1"/>
  <c r="EZ35" i="1" s="1"/>
  <c r="BE35" i="1"/>
  <c r="CY35" i="1" s="1"/>
  <c r="ES35" i="1" s="1"/>
  <c r="BM35" i="1"/>
  <c r="DG35" i="1" s="1"/>
  <c r="FA35" i="1" s="1"/>
  <c r="BF35" i="1"/>
  <c r="CZ35" i="1" s="1"/>
  <c r="ET35" i="1" s="1"/>
  <c r="BN35" i="1"/>
  <c r="DH35" i="1" s="1"/>
  <c r="FB35" i="1" s="1"/>
  <c r="BA35" i="1"/>
  <c r="CU35" i="1" s="1"/>
  <c r="EO35" i="1" s="1"/>
  <c r="BI35" i="1"/>
  <c r="DC35" i="1" s="1"/>
  <c r="EW35" i="1" s="1"/>
  <c r="BQ35" i="1"/>
  <c r="DK35" i="1" s="1"/>
  <c r="FE35" i="1" s="1"/>
  <c r="BG35" i="1"/>
  <c r="DA35" i="1" s="1"/>
  <c r="EU35" i="1" s="1"/>
  <c r="BH35" i="1"/>
  <c r="DB35" i="1" s="1"/>
  <c r="EV35" i="1" s="1"/>
  <c r="BO35" i="1"/>
  <c r="DI35" i="1" s="1"/>
  <c r="FC35" i="1" s="1"/>
  <c r="AY35" i="1"/>
  <c r="CS35" i="1" s="1"/>
  <c r="EM35" i="1" s="1"/>
  <c r="BP35" i="1"/>
  <c r="DJ35" i="1" s="1"/>
  <c r="FD35" i="1" s="1"/>
  <c r="AZ35" i="1"/>
  <c r="CT35" i="1" s="1"/>
  <c r="EN35" i="1" s="1"/>
  <c r="BF14" i="1"/>
  <c r="CZ14" i="1" s="1"/>
  <c r="ET14" i="1" s="1"/>
  <c r="BN14" i="1"/>
  <c r="DH14" i="1" s="1"/>
  <c r="FB14" i="1" s="1"/>
  <c r="AY14" i="1"/>
  <c r="CS14" i="1" s="1"/>
  <c r="EM14" i="1" s="1"/>
  <c r="BG14" i="1"/>
  <c r="DA14" i="1" s="1"/>
  <c r="EU14" i="1" s="1"/>
  <c r="BO14" i="1"/>
  <c r="DI14" i="1" s="1"/>
  <c r="FC14" i="1" s="1"/>
  <c r="AZ14" i="1"/>
  <c r="CT14" i="1" s="1"/>
  <c r="EN14" i="1" s="1"/>
  <c r="BH14" i="1"/>
  <c r="DB14" i="1" s="1"/>
  <c r="EV14" i="1" s="1"/>
  <c r="BP14" i="1"/>
  <c r="DJ14" i="1" s="1"/>
  <c r="FD14" i="1" s="1"/>
  <c r="BA14" i="1"/>
  <c r="CU14" i="1" s="1"/>
  <c r="EO14" i="1" s="1"/>
  <c r="BI14" i="1"/>
  <c r="DC14" i="1" s="1"/>
  <c r="EW14" i="1" s="1"/>
  <c r="BQ14" i="1"/>
  <c r="DK14" i="1" s="1"/>
  <c r="FE14" i="1" s="1"/>
  <c r="BB14" i="1"/>
  <c r="CV14" i="1" s="1"/>
  <c r="EP14" i="1" s="1"/>
  <c r="BJ14" i="1"/>
  <c r="DD14" i="1" s="1"/>
  <c r="EX14" i="1" s="1"/>
  <c r="BR14" i="1"/>
  <c r="DL14" i="1" s="1"/>
  <c r="FF14" i="1" s="1"/>
  <c r="BE14" i="1"/>
  <c r="CY14" i="1" s="1"/>
  <c r="ES14" i="1" s="1"/>
  <c r="BM14" i="1"/>
  <c r="DG14" i="1" s="1"/>
  <c r="FA14" i="1" s="1"/>
  <c r="BC14" i="1"/>
  <c r="CW14" i="1" s="1"/>
  <c r="EQ14" i="1" s="1"/>
  <c r="BK14" i="1"/>
  <c r="DE14" i="1" s="1"/>
  <c r="EY14" i="1" s="1"/>
  <c r="BL14" i="1"/>
  <c r="DF14" i="1" s="1"/>
  <c r="EZ14" i="1" s="1"/>
  <c r="BD14" i="1"/>
  <c r="CX14" i="1" s="1"/>
  <c r="ER14" i="1" s="1"/>
  <c r="BB19" i="1"/>
  <c r="CV19" i="1" s="1"/>
  <c r="EP19" i="1" s="1"/>
  <c r="BJ19" i="1"/>
  <c r="DD19" i="1" s="1"/>
  <c r="EX19" i="1" s="1"/>
  <c r="BR19" i="1"/>
  <c r="DL19" i="1" s="1"/>
  <c r="FF19" i="1" s="1"/>
  <c r="BC19" i="1"/>
  <c r="CW19" i="1" s="1"/>
  <c r="EQ19" i="1" s="1"/>
  <c r="BK19" i="1"/>
  <c r="DE19" i="1" s="1"/>
  <c r="EY19" i="1" s="1"/>
  <c r="BD19" i="1"/>
  <c r="CX19" i="1" s="1"/>
  <c r="ER19" i="1" s="1"/>
  <c r="BL19" i="1"/>
  <c r="DF19" i="1" s="1"/>
  <c r="EZ19" i="1" s="1"/>
  <c r="BE19" i="1"/>
  <c r="CY19" i="1" s="1"/>
  <c r="ES19" i="1" s="1"/>
  <c r="BM19" i="1"/>
  <c r="DG19" i="1" s="1"/>
  <c r="FA19" i="1" s="1"/>
  <c r="BF19" i="1"/>
  <c r="CZ19" i="1" s="1"/>
  <c r="ET19" i="1" s="1"/>
  <c r="BN19" i="1"/>
  <c r="DH19" i="1" s="1"/>
  <c r="FB19" i="1" s="1"/>
  <c r="BA19" i="1"/>
  <c r="CU19" i="1" s="1"/>
  <c r="EO19" i="1" s="1"/>
  <c r="BI19" i="1"/>
  <c r="DC19" i="1" s="1"/>
  <c r="EW19" i="1" s="1"/>
  <c r="BQ19" i="1"/>
  <c r="DK19" i="1" s="1"/>
  <c r="FE19" i="1" s="1"/>
  <c r="BG19" i="1"/>
  <c r="DA19" i="1" s="1"/>
  <c r="EU19" i="1" s="1"/>
  <c r="BO19" i="1"/>
  <c r="DI19" i="1" s="1"/>
  <c r="FC19" i="1" s="1"/>
  <c r="AY19" i="1"/>
  <c r="CS19" i="1" s="1"/>
  <c r="EM19" i="1" s="1"/>
  <c r="BH19" i="1"/>
  <c r="DB19" i="1" s="1"/>
  <c r="EV19" i="1" s="1"/>
  <c r="AZ19" i="1"/>
  <c r="CT19" i="1" s="1"/>
  <c r="EN19" i="1" s="1"/>
  <c r="BP19" i="1"/>
  <c r="DJ19" i="1" s="1"/>
  <c r="FD19" i="1" s="1"/>
  <c r="BF34" i="1"/>
  <c r="CZ34" i="1" s="1"/>
  <c r="ET34" i="1" s="1"/>
  <c r="BN34" i="1"/>
  <c r="DH34" i="1" s="1"/>
  <c r="FB34" i="1" s="1"/>
  <c r="AY34" i="1"/>
  <c r="CS34" i="1" s="1"/>
  <c r="EM34" i="1" s="1"/>
  <c r="BG34" i="1"/>
  <c r="DA34" i="1" s="1"/>
  <c r="EU34" i="1" s="1"/>
  <c r="BO34" i="1"/>
  <c r="DI34" i="1" s="1"/>
  <c r="FC34" i="1" s="1"/>
  <c r="AZ34" i="1"/>
  <c r="CT34" i="1" s="1"/>
  <c r="EN34" i="1" s="1"/>
  <c r="BH34" i="1"/>
  <c r="DB34" i="1" s="1"/>
  <c r="EV34" i="1" s="1"/>
  <c r="BP34" i="1"/>
  <c r="DJ34" i="1" s="1"/>
  <c r="FD34" i="1" s="1"/>
  <c r="BA34" i="1"/>
  <c r="CU34" i="1" s="1"/>
  <c r="EO34" i="1" s="1"/>
  <c r="BI34" i="1"/>
  <c r="DC34" i="1" s="1"/>
  <c r="EW34" i="1" s="1"/>
  <c r="BQ34" i="1"/>
  <c r="DK34" i="1" s="1"/>
  <c r="FE34" i="1" s="1"/>
  <c r="BB34" i="1"/>
  <c r="CV34" i="1" s="1"/>
  <c r="EP34" i="1" s="1"/>
  <c r="BJ34" i="1"/>
  <c r="DD34" i="1" s="1"/>
  <c r="EX34" i="1" s="1"/>
  <c r="BR34" i="1"/>
  <c r="DL34" i="1" s="1"/>
  <c r="FF34" i="1" s="1"/>
  <c r="BE34" i="1"/>
  <c r="CY34" i="1" s="1"/>
  <c r="ES34" i="1" s="1"/>
  <c r="BM34" i="1"/>
  <c r="DG34" i="1" s="1"/>
  <c r="FA34" i="1" s="1"/>
  <c r="BK34" i="1"/>
  <c r="DE34" i="1" s="1"/>
  <c r="EY34" i="1" s="1"/>
  <c r="BL34" i="1"/>
  <c r="DF34" i="1" s="1"/>
  <c r="EZ34" i="1" s="1"/>
  <c r="BC34" i="1"/>
  <c r="CW34" i="1" s="1"/>
  <c r="EQ34" i="1" s="1"/>
  <c r="BD34" i="1"/>
  <c r="CX34" i="1" s="1"/>
  <c r="ER34" i="1" s="1"/>
  <c r="BB17" i="1"/>
  <c r="CV17" i="1" s="1"/>
  <c r="EP17" i="1" s="1"/>
  <c r="BJ17" i="1"/>
  <c r="DD17" i="1" s="1"/>
  <c r="EX17" i="1" s="1"/>
  <c r="BR17" i="1"/>
  <c r="DL17" i="1" s="1"/>
  <c r="FF17" i="1" s="1"/>
  <c r="BC17" i="1"/>
  <c r="CW17" i="1" s="1"/>
  <c r="EQ17" i="1" s="1"/>
  <c r="BK17" i="1"/>
  <c r="DE17" i="1" s="1"/>
  <c r="EY17" i="1" s="1"/>
  <c r="BD17" i="1"/>
  <c r="CX17" i="1" s="1"/>
  <c r="ER17" i="1" s="1"/>
  <c r="BL17" i="1"/>
  <c r="DF17" i="1" s="1"/>
  <c r="EZ17" i="1" s="1"/>
  <c r="BE17" i="1"/>
  <c r="CY17" i="1" s="1"/>
  <c r="ES17" i="1" s="1"/>
  <c r="BM17" i="1"/>
  <c r="DG17" i="1" s="1"/>
  <c r="FA17" i="1" s="1"/>
  <c r="BF17" i="1"/>
  <c r="CZ17" i="1" s="1"/>
  <c r="ET17" i="1" s="1"/>
  <c r="BN17" i="1"/>
  <c r="DH17" i="1" s="1"/>
  <c r="FB17" i="1" s="1"/>
  <c r="BA17" i="1"/>
  <c r="CU17" i="1" s="1"/>
  <c r="EO17" i="1" s="1"/>
  <c r="BI17" i="1"/>
  <c r="DC17" i="1" s="1"/>
  <c r="EW17" i="1" s="1"/>
  <c r="BQ17" i="1"/>
  <c r="DK17" i="1" s="1"/>
  <c r="FE17" i="1" s="1"/>
  <c r="AY17" i="1"/>
  <c r="CS17" i="1" s="1"/>
  <c r="EM17" i="1" s="1"/>
  <c r="BO17" i="1"/>
  <c r="DI17" i="1" s="1"/>
  <c r="FC17" i="1" s="1"/>
  <c r="BP17" i="1"/>
  <c r="DJ17" i="1" s="1"/>
  <c r="FD17" i="1" s="1"/>
  <c r="AZ17" i="1"/>
  <c r="CT17" i="1" s="1"/>
  <c r="EN17" i="1" s="1"/>
  <c r="BG17" i="1"/>
  <c r="DA17" i="1" s="1"/>
  <c r="EU17" i="1" s="1"/>
  <c r="BH17" i="1"/>
  <c r="DB17" i="1" s="1"/>
  <c r="EV17" i="1" s="1"/>
  <c r="BB39" i="1"/>
  <c r="CV39" i="1" s="1"/>
  <c r="EP39" i="1" s="1"/>
  <c r="BJ39" i="1"/>
  <c r="DD39" i="1" s="1"/>
  <c r="EX39" i="1" s="1"/>
  <c r="BR39" i="1"/>
  <c r="DL39" i="1" s="1"/>
  <c r="FF39" i="1" s="1"/>
  <c r="BC39" i="1"/>
  <c r="CW39" i="1" s="1"/>
  <c r="EQ39" i="1" s="1"/>
  <c r="BK39" i="1"/>
  <c r="DE39" i="1" s="1"/>
  <c r="EY39" i="1" s="1"/>
  <c r="BD39" i="1"/>
  <c r="CX39" i="1" s="1"/>
  <c r="ER39" i="1" s="1"/>
  <c r="BL39" i="1"/>
  <c r="DF39" i="1" s="1"/>
  <c r="EZ39" i="1" s="1"/>
  <c r="BE39" i="1"/>
  <c r="CY39" i="1" s="1"/>
  <c r="ES39" i="1" s="1"/>
  <c r="BM39" i="1"/>
  <c r="DG39" i="1" s="1"/>
  <c r="FA39" i="1" s="1"/>
  <c r="BF39" i="1"/>
  <c r="CZ39" i="1" s="1"/>
  <c r="ET39" i="1" s="1"/>
  <c r="BN39" i="1"/>
  <c r="DH39" i="1" s="1"/>
  <c r="FB39" i="1" s="1"/>
  <c r="BA39" i="1"/>
  <c r="CU39" i="1" s="1"/>
  <c r="EO39" i="1" s="1"/>
  <c r="BI39" i="1"/>
  <c r="DC39" i="1" s="1"/>
  <c r="EW39" i="1" s="1"/>
  <c r="BQ39" i="1"/>
  <c r="DK39" i="1" s="1"/>
  <c r="FE39" i="1" s="1"/>
  <c r="BH39" i="1"/>
  <c r="DB39" i="1" s="1"/>
  <c r="EV39" i="1" s="1"/>
  <c r="AY39" i="1"/>
  <c r="CS39" i="1" s="1"/>
  <c r="EM39" i="1" s="1"/>
  <c r="BG39" i="1"/>
  <c r="DA39" i="1" s="1"/>
  <c r="EU39" i="1" s="1"/>
  <c r="BO39" i="1"/>
  <c r="DI39" i="1" s="1"/>
  <c r="FC39" i="1" s="1"/>
  <c r="AZ39" i="1"/>
  <c r="CT39" i="1" s="1"/>
  <c r="EN39" i="1" s="1"/>
  <c r="BP39" i="1"/>
  <c r="DJ39" i="1" s="1"/>
  <c r="FD39" i="1" s="1"/>
  <c r="BB9" i="1"/>
  <c r="CV9" i="1" s="1"/>
  <c r="EP9" i="1" s="1"/>
  <c r="BJ9" i="1"/>
  <c r="DD9" i="1" s="1"/>
  <c r="EX9" i="1" s="1"/>
  <c r="BR9" i="1"/>
  <c r="DL9" i="1" s="1"/>
  <c r="FF9" i="1" s="1"/>
  <c r="BC9" i="1"/>
  <c r="CW9" i="1" s="1"/>
  <c r="EQ9" i="1" s="1"/>
  <c r="BK9" i="1"/>
  <c r="DE9" i="1" s="1"/>
  <c r="EY9" i="1" s="1"/>
  <c r="BD9" i="1"/>
  <c r="CX9" i="1" s="1"/>
  <c r="ER9" i="1" s="1"/>
  <c r="BL9" i="1"/>
  <c r="DF9" i="1" s="1"/>
  <c r="EZ9" i="1" s="1"/>
  <c r="BE9" i="1"/>
  <c r="CY9" i="1" s="1"/>
  <c r="ES9" i="1" s="1"/>
  <c r="BM9" i="1"/>
  <c r="DG9" i="1" s="1"/>
  <c r="FA9" i="1" s="1"/>
  <c r="BF9" i="1"/>
  <c r="CZ9" i="1" s="1"/>
  <c r="ET9" i="1" s="1"/>
  <c r="BN9" i="1"/>
  <c r="DH9" i="1" s="1"/>
  <c r="FB9" i="1" s="1"/>
  <c r="BA9" i="1"/>
  <c r="CU9" i="1" s="1"/>
  <c r="EO9" i="1" s="1"/>
  <c r="BI9" i="1"/>
  <c r="DC9" i="1" s="1"/>
  <c r="EW9" i="1" s="1"/>
  <c r="BQ9" i="1"/>
  <c r="DK9" i="1" s="1"/>
  <c r="FE9" i="1" s="1"/>
  <c r="BG9" i="1"/>
  <c r="DA9" i="1" s="1"/>
  <c r="EU9" i="1" s="1"/>
  <c r="AY9" i="1"/>
  <c r="CS9" i="1" s="1"/>
  <c r="EM9" i="1" s="1"/>
  <c r="BH9" i="1"/>
  <c r="DB9" i="1" s="1"/>
  <c r="EV9" i="1" s="1"/>
  <c r="BO9" i="1"/>
  <c r="DI9" i="1" s="1"/>
  <c r="FC9" i="1" s="1"/>
  <c r="AZ9" i="1"/>
  <c r="CT9" i="1" s="1"/>
  <c r="EN9" i="1" s="1"/>
  <c r="BP9" i="1"/>
  <c r="DJ9" i="1" s="1"/>
  <c r="FD9" i="1" s="1"/>
  <c r="BC13" i="1"/>
  <c r="CW13" i="1" s="1"/>
  <c r="EQ13" i="1" s="1"/>
  <c r="BK13" i="1"/>
  <c r="DE13" i="1" s="1"/>
  <c r="EY13" i="1" s="1"/>
  <c r="BI13" i="1"/>
  <c r="DC13" i="1" s="1"/>
  <c r="EW13" i="1" s="1"/>
  <c r="BD13" i="1"/>
  <c r="CX13" i="1" s="1"/>
  <c r="ER13" i="1" s="1"/>
  <c r="BL13" i="1"/>
  <c r="DF13" i="1" s="1"/>
  <c r="EZ13" i="1" s="1"/>
  <c r="BQ13" i="1"/>
  <c r="DK13" i="1" s="1"/>
  <c r="FE13" i="1" s="1"/>
  <c r="BE13" i="1"/>
  <c r="CY13" i="1" s="1"/>
  <c r="ES13" i="1" s="1"/>
  <c r="BM13" i="1"/>
  <c r="DG13" i="1" s="1"/>
  <c r="FA13" i="1" s="1"/>
  <c r="BF13" i="1"/>
  <c r="CZ13" i="1" s="1"/>
  <c r="ET13" i="1" s="1"/>
  <c r="BN13" i="1"/>
  <c r="DH13" i="1" s="1"/>
  <c r="FB13" i="1" s="1"/>
  <c r="AY13" i="1"/>
  <c r="CS13" i="1" s="1"/>
  <c r="EM13" i="1" s="1"/>
  <c r="BG13" i="1"/>
  <c r="DA13" i="1" s="1"/>
  <c r="EU13" i="1" s="1"/>
  <c r="BO13" i="1"/>
  <c r="DI13" i="1" s="1"/>
  <c r="FC13" i="1" s="1"/>
  <c r="BA13" i="1"/>
  <c r="CU13" i="1" s="1"/>
  <c r="AZ13" i="1"/>
  <c r="CT13" i="1" s="1"/>
  <c r="EN13" i="1" s="1"/>
  <c r="BH13" i="1"/>
  <c r="DB13" i="1" s="1"/>
  <c r="EV13" i="1" s="1"/>
  <c r="BP13" i="1"/>
  <c r="DJ13" i="1" s="1"/>
  <c r="FD13" i="1" s="1"/>
  <c r="BB13" i="1"/>
  <c r="CV13" i="1" s="1"/>
  <c r="EP13" i="1" s="1"/>
  <c r="BJ13" i="1"/>
  <c r="DD13" i="1" s="1"/>
  <c r="EX13" i="1" s="1"/>
  <c r="BR13" i="1"/>
  <c r="DL13" i="1" s="1"/>
  <c r="FF13" i="1" s="1"/>
  <c r="AY12" i="1"/>
  <c r="CS12" i="1" s="1"/>
  <c r="EM12" i="1" s="1"/>
  <c r="BG12" i="1"/>
  <c r="DA12" i="1" s="1"/>
  <c r="EU12" i="1" s="1"/>
  <c r="BO12" i="1"/>
  <c r="DI12" i="1" s="1"/>
  <c r="FC12" i="1" s="1"/>
  <c r="BN12" i="1"/>
  <c r="DH12" i="1" s="1"/>
  <c r="FB12" i="1" s="1"/>
  <c r="AZ12" i="1"/>
  <c r="CT12" i="1" s="1"/>
  <c r="EN12" i="1" s="1"/>
  <c r="BH12" i="1"/>
  <c r="DB12" i="1" s="1"/>
  <c r="EV12" i="1" s="1"/>
  <c r="BP12" i="1"/>
  <c r="DJ12" i="1" s="1"/>
  <c r="FD12" i="1" s="1"/>
  <c r="BA12" i="1"/>
  <c r="CU12" i="1" s="1"/>
  <c r="EO12" i="1" s="1"/>
  <c r="BI12" i="1"/>
  <c r="DC12" i="1" s="1"/>
  <c r="EW12" i="1" s="1"/>
  <c r="BQ12" i="1"/>
  <c r="DK12" i="1" s="1"/>
  <c r="FE12" i="1" s="1"/>
  <c r="BB12" i="1"/>
  <c r="CV12" i="1" s="1"/>
  <c r="EP12" i="1" s="1"/>
  <c r="BJ12" i="1"/>
  <c r="DD12" i="1" s="1"/>
  <c r="EX12" i="1" s="1"/>
  <c r="BR12" i="1"/>
  <c r="DL12" i="1" s="1"/>
  <c r="FF12" i="1" s="1"/>
  <c r="BC12" i="1"/>
  <c r="CW12" i="1" s="1"/>
  <c r="EQ12" i="1" s="1"/>
  <c r="BK12" i="1"/>
  <c r="DE12" i="1" s="1"/>
  <c r="EY12" i="1" s="1"/>
  <c r="BD12" i="1"/>
  <c r="CX12" i="1" s="1"/>
  <c r="ER12" i="1" s="1"/>
  <c r="BL12" i="1"/>
  <c r="DF12" i="1" s="1"/>
  <c r="EZ12" i="1" s="1"/>
  <c r="BF12" i="1"/>
  <c r="CZ12" i="1" s="1"/>
  <c r="ET12" i="1" s="1"/>
  <c r="BE12" i="1"/>
  <c r="CY12" i="1" s="1"/>
  <c r="ES12" i="1" s="1"/>
  <c r="BM12" i="1"/>
  <c r="DG12" i="1" s="1"/>
  <c r="FA12" i="1" s="1"/>
  <c r="AY8" i="1"/>
  <c r="CS8" i="1" s="1"/>
  <c r="EM8" i="1" s="1"/>
  <c r="BG8" i="1"/>
  <c r="DA8" i="1" s="1"/>
  <c r="EU8" i="1" s="1"/>
  <c r="BO8" i="1"/>
  <c r="DI8" i="1" s="1"/>
  <c r="FC8" i="1" s="1"/>
  <c r="AZ8" i="1"/>
  <c r="CT8" i="1" s="1"/>
  <c r="EN8" i="1" s="1"/>
  <c r="BH8" i="1"/>
  <c r="DB8" i="1" s="1"/>
  <c r="EV8" i="1" s="1"/>
  <c r="BP8" i="1"/>
  <c r="DJ8" i="1" s="1"/>
  <c r="FD8" i="1" s="1"/>
  <c r="BA8" i="1"/>
  <c r="CU8" i="1" s="1"/>
  <c r="EO8" i="1" s="1"/>
  <c r="BI8" i="1"/>
  <c r="DC8" i="1" s="1"/>
  <c r="EW8" i="1" s="1"/>
  <c r="BQ8" i="1"/>
  <c r="DK8" i="1" s="1"/>
  <c r="FE8" i="1" s="1"/>
  <c r="BB8" i="1"/>
  <c r="CV8" i="1" s="1"/>
  <c r="EP8" i="1" s="1"/>
  <c r="BJ8" i="1"/>
  <c r="DD8" i="1" s="1"/>
  <c r="EX8" i="1" s="1"/>
  <c r="BR8" i="1"/>
  <c r="DL8" i="1" s="1"/>
  <c r="FF8" i="1" s="1"/>
  <c r="BC8" i="1"/>
  <c r="CW8" i="1" s="1"/>
  <c r="EQ8" i="1" s="1"/>
  <c r="BK8" i="1"/>
  <c r="DE8" i="1" s="1"/>
  <c r="EY8" i="1" s="1"/>
  <c r="BD8" i="1"/>
  <c r="CX8" i="1" s="1"/>
  <c r="ER8" i="1" s="1"/>
  <c r="BL8" i="1"/>
  <c r="DF8" i="1" s="1"/>
  <c r="EZ8" i="1" s="1"/>
  <c r="BE8" i="1"/>
  <c r="CY8" i="1" s="1"/>
  <c r="ES8" i="1" s="1"/>
  <c r="BM8" i="1"/>
  <c r="DG8" i="1" s="1"/>
  <c r="FA8" i="1" s="1"/>
  <c r="BF8" i="1"/>
  <c r="CZ8" i="1" s="1"/>
  <c r="ET8" i="1" s="1"/>
  <c r="BN8" i="1"/>
  <c r="DH8" i="1" s="1"/>
  <c r="FB8" i="1" s="1"/>
  <c r="AX36" i="1"/>
  <c r="AX35" i="1"/>
  <c r="AX16" i="1"/>
  <c r="AX26" i="1"/>
  <c r="CR26" i="1" s="1"/>
  <c r="AX10" i="1"/>
  <c r="CR10" i="1" s="1"/>
  <c r="AX13" i="1"/>
  <c r="AX12" i="1"/>
  <c r="BS12" i="1" s="1"/>
  <c r="AX34" i="1"/>
  <c r="AX18" i="1"/>
  <c r="AX7" i="1"/>
  <c r="AX15" i="1"/>
  <c r="AX25" i="1"/>
  <c r="AX39" i="1"/>
  <c r="AX17" i="1"/>
  <c r="AX22" i="1"/>
  <c r="AX45" i="1"/>
  <c r="BS45" i="1" s="1"/>
  <c r="AX9" i="1"/>
  <c r="AX21" i="1"/>
  <c r="AX29" i="1"/>
  <c r="AX8" i="1"/>
  <c r="AX20" i="1"/>
  <c r="AX11" i="1"/>
  <c r="AX14" i="1"/>
  <c r="AX37" i="1"/>
  <c r="AX44" i="1"/>
  <c r="AX19" i="1"/>
  <c r="BS37" i="1" l="1"/>
  <c r="BS34" i="1"/>
  <c r="BT34" i="1" s="1"/>
  <c r="BS14" i="1"/>
  <c r="BT14" i="1" s="1"/>
  <c r="BS11" i="1"/>
  <c r="BT11" i="1" s="1"/>
  <c r="BS17" i="1"/>
  <c r="BS39" i="1"/>
  <c r="BT39" i="1" s="1"/>
  <c r="BS20" i="1"/>
  <c r="BS8" i="1"/>
  <c r="BT8" i="1" s="1"/>
  <c r="BS25" i="1"/>
  <c r="BT25" i="1" s="1"/>
  <c r="BS29" i="1"/>
  <c r="BT29" i="1" s="1"/>
  <c r="BS15" i="1"/>
  <c r="BS21" i="1"/>
  <c r="BT21" i="1" s="1"/>
  <c r="BS22" i="1"/>
  <c r="BS19" i="1"/>
  <c r="BT19" i="1" s="1"/>
  <c r="BS7" i="1"/>
  <c r="BT7" i="1" s="1"/>
  <c r="BS35" i="1"/>
  <c r="BT35" i="1" s="1"/>
  <c r="BS44" i="1"/>
  <c r="BT44" i="1" s="1"/>
  <c r="BS9" i="1"/>
  <c r="BT9" i="1" s="1"/>
  <c r="BS36" i="1"/>
  <c r="BT36" i="1" s="1"/>
  <c r="EL26" i="1"/>
  <c r="DM26" i="1"/>
  <c r="EL10" i="1"/>
  <c r="DM10" i="1"/>
  <c r="EO13" i="1"/>
  <c r="BS13" i="1"/>
  <c r="CR35" i="1"/>
  <c r="DM35" i="1" s="1"/>
  <c r="CR36" i="1"/>
  <c r="DM36" i="1" s="1"/>
  <c r="CR13" i="1"/>
  <c r="DM13" i="1" s="1"/>
  <c r="BT13" i="1"/>
  <c r="BT10" i="1"/>
  <c r="BT26" i="1"/>
  <c r="CR12" i="1"/>
  <c r="DM12" i="1" s="1"/>
  <c r="BT12" i="1"/>
  <c r="CR19" i="1"/>
  <c r="DM19" i="1" s="1"/>
  <c r="CR29" i="1"/>
  <c r="DM29" i="1" s="1"/>
  <c r="CR22" i="1"/>
  <c r="DM22" i="1" s="1"/>
  <c r="BT22" i="1"/>
  <c r="CR25" i="1"/>
  <c r="DM25" i="1" s="1"/>
  <c r="CR39" i="1"/>
  <c r="DM39" i="1" s="1"/>
  <c r="CR11" i="1"/>
  <c r="DM11" i="1" s="1"/>
  <c r="CR9" i="1"/>
  <c r="DM9" i="1" s="1"/>
  <c r="CR17" i="1"/>
  <c r="DM17" i="1" s="1"/>
  <c r="BT17" i="1"/>
  <c r="CR7" i="1"/>
  <c r="DM7" i="1" s="1"/>
  <c r="CR37" i="1"/>
  <c r="DM37" i="1" s="1"/>
  <c r="BT37" i="1"/>
  <c r="CR15" i="1"/>
  <c r="DM15" i="1" s="1"/>
  <c r="BT15" i="1"/>
  <c r="CR18" i="1"/>
  <c r="DM18" i="1" s="1"/>
  <c r="BT18" i="1"/>
  <c r="CR34" i="1"/>
  <c r="DM34" i="1" s="1"/>
  <c r="CR21" i="1"/>
  <c r="DM21" i="1" s="1"/>
  <c r="CR20" i="1"/>
  <c r="DM20" i="1" s="1"/>
  <c r="BT20" i="1"/>
  <c r="CR44" i="1"/>
  <c r="DM44" i="1" s="1"/>
  <c r="CR14" i="1"/>
  <c r="DM14" i="1" s="1"/>
  <c r="CR8" i="1"/>
  <c r="DM8" i="1" s="1"/>
  <c r="CR45" i="1"/>
  <c r="DM45" i="1" s="1"/>
  <c r="BT45" i="1"/>
  <c r="CR16" i="1"/>
  <c r="DM16" i="1" s="1"/>
  <c r="BT16" i="1"/>
  <c r="DM48" i="1" l="1"/>
  <c r="EL29" i="1"/>
  <c r="FG10" i="1"/>
  <c r="FR11" i="1" s="1"/>
  <c r="EL21" i="1"/>
  <c r="EL34" i="1"/>
  <c r="EL7" i="1"/>
  <c r="FG7" i="1" s="1"/>
  <c r="FJ7" i="1" s="1"/>
  <c r="FK7" i="1" s="1"/>
  <c r="EL39" i="1"/>
  <c r="EL19" i="1"/>
  <c r="EL14" i="1"/>
  <c r="EL13" i="1"/>
  <c r="EL17" i="1"/>
  <c r="EL12" i="1"/>
  <c r="EL8" i="1"/>
  <c r="EL37" i="1"/>
  <c r="EL16" i="1"/>
  <c r="EL45" i="1"/>
  <c r="EL36" i="1"/>
  <c r="EL11" i="1"/>
  <c r="EL44" i="1"/>
  <c r="EL18" i="1"/>
  <c r="EL25" i="1"/>
  <c r="EL20" i="1"/>
  <c r="EL15" i="1"/>
  <c r="EL9" i="1"/>
  <c r="EL22" i="1"/>
  <c r="EL35" i="1"/>
  <c r="FG37" i="1" l="1"/>
  <c r="FG14" i="1"/>
  <c r="FG34" i="1"/>
  <c r="FG35" i="1"/>
  <c r="FG36" i="1"/>
  <c r="FG19" i="1"/>
  <c r="FG21" i="1"/>
  <c r="FG15" i="1"/>
  <c r="FG22" i="1"/>
  <c r="FG25" i="1"/>
  <c r="FG45" i="1"/>
  <c r="FG39" i="1"/>
  <c r="FG17" i="1"/>
  <c r="FG29" i="1"/>
  <c r="FG20" i="1"/>
  <c r="FR16" i="1" s="1"/>
  <c r="FG9" i="1"/>
  <c r="FG18" i="1"/>
  <c r="FR15" i="1" s="1"/>
  <c r="FG16" i="1"/>
  <c r="FG11" i="1"/>
  <c r="FR12" i="1" s="1"/>
  <c r="FG44" i="1"/>
  <c r="FG13" i="1"/>
  <c r="FR14" i="1" s="1"/>
  <c r="FG12" i="1"/>
  <c r="FR13" i="1" s="1"/>
  <c r="FG8" i="1"/>
  <c r="FG26" i="1"/>
  <c r="FR17" i="1" s="1"/>
  <c r="DM51" i="1"/>
  <c r="FJ10" i="1"/>
  <c r="DM50" i="1"/>
  <c r="FG50" i="1" l="1"/>
  <c r="Y78" i="12" s="1"/>
  <c r="Y81" i="12" s="1"/>
  <c r="FR20" i="1"/>
  <c r="FR22" i="1" s="1"/>
  <c r="FR28" i="1" s="1"/>
  <c r="FR23" i="1"/>
  <c r="FG51" i="1"/>
  <c r="Y79" i="12" s="1"/>
  <c r="Y82" i="12" s="1"/>
  <c r="FJ12" i="1"/>
  <c r="FK12" i="1" s="1"/>
  <c r="FS13" i="1" s="1"/>
  <c r="FJ20" i="1"/>
  <c r="FK20" i="1" s="1"/>
  <c r="FS16" i="1" s="1"/>
  <c r="FJ21" i="1"/>
  <c r="FK21" i="1" s="1"/>
  <c r="FJ19" i="1"/>
  <c r="FK19" i="1" s="1"/>
  <c r="FJ17" i="1"/>
  <c r="FK17" i="1" s="1"/>
  <c r="FJ35" i="1"/>
  <c r="FK35" i="1" s="1"/>
  <c r="FJ34" i="1"/>
  <c r="FK34" i="1" s="1"/>
  <c r="FJ45" i="1"/>
  <c r="FK45" i="1" s="1"/>
  <c r="FJ16" i="1"/>
  <c r="FK16" i="1" s="1"/>
  <c r="FJ25" i="1"/>
  <c r="FK25" i="1" s="1"/>
  <c r="FJ14" i="1"/>
  <c r="FK14" i="1" s="1"/>
  <c r="FJ13" i="1"/>
  <c r="FK13" i="1" s="1"/>
  <c r="FS14" i="1" s="1"/>
  <c r="FJ29" i="1"/>
  <c r="FK29" i="1" s="1"/>
  <c r="FJ44" i="1"/>
  <c r="FK44" i="1" s="1"/>
  <c r="FJ36" i="1"/>
  <c r="FK36" i="1" s="1"/>
  <c r="FJ11" i="1"/>
  <c r="FK11" i="1" s="1"/>
  <c r="FS12" i="1" s="1"/>
  <c r="FJ39" i="1"/>
  <c r="FK39" i="1" s="1"/>
  <c r="FJ26" i="1"/>
  <c r="FK26" i="1" s="1"/>
  <c r="FS17" i="1" s="1"/>
  <c r="FJ22" i="1"/>
  <c r="FK22" i="1" s="1"/>
  <c r="FJ37" i="1"/>
  <c r="FK37" i="1" s="1"/>
  <c r="FJ18" i="1"/>
  <c r="FK18" i="1" s="1"/>
  <c r="FS15" i="1" s="1"/>
  <c r="FJ8" i="1"/>
  <c r="FK8" i="1" s="1"/>
  <c r="FJ9" i="1"/>
  <c r="FK9" i="1" s="1"/>
  <c r="FJ15" i="1"/>
  <c r="FK15" i="1" s="1"/>
  <c r="FG48" i="1"/>
  <c r="FK10" i="1"/>
  <c r="FS11" i="1" s="1"/>
  <c r="FS20" i="1" l="1"/>
  <c r="FS23" i="1"/>
  <c r="FK50" i="1"/>
  <c r="FK51" i="1"/>
  <c r="FS22" i="1" l="1"/>
  <c r="W79" i="12"/>
  <c r="W82" i="12" s="1"/>
  <c r="W78" i="12"/>
  <c r="W81" i="12" s="1"/>
  <c r="FT26" i="1" l="1"/>
  <c r="FV26" i="1" s="1"/>
  <c r="FX26" i="1" s="1"/>
  <c r="FT25" i="1"/>
  <c r="FV25" i="1" l="1"/>
  <c r="FT28" i="1"/>
  <c r="FV28" i="1" l="1"/>
  <c r="FV30" i="1" s="1"/>
  <c r="FX25" i="1"/>
  <c r="FX28" i="1" s="1"/>
  <c r="FX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Reynoldson, Lindsey R.</author>
  </authors>
  <commentList>
    <comment ref="X8" authorId="0" shapeId="0" xr:uid="{D4C723E0-027A-4102-83C4-A2D3012A39A9}">
      <text>
        <r>
          <rPr>
            <b/>
            <sz val="9"/>
            <color indexed="81"/>
            <rFont val="Tahoma"/>
            <family val="2"/>
          </rPr>
          <t>Reynoldson, Lindsey R.:</t>
        </r>
        <r>
          <rPr>
            <sz val="9"/>
            <color indexed="81"/>
            <rFont val="Tahoma"/>
            <family val="2"/>
          </rPr>
          <t xml:space="preserve">
Sept Fcst has 12/2020</t>
        </r>
      </text>
    </comment>
    <comment ref="X9" authorId="0" shapeId="0" xr:uid="{7A5CD6A7-B3DC-42AB-A378-3C8DE0250DD0}">
      <text>
        <r>
          <rPr>
            <b/>
            <sz val="9"/>
            <color indexed="81"/>
            <rFont val="Tahoma"/>
            <family val="2"/>
          </rPr>
          <t>Reynoldson, Lindsey R.:</t>
        </r>
        <r>
          <rPr>
            <sz val="9"/>
            <color indexed="81"/>
            <rFont val="Tahoma"/>
            <family val="2"/>
          </rPr>
          <t xml:space="preserve">
Sept Fcst has 01/2021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Chao, Susan</author>
  </authors>
  <commentList>
    <comment ref="N42" authorId="0" shapeId="0" xr:uid="{11CFBFD3-30D3-4138-AFFB-055071E7AAFD}">
      <text>
        <r>
          <rPr>
            <b/>
            <sz val="9"/>
            <color indexed="81"/>
            <rFont val="Tahoma"/>
            <family val="2"/>
          </rPr>
          <t xml:space="preserve">Chao, Susan: </t>
        </r>
        <r>
          <rPr>
            <sz val="9"/>
            <color indexed="81"/>
            <rFont val="Tahoma"/>
            <family val="2"/>
          </rPr>
          <t>CIS Study Costs</t>
        </r>
      </text>
    </comment>
  </commentList>
</comments>
</file>

<file path=xl/sharedStrings.xml><?xml version="1.0" encoding="utf-8"?>
<sst xmlns="http://schemas.openxmlformats.org/spreadsheetml/2006/main" count="1526" uniqueCount="560">
  <si>
    <t>Mist Fiber Network</t>
  </si>
  <si>
    <t>In-service</t>
  </si>
  <si>
    <t>Lacamas Regional Gate Station</t>
  </si>
  <si>
    <t>Q1 2021</t>
  </si>
  <si>
    <t>Mist Standby Generator</t>
  </si>
  <si>
    <t>In-Service</t>
  </si>
  <si>
    <t>West Vancouver Gate Station Rebuild</t>
  </si>
  <si>
    <t>Mist Large Dehydration System</t>
  </si>
  <si>
    <t>Mist Instrument and Controls Project (Phase 2)</t>
  </si>
  <si>
    <t>Mist 300 and 400 Compressor Controls Upgrade</t>
  </si>
  <si>
    <t>Mist Well Rework Program (2020)</t>
  </si>
  <si>
    <t>Mist Well Rework Program (2021)</t>
  </si>
  <si>
    <t>Mist Valve Control Upgrade</t>
  </si>
  <si>
    <t>Newport Liquified Natural Gas ("LNG") H-2 Vaporizer Controls</t>
  </si>
  <si>
    <t>SE 1st Grading Project (Phase 2)</t>
  </si>
  <si>
    <t>SE 1st Grading Project (Phase 1)</t>
  </si>
  <si>
    <t>Mist Corrosion Abatement (Phase 3)</t>
  </si>
  <si>
    <t>Mist Corrosion Abatement (Phase 4)</t>
  </si>
  <si>
    <t>Facilities (Wayne Pipes Testimony)</t>
  </si>
  <si>
    <t>Vancouver Retrofit Phase 1</t>
  </si>
  <si>
    <t>Vancouver Retrofit Phase 2</t>
  </si>
  <si>
    <t>IT&amp;S (Jim Downing Testimony)</t>
  </si>
  <si>
    <t>Horizon 1</t>
  </si>
  <si>
    <t>White Salmon Reinforcement</t>
  </si>
  <si>
    <t>COH</t>
  </si>
  <si>
    <t>AFUDC</t>
  </si>
  <si>
    <t>Capitalized</t>
  </si>
  <si>
    <t>Property Tax</t>
  </si>
  <si>
    <t>Total Placed</t>
  </si>
  <si>
    <t>Additional Projects:</t>
  </si>
  <si>
    <t>Applicant</t>
  </si>
  <si>
    <t>COH Rate</t>
  </si>
  <si>
    <t>Digital Portal</t>
  </si>
  <si>
    <t>Compositiion Hardware &amp; Software</t>
  </si>
  <si>
    <t>Field &amp; Web Mapping</t>
  </si>
  <si>
    <t>SAP LMS</t>
  </si>
  <si>
    <t>Employee Central &amp; Onboarding</t>
  </si>
  <si>
    <t>Project Number</t>
  </si>
  <si>
    <t>201812;201758;201425;202129;202110;201844;201663;202068;202174;202029;202008;202170;202075;202045;202003;202168;201748;201897;201999;202094;202182</t>
  </si>
  <si>
    <t>Actuals Through August 2020</t>
  </si>
  <si>
    <t>Project Name</t>
  </si>
  <si>
    <t>Direct Cost</t>
  </si>
  <si>
    <t>Capitalized Property Tax</t>
  </si>
  <si>
    <t>Total</t>
  </si>
  <si>
    <t>Battleground Gate Station</t>
  </si>
  <si>
    <t>Ridgefield Gate Station</t>
  </si>
  <si>
    <t>Direct</t>
  </si>
  <si>
    <t>Actuals</t>
  </si>
  <si>
    <t>Forecast</t>
  </si>
  <si>
    <t>Based on December Board Forecast 2020</t>
  </si>
  <si>
    <t>2020 December Board Base Case</t>
  </si>
  <si>
    <t>a-Jan 2019</t>
  </si>
  <si>
    <t>a-Feb 2019</t>
  </si>
  <si>
    <t>a-Mar 2019</t>
  </si>
  <si>
    <t>a-Apr 2019</t>
  </si>
  <si>
    <t>a-May 2019</t>
  </si>
  <si>
    <t>a-Jun 2019</t>
  </si>
  <si>
    <t>a-Jul 2019</t>
  </si>
  <si>
    <t>a-Aug 2019</t>
  </si>
  <si>
    <t>a-Sep 2019</t>
  </si>
  <si>
    <t>a-Oct 2019</t>
  </si>
  <si>
    <t>a-Nov 2019</t>
  </si>
  <si>
    <t>a-Dec 2019</t>
  </si>
  <si>
    <t>a-Jan 2020</t>
  </si>
  <si>
    <t>a-Feb 2020</t>
  </si>
  <si>
    <t>a-Mar 2020</t>
  </si>
  <si>
    <t>a-Apr 2020</t>
  </si>
  <si>
    <t>a-May 2020</t>
  </si>
  <si>
    <t>a-Jun 2020</t>
  </si>
  <si>
    <t>a-Jul 2020</t>
  </si>
  <si>
    <t>a-Aug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</si>
  <si>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</si>
  <si>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</si>
  <si>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</si>
  <si>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</si>
  <si>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</si>
  <si>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</si>
  <si>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</si>
  <si>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</si>
  <si>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</si>
  <si>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</si>
  <si>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</si>
  <si>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</si>
  <si>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</si>
  <si>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</si>
  <si>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</si>
  <si>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</si>
  <si>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Sept-Oct</t>
  </si>
  <si>
    <t>X:[Cash Construction Expenditures before removing specific close date projects]</t>
  </si>
  <si>
    <t xml:space="preserve">   201425 Lacamas Regional Gate Station </t>
  </si>
  <si>
    <t xml:space="preserve">   201844 West Vancouver Gate Rebuild </t>
  </si>
  <si>
    <t xml:space="preserve">   990152 Battleground Gate Rebuild Ph. 1 </t>
  </si>
  <si>
    <t xml:space="preserve">   202110 White Salmon Reinforcement </t>
  </si>
  <si>
    <t xml:space="preserve">   201663 Mist Large Dehydrator </t>
  </si>
  <si>
    <t xml:space="preserve">   201758 Mist Fiber Network </t>
  </si>
  <si>
    <t xml:space="preserve">   201812 Mist Standby Generator </t>
  </si>
  <si>
    <t xml:space="preserve">   202008 Mist Corrosion Abatement Phase 3 </t>
  </si>
  <si>
    <t xml:space="preserve">   202170 Mist Corrossion Abatement 4 </t>
  </si>
  <si>
    <t xml:space="preserve">   202068 Mist Instrument and Controls Upgrade Ph. 2 </t>
  </si>
  <si>
    <t xml:space="preserve">   202075 Mist Valve Control Upgrades </t>
  </si>
  <si>
    <t xml:space="preserve">   202045 Newport Vaporizer H2 Controls </t>
  </si>
  <si>
    <t xml:space="preserve">   202003 Vancouver Retrofit phase 1 </t>
  </si>
  <si>
    <t xml:space="preserve">   201897 Composition Hardware &amp; Software </t>
  </si>
  <si>
    <t xml:space="preserve">   201748-1 Digital Portal (On Prem) </t>
  </si>
  <si>
    <t xml:space="preserve">   201999-2 Field &amp; Web Mapping Implementation (Cloud Based) </t>
  </si>
  <si>
    <t xml:space="preserve">   990279-1 SAP S4/Hanna Upgrade Horizon 1 (On Prem) </t>
  </si>
  <si>
    <t xml:space="preserve">   202174 Mist Well Rework 2020 </t>
  </si>
  <si>
    <t xml:space="preserve">   202029-3 Mist Well Rework 2021 </t>
  </si>
  <si>
    <t xml:space="preserve">   202129 SE 1st Grading (3,500 ft of Class D 4" (W) Ph1/Ph2 </t>
  </si>
  <si>
    <t xml:space="preserve">   990581 Vancouver Retrofit phase 2 </t>
  </si>
  <si>
    <t xml:space="preserve">   202168 Horizon 1 - Pre-Planning SAP S4/Hanna Upgrade Scope Validation </t>
  </si>
  <si>
    <t xml:space="preserve">   202182 SAP Employee Central &amp; Onboarding </t>
  </si>
  <si>
    <t xml:space="preserve">   202094 SAP LMS </t>
  </si>
  <si>
    <t xml:space="preserve">   201748-2 Digital Portal (Cloud based) </t>
  </si>
  <si>
    <t xml:space="preserve">   201999-1 Field &amp; Web Mapping Implementation (On Prem) </t>
  </si>
  <si>
    <t xml:space="preserve">   990627 SE 1st Grading Phase 2 </t>
  </si>
  <si>
    <t xml:space="preserve">   990630 Battleground Gate Rebuild Ph. 2 </t>
  </si>
  <si>
    <t xml:space="preserve">   990632 Ridgefield Gate Phase 2 </t>
  </si>
  <si>
    <t xml:space="preserve">   990645 Mist 300-400 Upgrade </t>
  </si>
  <si>
    <t xml:space="preserve">   990717 Ridgefield Gate Ph. 1 </t>
  </si>
  <si>
    <t xml:space="preserve">   990279-2 SAP S4/Hanna Upgrade Horizon 1 (Cloud Based) </t>
  </si>
  <si>
    <t>AA:[Cash Construction Expenditures]</t>
  </si>
  <si>
    <t>AC:[COH Amount Allocated Based on Fixed Percent]</t>
  </si>
  <si>
    <t>AN:[COH Amount Fixed Percent and Remainder Allocation]</t>
  </si>
  <si>
    <t>AQ:[Cash Construction Expenditures Plus Allocated COH]</t>
  </si>
  <si>
    <t>BS:[Total AFUDC To Use]</t>
  </si>
  <si>
    <t>CJ:[Capitalized Property tax]</t>
  </si>
  <si>
    <t>DP:[Capitalized Property tax closed]</t>
  </si>
  <si>
    <t>EC:[Total AFUDC Debt Closed (To Use)]</t>
  </si>
  <si>
    <t>EE:[Total Book Closed (To Use)]</t>
  </si>
  <si>
    <t>GH:[Capitalized Property tax - utility]</t>
  </si>
  <si>
    <t>TBD</t>
  </si>
  <si>
    <t>FERC Allocation in UI</t>
  </si>
  <si>
    <t>Horizon 1 - Pre-planning scope validation</t>
  </si>
  <si>
    <t>351.10</t>
  </si>
  <si>
    <t>Amount Placed In-service by FERC Amount</t>
  </si>
  <si>
    <t>WA State Allocation Rate</t>
  </si>
  <si>
    <t>WA Amount Placed In-service by FERC Amount</t>
  </si>
  <si>
    <t>December Board Forecast (Sept 2020 - )</t>
  </si>
  <si>
    <t>Digital Portal (On Prem)</t>
  </si>
  <si>
    <t>Digital Portal (Cloud)</t>
  </si>
  <si>
    <t>check</t>
  </si>
  <si>
    <t>Security Alerting and Monitoring (On Prem)</t>
  </si>
  <si>
    <t>Security Alerting and Monitoring (Hardware)</t>
  </si>
  <si>
    <t>Contact Center IVR Implementation</t>
  </si>
  <si>
    <t>Planview Implementation</t>
  </si>
  <si>
    <t>Skype for Business Phase 2</t>
  </si>
  <si>
    <t>BI Strategy / Power BI Deployment</t>
  </si>
  <si>
    <t>SAP LMS (Cloud)</t>
  </si>
  <si>
    <t>Actuals to Date- CWIP (Aug 2020)</t>
  </si>
  <si>
    <t>Composition Hardware &amp; Software - Phase 1</t>
  </si>
  <si>
    <t>cloud</t>
  </si>
  <si>
    <t>software</t>
  </si>
  <si>
    <t>hardware</t>
  </si>
  <si>
    <t>4 year contract, ends 5/12/24</t>
  </si>
  <si>
    <t>3 year contract, ends 10/21/23</t>
  </si>
  <si>
    <t>10 year Depreciation</t>
  </si>
  <si>
    <t>Cap. Property Tax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</si>
  <si>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</si>
  <si>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</si>
  <si>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</si>
  <si>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</si>
  <si>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</si>
  <si>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</si>
  <si>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</si>
  <si>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</si>
  <si>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</si>
  <si>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</si>
  <si>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</si>
  <si>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</si>
  <si>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Total In-Service</t>
  </si>
  <si>
    <t>Various - See tab</t>
  </si>
  <si>
    <t>Notes</t>
  </si>
  <si>
    <t>Project</t>
  </si>
  <si>
    <t>Total Projected Project Spend</t>
  </si>
  <si>
    <t xml:space="preserve">Capital </t>
  </si>
  <si>
    <t>Category</t>
  </si>
  <si>
    <t>%Cloud</t>
  </si>
  <si>
    <t>%Perpetual</t>
  </si>
  <si>
    <t>%Hardware</t>
  </si>
  <si>
    <t>Cloud</t>
  </si>
  <si>
    <t>Software</t>
  </si>
  <si>
    <t>Hardware</t>
  </si>
  <si>
    <t>TOTAL</t>
  </si>
  <si>
    <t>SI</t>
  </si>
  <si>
    <t>Perpetual/Cloud</t>
  </si>
  <si>
    <t>PowerPlan</t>
  </si>
  <si>
    <t>Perpetual</t>
  </si>
  <si>
    <t>SAP</t>
  </si>
  <si>
    <t>Internal</t>
  </si>
  <si>
    <t>SAP license</t>
  </si>
  <si>
    <t>Maintenance</t>
  </si>
  <si>
    <t>HANA cloud</t>
  </si>
  <si>
    <t>Other apps</t>
  </si>
  <si>
    <t>Azure Subscription &amp; CMS</t>
  </si>
  <si>
    <t>Misc. Costs</t>
  </si>
  <si>
    <t>Contingency</t>
  </si>
  <si>
    <t>Horizon Implementation</t>
  </si>
  <si>
    <t>Horizon 1 - Prerequisites (Software)</t>
  </si>
  <si>
    <t>Horizon 1 - Prerequisites (Cloud)</t>
  </si>
  <si>
    <t>Horizon 1 - Prerequisites CWIP (Software)</t>
  </si>
  <si>
    <t>Horizon 1 - Prerequisites CWIP (Cloud)</t>
  </si>
  <si>
    <t>Pre-S4 Imitative Tear Sheets - Capital / O&amp;M Review</t>
  </si>
  <si>
    <t>Area</t>
  </si>
  <si>
    <t>Rec.</t>
  </si>
  <si>
    <t>Pre-S4 Initiative</t>
  </si>
  <si>
    <t>Counter</t>
  </si>
  <si>
    <t>CAP</t>
  </si>
  <si>
    <t>O&amp;M</t>
  </si>
  <si>
    <t>Total Cost</t>
  </si>
  <si>
    <t>Yes</t>
  </si>
  <si>
    <t>Allocation</t>
  </si>
  <si>
    <t>Perpetual / Subscription</t>
  </si>
  <si>
    <t>CWIP</t>
  </si>
  <si>
    <t>M8C Notes</t>
  </si>
  <si>
    <t>EAM</t>
  </si>
  <si>
    <t>AM1a</t>
  </si>
  <si>
    <t>Formalize Asset Owners – Specific Assets (T&amp;D assets)</t>
  </si>
  <si>
    <t>No</t>
  </si>
  <si>
    <t>(11/12) Costs will remain O&amp;M</t>
  </si>
  <si>
    <t>AM2a</t>
  </si>
  <si>
    <t>Expand Asset Strategies, Policies, and Formal Risk Frameworks – Specific Assets (T&amp;D assets)</t>
  </si>
  <si>
    <t>41/59</t>
  </si>
  <si>
    <t>(11/12) Costs are classified as Capital.
Could the Asset Management program that we initiated two years ago contribute to this?  Would that help reduce the cost?
(11/18) Incorporated into Software</t>
  </si>
  <si>
    <t>AM4a</t>
  </si>
  <si>
    <t>Optimize the Investment and Maintenance Portfolio – Specific Assets (T&amp;D assets)</t>
  </si>
  <si>
    <t>(11/12) Costs are classified as Capital.
The SAP Investment Management (IM) Module is already configured/used in SAP and Applicants exist to categorize Capex.
(11/18) Incorporated into Software</t>
  </si>
  <si>
    <t>RM2a</t>
  </si>
  <si>
    <t>Establish Formal Contractor Strategy and Evaluation Criteria for Specific Contractors</t>
  </si>
  <si>
    <t>(11/12) Marty to discuss O&amp;M vs. Capital with Karen. This is similar to AM2a and AM4a, so could potentially be Capital.
(11/16) Determination made to classify this as 100% capital. Karen in agreement with Marty's proposal.
(11/18) Incorporated into Software</t>
  </si>
  <si>
    <t>SCM</t>
  </si>
  <si>
    <t>SCM1</t>
  </si>
  <si>
    <t>Define and Document Inventory Management Strategy</t>
  </si>
  <si>
    <t>(11/10) Confirmed this will remain O&amp;M</t>
  </si>
  <si>
    <t>Define Enterprise Organizational Hierarchy </t>
  </si>
  <si>
    <t>We have an existing Cost Center hierarchy, with Nodes that summarize O&amp;M Expense (Actual vs. Budget).  Is this to update these or is this in reference to something else?
(11/10) Confirmed O&amp;M - This is a reorganization/restructuring</t>
  </si>
  <si>
    <t>SCM5</t>
  </si>
  <si>
    <t>Sherwood Warehouse Readiness</t>
  </si>
  <si>
    <t>(11/10) Updated O&amp;M to External; updated CapEx to $10k-$20k - NWN had done this when the warehouse was originally purchased, it probably would have been capitalized, work on the bins (e.g. creating labels) is creating an asset
(11/18) Not accounted for in the total $</t>
  </si>
  <si>
    <t>Establish Governance for Charge Off Process</t>
  </si>
  <si>
    <t>We already have a charge-off process. Inventory is Cycle Counted
(11/10) Confirmed this will remain O&amp;M - This is geared toward policy work</t>
  </si>
  <si>
    <t>Establish Advanced Procurement Strategy and Spend Categorization</t>
  </si>
  <si>
    <t>(11/10) Confirmed this will remain O&amp;M - This is the bigger picture of driving the procurement team to be more sophisticated/efficient and would lead to a reorganization of the group</t>
  </si>
  <si>
    <t>IT</t>
  </si>
  <si>
    <t>IT3</t>
  </si>
  <si>
    <t>Enhance Existing Development Standards and Templates</t>
  </si>
  <si>
    <t>(11/17) This will remain as O&amp;M. This is design work and would establish best practices for development in SAP.</t>
  </si>
  <si>
    <t>IT4</t>
  </si>
  <si>
    <t>Migrate to Azure DevOps</t>
  </si>
  <si>
    <t>Subscription</t>
  </si>
  <si>
    <t xml:space="preserve">(11/17) This will remain as-is.
Assuming that the Capex portion relates to "Assess and document As-Is and To-be processes." </t>
  </si>
  <si>
    <t>IT8</t>
  </si>
  <si>
    <t>Implement Change and Release Management Tools (e.g., CHaRM)</t>
  </si>
  <si>
    <t xml:space="preserve">Capital = Software and cost to configure
(11/17) Notes from Deloitte:
-Op Ex was for the first year of licensing, which moves to cap ex  
-Training accounted for in an assumption as 3% in alignment with business case financials  
-O&amp;M - $7,500 for training  </t>
  </si>
  <si>
    <t>IT9</t>
  </si>
  <si>
    <t>Perform a Phase 0 Migration of SAP ECC to S/4 Sandbox</t>
  </si>
  <si>
    <t>(11/17) This will remain as Capital.
Migration cost is capital, but any data conversion costs are incurred, that would be O&amp;M Expense</t>
  </si>
  <si>
    <t>Sec. </t>
  </si>
  <si>
    <t>S&amp;C1</t>
  </si>
  <si>
    <t>Identity Governance and Administration (IGA)</t>
  </si>
  <si>
    <t>(11/17) This will remain as Capital. This is the acquisition and implementation of software.</t>
  </si>
  <si>
    <t>Access Control Governance (IAM)</t>
  </si>
  <si>
    <t xml:space="preserve">(11/17) This will remain as Capital. </t>
  </si>
  <si>
    <t>Privileged Access Management</t>
  </si>
  <si>
    <t>Multi-factor Authentication (MFA)</t>
  </si>
  <si>
    <t>Secure Software Development Lifecycle (S-SDLC)</t>
  </si>
  <si>
    <t>S&amp;C2</t>
  </si>
  <si>
    <t>SAP GRC 12.0</t>
  </si>
  <si>
    <t>In Progress</t>
  </si>
  <si>
    <t>(11/17) This will remain as Capital. Project costs are $550k.
Project in progress. Migration cost is capital, but any data conversion costs are incurred, that would be O&amp;M Expense</t>
  </si>
  <si>
    <t>Patch and Vulnerability Management</t>
  </si>
  <si>
    <r>
      <t xml:space="preserve">(11/17) This will remain as Capital.
This looks like O&amp;M: Define processes to track implementation of security patches identified for remediation of vulnerabilities - </t>
    </r>
    <r>
      <rPr>
        <sz val="9"/>
        <color rgb="FFFF0000"/>
        <rFont val="Cambria"/>
        <family val="1"/>
      </rPr>
      <t>Moved to O&amp;M</t>
    </r>
  </si>
  <si>
    <t>Access Control Governance (GRC)</t>
  </si>
  <si>
    <t>(11/17) This will remain as Capital.</t>
  </si>
  <si>
    <t>OCM</t>
  </si>
  <si>
    <t>OCM1</t>
  </si>
  <si>
    <t>Job Profile and Skillset Analysis</t>
  </si>
  <si>
    <t>OCM2</t>
  </si>
  <si>
    <t>SAP Resource Backfill Plan</t>
  </si>
  <si>
    <t>Data</t>
  </si>
  <si>
    <t>DAT1</t>
  </si>
  <si>
    <t>Data Cataloging, Profiling, Cleansing and Governance model (Master and Transactional)</t>
  </si>
  <si>
    <r>
      <t xml:space="preserve">More clarification on this would be beneficial.  To the extent that this is cataloguing "As-Is" state, these costs could be capital.  If it is all truly data-cleansing then it would be O&amp;M. </t>
    </r>
    <r>
      <rPr>
        <sz val="9"/>
        <color rgb="FFFF0000"/>
        <rFont val="Cambria"/>
        <family val="1"/>
      </rPr>
      <t>Proposing to take the average of $600,000 Project cost with a (30% O&amp;M and 70% Capital split following overall implementation project allocation methodology)</t>
    </r>
  </si>
  <si>
    <t>Mobility</t>
  </si>
  <si>
    <t>MOB1</t>
  </si>
  <si>
    <t>Evaluate and select new MDM Solution</t>
  </si>
  <si>
    <t>(11/17) Jennifer confirmed capital and O&amp;M with Deloitte
Implementation of a new tool - Microsoft InTune</t>
  </si>
  <si>
    <t>Update existing BYOD Policy</t>
  </si>
  <si>
    <t>(11/17) This is internal. Removed $61k.</t>
  </si>
  <si>
    <t>MOB2</t>
  </si>
  <si>
    <t>Establish Mobility / IT Governance framework</t>
  </si>
  <si>
    <t>(11/17). This is process work. Costs will remain O&amp;M.</t>
  </si>
  <si>
    <t>Define and implement mobility testing and QA processes</t>
  </si>
  <si>
    <t xml:space="preserve">(11/17) Notes from Deloitte:
-Determined capital given the work proposed. 
-Implementing a cloud based tool (i.e. Microfocus UFT Mobile)  
-O&amp;M - $10k for training  </t>
  </si>
  <si>
    <t>MOB3</t>
  </si>
  <si>
    <t>Design and roll-out Mobility Basics Training</t>
  </si>
  <si>
    <t xml:space="preserve">(11/17) Notes from Deloitte: 
-To find out key topics needed to be training on - products already deployed  
-Develop content on key area of focus  
-O&amp;M - $2k for training  </t>
  </si>
  <si>
    <t>Implement Change Management Processes</t>
  </si>
  <si>
    <t xml:space="preserve">(11/17) Notes from Deloitte
-Can be combined with MOB 3-1  
-Communication and Organizational Change for Mobile Applications  
-No software being implemented  </t>
  </si>
  <si>
    <t>Establish UX / Design Thinking culture</t>
  </si>
  <si>
    <t>(11/17) Costs will remain O&amp;M.</t>
  </si>
  <si>
    <t>Final numbers will be $61k lower due to MOB1 (BYOD policy) moving internal. Still should round to $7.6M</t>
  </si>
  <si>
    <t>Original numbers = Business Case</t>
  </si>
  <si>
    <t>Variance</t>
  </si>
  <si>
    <t>AM2a shift to Cap from O&amp;M</t>
  </si>
  <si>
    <t>AM4a shift to Cap from O&amp;M</t>
  </si>
  <si>
    <t>RM2a shift to Cap from O&amp;M</t>
  </si>
  <si>
    <t>MOB3 shift to Cap from O&amp;M</t>
  </si>
  <si>
    <t>MOB2 shift to Cap from O&amp;M</t>
  </si>
  <si>
    <t>MOB1 shift to Cap from O&amp;M</t>
  </si>
  <si>
    <t>IT8 shift to Cap from O&amp;M</t>
  </si>
  <si>
    <t>MOB1 move to Internal</t>
  </si>
  <si>
    <t>Assumptions:</t>
  </si>
  <si>
    <t>*Split 41% Subscription 59% Perpetual</t>
  </si>
  <si>
    <t>Capital Dollars associated for CWIP</t>
  </si>
  <si>
    <t>Capital Dollars for In-Service</t>
  </si>
  <si>
    <t>CWIP Cloud</t>
  </si>
  <si>
    <t>CWIP Software</t>
  </si>
  <si>
    <t>2021 Inserivce Cloud</t>
  </si>
  <si>
    <t>2021 Inservice Software</t>
  </si>
  <si>
    <t>%Cloud/Subscription</t>
  </si>
  <si>
    <t>Facilities (Wayne Pipes)</t>
  </si>
  <si>
    <t>IT&amp;S (Jim Downing)</t>
  </si>
  <si>
    <t>Engineering (Joe Karney)</t>
  </si>
  <si>
    <t xml:space="preserve">Horizon 1 - Implementation (On Prem) </t>
  </si>
  <si>
    <t xml:space="preserve">Horizon 1 - Implementation (Cloud) </t>
  </si>
  <si>
    <t xml:space="preserve">Horizon 1 - Implementation (Hardware) </t>
  </si>
  <si>
    <t>Study Allocation</t>
  </si>
  <si>
    <t>Spend</t>
  </si>
  <si>
    <t>Year 2</t>
  </si>
  <si>
    <t>Year 1</t>
  </si>
  <si>
    <t>Rate Effective Year</t>
  </si>
  <si>
    <t>WA Depreciation Expense for Plant Placed In-service by FERC Amount</t>
  </si>
  <si>
    <t xml:space="preserve">WA Depreciation Expense Rates </t>
  </si>
  <si>
    <t>Depreciation Expense</t>
  </si>
  <si>
    <t>Total Capital</t>
  </si>
  <si>
    <t>Months Prior to Rates</t>
  </si>
  <si>
    <t>Accumulated Depreciation</t>
  </si>
  <si>
    <t>Accumulated Depr.</t>
  </si>
  <si>
    <t>WA Allocation</t>
  </si>
  <si>
    <t>various</t>
  </si>
  <si>
    <t>Net Book Value</t>
  </si>
  <si>
    <t>Testimony Reference</t>
  </si>
  <si>
    <t>NW Natural</t>
  </si>
  <si>
    <t>Proforma Projects and Testimony References</t>
  </si>
  <si>
    <t>JSK-1T</t>
  </si>
  <si>
    <t>JRD-1T</t>
  </si>
  <si>
    <t>Vancouver Retrofit Phase 1 (Vancouver Resource Center)</t>
  </si>
  <si>
    <t>Vancouver Retrofit Phase 2 (Vancouver Resource Center)</t>
  </si>
  <si>
    <t>WKP-1T</t>
  </si>
  <si>
    <t>Washington General Rate Case</t>
  </si>
  <si>
    <t>Washington Net Book Value [1]</t>
  </si>
  <si>
    <t>[1] Net book value at time rates are effective</t>
  </si>
  <si>
    <t>Cloud Based SAP SF EC &amp; Onboarding</t>
  </si>
  <si>
    <t>Total Year 2</t>
  </si>
  <si>
    <t>Storage and storage transmission</t>
  </si>
  <si>
    <t>Structure</t>
  </si>
  <si>
    <t>Land</t>
  </si>
  <si>
    <t>General</t>
  </si>
  <si>
    <t>Distribution</t>
  </si>
  <si>
    <t>Transmission</t>
  </si>
  <si>
    <t>Intangible Software</t>
  </si>
  <si>
    <t>Total Year 1</t>
  </si>
  <si>
    <t>Annual Depreciation Exp</t>
  </si>
  <si>
    <t xml:space="preserve">Project </t>
  </si>
  <si>
    <t>Year</t>
  </si>
  <si>
    <t>FERC Acct</t>
  </si>
  <si>
    <t>TOTAL Year 2</t>
  </si>
  <si>
    <t>LINES</t>
  </si>
  <si>
    <t>firm volumes</t>
  </si>
  <si>
    <t>Engineering/JK</t>
  </si>
  <si>
    <t>WELLS</t>
  </si>
  <si>
    <t>TELEMETERING - OTHER</t>
  </si>
  <si>
    <t>MEASURING &amp; REG EQUIP - GENER</t>
  </si>
  <si>
    <t>MAINS 4" &amp; &gt;</t>
  </si>
  <si>
    <t>STRUCTURES &amp; IMPROVEMENTS</t>
  </si>
  <si>
    <t>Direct-WA</t>
  </si>
  <si>
    <t>MAINS &lt; 4"</t>
  </si>
  <si>
    <t>MAINS</t>
  </si>
  <si>
    <t>COMPUTERS</t>
  </si>
  <si>
    <t>Customers-all</t>
  </si>
  <si>
    <t>IT&amp;S/JD</t>
  </si>
  <si>
    <t>CLOUD-BASED SOFTWARE</t>
  </si>
  <si>
    <t>COMPUTER SOFTWARE</t>
  </si>
  <si>
    <t>Facilities/WP</t>
  </si>
  <si>
    <t>TOTAL Year 1</t>
  </si>
  <si>
    <t>Various</t>
  </si>
  <si>
    <t>Var - See tab</t>
  </si>
  <si>
    <t>OTHER THAN MOBILE &amp; TELEMET</t>
  </si>
  <si>
    <t>Cloud Based SAP SF ED &amp; Onboarding</t>
  </si>
  <si>
    <t>Composition Hardware &amp; Software</t>
  </si>
  <si>
    <t>VAPORIZING EQUIP - LINNTON</t>
  </si>
  <si>
    <t>MEASURING / REGULATING EQUIPM</t>
  </si>
  <si>
    <t>COMPRESSOR STATION EQUIPMENT</t>
  </si>
  <si>
    <t>STRUCTURES AND IMPROVEMENTS</t>
  </si>
  <si>
    <t>OTHER EQUIPMENT</t>
  </si>
  <si>
    <t>Depreciation Rate</t>
  </si>
  <si>
    <t>Accum Depreciation</t>
  </si>
  <si>
    <t>Project Allocation $</t>
  </si>
  <si>
    <t>Project Allocation %</t>
  </si>
  <si>
    <t>FERC Account Description</t>
  </si>
  <si>
    <t>Allocated Washington Amount</t>
  </si>
  <si>
    <t>WA Allocation %</t>
  </si>
  <si>
    <t>Allocation Factor</t>
  </si>
  <si>
    <t>Total Charges</t>
  </si>
  <si>
    <t>Study Costs</t>
  </si>
  <si>
    <t>Closed Plant Amount</t>
  </si>
  <si>
    <t>Useful Life</t>
  </si>
  <si>
    <t># Months in Service</t>
  </si>
  <si>
    <t>In-Service Date</t>
  </si>
  <si>
    <t>Project Type/Owner</t>
  </si>
  <si>
    <t>Capital Project</t>
  </si>
  <si>
    <t>Project #</t>
  </si>
  <si>
    <t>Item</t>
  </si>
  <si>
    <t>Year 2 = November 1, 2021 through October 31, 2022</t>
  </si>
  <si>
    <t>Year 1 = October 1, 2020 through October 31, 2021</t>
  </si>
  <si>
    <t>UI Planner Preliminary December Board Forecast - Projects closing between October 2020 and October 2022</t>
  </si>
  <si>
    <t>OTHER MISCELLANEOUS EQUIPMENT</t>
  </si>
  <si>
    <t>INSTALLED IN LEASED BUILDINGS</t>
  </si>
  <si>
    <t>JANITORIAL EQUIPMENT</t>
  </si>
  <si>
    <t>KITCHEN EQUIPMENT</t>
  </si>
  <si>
    <t>PRINT SHOP</t>
  </si>
  <si>
    <t>GEN PLANT-MISCELLANEOUS EQU</t>
  </si>
  <si>
    <t>TELEPHONE EQUIPMENT</t>
  </si>
  <si>
    <t>TELEMETERING - MICROWAVE</t>
  </si>
  <si>
    <t>11/30 &gt; Change Depreciation Rate from 6.67% to 3.02%</t>
  </si>
  <si>
    <t>MOBILE</t>
  </si>
  <si>
    <t>GEN PLANT-COMMUNICATION EQU</t>
  </si>
  <si>
    <t>POWER OPERATED EQUIPMENT</t>
  </si>
  <si>
    <t>LABORATORY EQUIPMENT</t>
  </si>
  <si>
    <t>TOOLS - SHOP &amp; GARAGE EQUIPUI</t>
  </si>
  <si>
    <t>STORES EQUIPMENT</t>
  </si>
  <si>
    <t>TRANSPORTATION EQUIPMENT</t>
  </si>
  <si>
    <t>CUSTOMER INFORMATION SYSTEM</t>
  </si>
  <si>
    <t>ON SITE BILLING</t>
  </si>
  <si>
    <t>OFFICE FURNITURE &amp; EQUIPMEN</t>
  </si>
  <si>
    <t>SOURCE CONTROL PLANT</t>
  </si>
  <si>
    <t>LAND</t>
  </si>
  <si>
    <t>METER TESTING EQUIPMENT</t>
  </si>
  <si>
    <t>CALORIMETERS @ GATE STATIONS</t>
  </si>
  <si>
    <t>CATHODIC PROTECTION TESTING</t>
  </si>
  <si>
    <t>MULTI-FAMILY METER ROOMS</t>
  </si>
  <si>
    <t>OTHER PROPERTY ON CUSTOMERS P</t>
  </si>
  <si>
    <t>HOUSE REGULATORS</t>
  </si>
  <si>
    <t>ERT INSTALLATION (ENCODER</t>
  </si>
  <si>
    <t>METER INSTALLATIONS (ELECTR</t>
  </si>
  <si>
    <t>METER INSTALLATIONS</t>
  </si>
  <si>
    <t>ERT (ENCODER RECEIVER TRANS</t>
  </si>
  <si>
    <t>METERS (ELECTRONIC)</t>
  </si>
  <si>
    <t>METERS</t>
  </si>
  <si>
    <t>SERVICES</t>
  </si>
  <si>
    <t>MEASURING &amp; REG EQUIP - GATE</t>
  </si>
  <si>
    <t>11/30 &gt; Change Depreciation Rate from 0.00% to 1.50%</t>
  </si>
  <si>
    <t>LAND RIGHTS</t>
  </si>
  <si>
    <t>COMMUNICATION EQUIPMENT</t>
  </si>
  <si>
    <t>MEASURING &amp; REGULATE STATION</t>
  </si>
  <si>
    <t>TRANSMISSION COMPRESSOR</t>
  </si>
  <si>
    <t>38M NORTH S MIST TRANS</t>
  </si>
  <si>
    <t>12M NORTH S MIST TRANS</t>
  </si>
  <si>
    <t>11.7M S MIST TRANS LINE</t>
  </si>
  <si>
    <t>SOUTH MIST TRANSMISSION LI</t>
  </si>
  <si>
    <t>NORTH MIST TRANSMISSION LI</t>
  </si>
  <si>
    <t>STRUCTURES &amp; IMPROVEMENTS -</t>
  </si>
  <si>
    <t>LNG REFUELING FACILITIES</t>
  </si>
  <si>
    <t>CNG REFUELING FACILITIES</t>
  </si>
  <si>
    <t>MEASURING &amp; REGULATING EQU</t>
  </si>
  <si>
    <t xml:space="preserve">MEASURING AND REGULATING  EQUIPMENT               </t>
  </si>
  <si>
    <t>COMPRESSOR EQUIPMENT - NE</t>
  </si>
  <si>
    <t>COMPRESSOR EQUIP - LINNTON</t>
  </si>
  <si>
    <t>COMPRESSOR EQUIPMENT</t>
  </si>
  <si>
    <t>VAPORIZING EQUIP - NEWPORT</t>
  </si>
  <si>
    <t>VAPORIZING EQUIPMENT</t>
  </si>
  <si>
    <t>LIQUEFACTION EQUIP - NEWPO</t>
  </si>
  <si>
    <t>LIQUEFACTION EQUIP. - LINN</t>
  </si>
  <si>
    <t>LIQUEFACTION EQUIPMENT</t>
  </si>
  <si>
    <t>GAS HOLDERS - LNG OTHER</t>
  </si>
  <si>
    <t>GAS HOLDERS - LNG NEWPORT</t>
  </si>
  <si>
    <t>GAS HOLDERS - LNG LINNTON</t>
  </si>
  <si>
    <t>GAS HOLDERS</t>
  </si>
  <si>
    <t>LAND - OTHER</t>
  </si>
  <si>
    <t>LAND - LNG NEWPORT</t>
  </si>
  <si>
    <t>LAND - LNG LINNTON</t>
  </si>
  <si>
    <t>PURIFICATION EQUIPMENT</t>
  </si>
  <si>
    <t>GF Turb #2 '15 Rebuild</t>
  </si>
  <si>
    <t>GAS FIRE TURBINE #5</t>
  </si>
  <si>
    <t>GAS FIRE TURBINE #4</t>
  </si>
  <si>
    <t>GAS FIRE TURBINE #3</t>
  </si>
  <si>
    <t>GAS FIRE TURBINE #2</t>
  </si>
  <si>
    <t>GAS FIRE TURBINE #1</t>
  </si>
  <si>
    <t>11/30 &gt; Change Depreciation Rate from 1.51% to 1.78%</t>
  </si>
  <si>
    <t>NON-RECOVERABLE NATURAL GAS</t>
  </si>
  <si>
    <t>RESERVOIRS</t>
  </si>
  <si>
    <t>STORAGE LEASEHOLD &amp; RIGHTS</t>
  </si>
  <si>
    <t>RIGHTS-OF-WAY</t>
  </si>
  <si>
    <t>NATURAL GAS PROD &amp; GATHERIN</t>
  </si>
  <si>
    <t>NATURAL GAS PROD AND GATHER</t>
  </si>
  <si>
    <t>GAS MIXING EQUIPMENT GASCO</t>
  </si>
  <si>
    <t>P P O G TAR PROCESSING</t>
  </si>
  <si>
    <t>P P O G LIGHT OIL REFINING</t>
  </si>
  <si>
    <t>P P O G FUEL HANDLING AND S</t>
  </si>
  <si>
    <t>LIQUIFIED GAS EQUIPMENT LIN</t>
  </si>
  <si>
    <t>LIQUIFIED GAS EQUIPMENT COO</t>
  </si>
  <si>
    <t>P P OTHER-L P G GRANGER</t>
  </si>
  <si>
    <t>P P OTHER-LIQUEFIED PETROLE</t>
  </si>
  <si>
    <t>P P O G STRU &amp; IMPR-OTHER Y</t>
  </si>
  <si>
    <t>P P O G STRU &amp; IMPR-SEWER S</t>
  </si>
  <si>
    <t>STRUCTURES MIXING STATION</t>
  </si>
  <si>
    <t>GAS PRODUCTION - COTTAGE G</t>
  </si>
  <si>
    <t>POWERPLANT SOFTWARE</t>
  </si>
  <si>
    <t>CRMS</t>
  </si>
  <si>
    <t>INDUSTRIAL &amp; COMMERCIAL BIL</t>
  </si>
  <si>
    <t>FRANCHISES &amp; CONSENTS</t>
  </si>
  <si>
    <t>ORGANIZATION</t>
  </si>
  <si>
    <t>Net Salvage %</t>
  </si>
  <si>
    <t>Depr Rate</t>
  </si>
  <si>
    <t>Environmental Admin Costs</t>
  </si>
  <si>
    <t>Perimeter</t>
  </si>
  <si>
    <t>Depreciation</t>
  </si>
  <si>
    <t>Gross plant direct assign</t>
  </si>
  <si>
    <t>Direct-OR</t>
  </si>
  <si>
    <t>Telemetering</t>
  </si>
  <si>
    <t>Regulatory</t>
  </si>
  <si>
    <t>Employee Cost</t>
  </si>
  <si>
    <t>Admin Transfer</t>
  </si>
  <si>
    <t>Payroll</t>
  </si>
  <si>
    <t>sales/sendout volumes</t>
  </si>
  <si>
    <t>sendout volumes</t>
  </si>
  <si>
    <t>sales volumes</t>
  </si>
  <si>
    <t>3-factor</t>
  </si>
  <si>
    <t>Customers-The Dalles</t>
  </si>
  <si>
    <t>Customers-Industrial</t>
  </si>
  <si>
    <t>Customers-Commercial</t>
  </si>
  <si>
    <t>Customers-Residential</t>
  </si>
  <si>
    <t>Washington</t>
  </si>
  <si>
    <t>Oregon</t>
  </si>
  <si>
    <t>Allocation Factors - All in Washington %'s</t>
  </si>
  <si>
    <t>Kyle's Summary</t>
  </si>
  <si>
    <t>Rate Base</t>
  </si>
  <si>
    <t>Horizon:</t>
  </si>
  <si>
    <t>Depreciation and O&amp;M</t>
  </si>
  <si>
    <t>Expense</t>
  </si>
  <si>
    <t>Scenario #1</t>
  </si>
  <si>
    <t>Scenario #2</t>
  </si>
  <si>
    <t xml:space="preserve">   Horizon Sub-Total</t>
  </si>
  <si>
    <t>Subtotal</t>
  </si>
  <si>
    <t>Settlement Cap</t>
  </si>
  <si>
    <t xml:space="preserve">   Capital</t>
  </si>
  <si>
    <t xml:space="preserve">   O&amp;M (net of savings/benefits)</t>
  </si>
  <si>
    <t>NW Natural Gas</t>
  </si>
  <si>
    <t>Attachment 1</t>
  </si>
  <si>
    <t>Revenue Req.</t>
  </si>
  <si>
    <t>Total Portfolio Revenue Requirement</t>
  </si>
  <si>
    <t>UG-200994, UG-200995, UG-200996 &amp; UG-210085</t>
  </si>
  <si>
    <t>Full Multi-Party Settlement Agreement</t>
  </si>
  <si>
    <t xml:space="preserve">   Less: Retirement of current SAP[1]</t>
  </si>
  <si>
    <t>Horizon Start-Up O&amp;M (Deferral Amortization)</t>
  </si>
  <si>
    <t>Conservation Potential Assessment (CPA)</t>
  </si>
  <si>
    <t xml:space="preserve">[1] Washington's portion of the original cost of the current SAP system was $2.3 million. For retiring the system, $2.3m was removed from gross plant and accumulated depreciation, resulting in a net book value of zero.  The revenue requirement reduction is driven by the removal of current depreciation expense. </t>
  </si>
  <si>
    <t>Capital                 (Net Book Value)</t>
  </si>
  <si>
    <t>UG-200994 WA General Rate Case Project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</si>
</sst>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_);[Red]\(#,##0\);&quot; &quot;"/>
    <numFmt numFmtId="166" formatCode="#,##0.000_);[Red]\(#,##0.000\);&quot; &quot;"/>
    <numFmt numFmtId="167" formatCode="#,##0.0_);[Red]\(#,##0.0\);&quot; &quot;"/>
    <numFmt numFmtId="168" formatCode="&quot;$&quot;#,##0"/>
    <numFmt numFmtId="169" formatCode="0.0"/>
    <numFmt numFmtId="170" formatCode="_(* #,##0_);_(* \(#,##0\);_(* &quot;-&quot;??_);_(@_)"/>
    <numFmt numFmtId="171" formatCode="&quot;$&quot;#,##0.00"/>
    <numFmt numFmtId="172" formatCode="_(* #,##0.0_);_(* \(#,##0.0\);_(* &quot;-&quot;??_);_(@_)"/>
    <numFmt numFmtId="173" formatCode="#,##0.0_);\(#,##0.0\)"/>
    <numFmt numFmtId="174" formatCode="0.000%"/>
  </numFmts>
  <fonts count="4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mbria"/>
      <family val="1"/>
    </font>
    <font>
      <sz val="9"/>
      <color theme="1"/>
      <name val="Cambria"/>
      <family val="1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9"/>
      <color rgb="FFFF0000"/>
      <name val="Cambria"/>
      <family val="1"/>
    </font>
    <font>
      <sz val="9"/>
      <color rgb="FF000000"/>
      <name val="Cambria"/>
      <family val="1"/>
    </font>
    <font>
      <sz val="9"/>
      <color rgb="FFFF0000"/>
      <name val="Cambria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9B9B9"/>
      </bottom>
      <diagonal/>
    </border>
    <border>
      <left/>
      <right/>
      <top style="thin">
        <color rgb="FFB9B9B9"/>
      </top>
      <bottom style="thin">
        <color rgb="FFB9B9B9"/>
      </bottom>
      <diagonal/>
    </border>
    <border>
      <left/>
      <right/>
      <top style="thin">
        <color rgb="FFB9B9B9"/>
      </top>
      <bottom/>
      <diagonal/>
    </border>
    <border>
      <left/>
      <right/>
      <top style="thin">
        <color rgb="FFB9B9B9"/>
      </top>
      <bottom style="thick">
        <color rgb="FF59595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2" fillId="0" borderId="0" applyFont="0" applyFill="0" applyBorder="0" applyAlignment="0" applyProtection="0"/>
  </cellStyleXfs>
  <cellXfs count="452">
    <xf numFmtId="0" fontId="0" fillId="0" borderId="0" xfId="0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1" fillId="0" borderId="0" xfId="0" applyFont="1"/>
    <xf numFmtId="0" fontId="4" fillId="0" borderId="0" xfId="0" applyFont="1"/>
    <xf numFmtId="9" fontId="0" fillId="0" borderId="0" xfId="1" applyFont="1"/>
    <xf numFmtId="0" fontId="0" fillId="37" borderId="14" xfId="0" applyFill="1" applyBorder="1" applyAlignment="1">
      <alignment horizontal="center"/>
    </xf>
    <xf numFmtId="0" fontId="0" fillId="37" borderId="15" xfId="0" applyFill="1" applyBorder="1" applyAlignment="1">
      <alignment horizontal="center"/>
    </xf>
    <xf numFmtId="0" fontId="0" fillId="37" borderId="16" xfId="0" applyFill="1" applyBorder="1" applyAlignment="1">
      <alignment horizontal="center"/>
    </xf>
    <xf numFmtId="0" fontId="0" fillId="37" borderId="17" xfId="0" applyFill="1" applyBorder="1" applyAlignment="1">
      <alignment horizontal="center"/>
    </xf>
    <xf numFmtId="4" fontId="0" fillId="0" borderId="0" xfId="0" applyNumberFormat="1"/>
    <xf numFmtId="9" fontId="0" fillId="0" borderId="0" xfId="1" applyFont="1" applyFill="1"/>
    <xf numFmtId="0" fontId="22" fillId="37" borderId="18" xfId="0" applyFont="1" applyFill="1" applyBorder="1" applyAlignment="1">
      <alignment horizontal="center"/>
    </xf>
    <xf numFmtId="0" fontId="22" fillId="37" borderId="19" xfId="0" applyFont="1" applyFill="1" applyBorder="1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/>
    <xf numFmtId="17" fontId="0" fillId="38" borderId="0" xfId="0" applyNumberFormat="1" applyFill="1" applyAlignment="1">
      <alignment horizontal="center"/>
    </xf>
    <xf numFmtId="6" fontId="0" fillId="38" borderId="0" xfId="0" applyNumberFormat="1" applyFill="1"/>
    <xf numFmtId="0" fontId="0" fillId="38" borderId="0" xfId="0" applyFill="1"/>
    <xf numFmtId="17" fontId="0" fillId="38" borderId="0" xfId="0" applyNumberFormat="1" applyFill="1"/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 wrapText="1"/>
    </xf>
    <xf numFmtId="165" fontId="23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right"/>
    </xf>
    <xf numFmtId="166" fontId="23" fillId="0" borderId="0" xfId="0" applyNumberFormat="1" applyFont="1" applyAlignment="1">
      <alignment horizontal="right"/>
    </xf>
    <xf numFmtId="165" fontId="23" fillId="2" borderId="0" xfId="0" applyNumberFormat="1" applyFont="1" applyFill="1" applyAlignment="1">
      <alignment horizontal="left"/>
    </xf>
    <xf numFmtId="167" fontId="23" fillId="0" borderId="0" xfId="0" applyNumberFormat="1" applyFont="1" applyAlignment="1">
      <alignment horizontal="left"/>
    </xf>
    <xf numFmtId="167" fontId="2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39" borderId="20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20" xfId="0" quotePrefix="1" applyFill="1" applyBorder="1" applyAlignment="1">
      <alignment horizontal="center"/>
    </xf>
    <xf numFmtId="0" fontId="0" fillId="39" borderId="20" xfId="0" quotePrefix="1" applyFill="1" applyBorder="1" applyAlignment="1">
      <alignment horizontal="center"/>
    </xf>
    <xf numFmtId="0" fontId="0" fillId="36" borderId="20" xfId="0" quotePrefix="1" applyFill="1" applyBorder="1" applyAlignment="1">
      <alignment horizontal="center"/>
    </xf>
    <xf numFmtId="0" fontId="0" fillId="36" borderId="20" xfId="0" applyFill="1" applyBorder="1" applyAlignment="1">
      <alignment horizontal="center"/>
    </xf>
    <xf numFmtId="168" fontId="0" fillId="0" borderId="0" xfId="0" applyNumberFormat="1" applyAlignment="1">
      <alignment horizontal="right"/>
    </xf>
    <xf numFmtId="168" fontId="0" fillId="0" borderId="24" xfId="0" applyNumberFormat="1" applyBorder="1" applyAlignment="1">
      <alignment horizontal="right"/>
    </xf>
    <xf numFmtId="0" fontId="0" fillId="0" borderId="25" xfId="0" applyBorder="1"/>
    <xf numFmtId="0" fontId="0" fillId="0" borderId="0" xfId="0" applyBorder="1"/>
    <xf numFmtId="0" fontId="0" fillId="35" borderId="20" xfId="0" quotePrefix="1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169" fontId="0" fillId="34" borderId="20" xfId="0" applyNumberFormat="1" applyFill="1" applyBorder="1" applyAlignment="1">
      <alignment horizontal="center"/>
    </xf>
    <xf numFmtId="9" fontId="0" fillId="0" borderId="24" xfId="1" applyFont="1" applyBorder="1"/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168" fontId="25" fillId="0" borderId="0" xfId="0" applyNumberFormat="1" applyFont="1" applyAlignment="1">
      <alignment horizontal="left"/>
    </xf>
    <xf numFmtId="0" fontId="0" fillId="0" borderId="0" xfId="0"/>
    <xf numFmtId="9" fontId="0" fillId="0" borderId="0" xfId="1" applyFont="1" applyFill="1" applyAlignment="1">
      <alignment horizontal="center"/>
    </xf>
    <xf numFmtId="0" fontId="0" fillId="0" borderId="0" xfId="0" applyFill="1" applyBorder="1"/>
    <xf numFmtId="164" fontId="0" fillId="0" borderId="26" xfId="2" applyNumberFormat="1" applyFont="1" applyBorder="1"/>
    <xf numFmtId="164" fontId="0" fillId="0" borderId="0" xfId="2" applyNumberFormat="1" applyFont="1" applyBorder="1"/>
    <xf numFmtId="164" fontId="3" fillId="0" borderId="0" xfId="0" applyNumberFormat="1" applyFont="1" applyBorder="1"/>
    <xf numFmtId="164" fontId="0" fillId="0" borderId="27" xfId="0" applyNumberFormat="1" applyBorder="1"/>
    <xf numFmtId="0" fontId="0" fillId="37" borderId="18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/>
    <xf numFmtId="0" fontId="0" fillId="0" borderId="0" xfId="0" applyFill="1"/>
    <xf numFmtId="9" fontId="0" fillId="0" borderId="0" xfId="1" applyFont="1"/>
    <xf numFmtId="164" fontId="0" fillId="0" borderId="0" xfId="2" applyNumberFormat="1" applyFont="1" applyFill="1" applyBorder="1"/>
    <xf numFmtId="169" fontId="0" fillId="34" borderId="20" xfId="0" quotePrefix="1" applyNumberFormat="1" applyFill="1" applyBorder="1" applyAlignment="1">
      <alignment horizontal="center"/>
    </xf>
    <xf numFmtId="164" fontId="22" fillId="0" borderId="0" xfId="2" applyNumberFormat="1" applyFont="1" applyBorder="1"/>
    <xf numFmtId="9" fontId="0" fillId="0" borderId="0" xfId="1" applyFont="1" applyBorder="1"/>
    <xf numFmtId="0" fontId="22" fillId="0" borderId="0" xfId="0" applyFont="1" applyFill="1" applyBorder="1"/>
    <xf numFmtId="17" fontId="2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9" fontId="0" fillId="0" borderId="0" xfId="1" applyFont="1" applyFill="1" applyBorder="1"/>
    <xf numFmtId="168" fontId="0" fillId="0" borderId="0" xfId="0" applyNumberFormat="1" applyBorder="1" applyAlignment="1">
      <alignment horizontal="right"/>
    </xf>
    <xf numFmtId="168" fontId="25" fillId="0" borderId="0" xfId="0" applyNumberFormat="1" applyFont="1" applyBorder="1" applyAlignment="1">
      <alignment horizontal="left"/>
    </xf>
    <xf numFmtId="0" fontId="0" fillId="40" borderId="20" xfId="0" applyFill="1" applyBorder="1" applyAlignment="1">
      <alignment horizontal="center"/>
    </xf>
    <xf numFmtId="170" fontId="26" fillId="0" borderId="0" xfId="2" applyNumberFormat="1" applyFont="1"/>
    <xf numFmtId="168" fontId="0" fillId="0" borderId="0" xfId="0" applyNumberFormat="1" applyFont="1" applyAlignment="1">
      <alignment horizontal="right"/>
    </xf>
    <xf numFmtId="168" fontId="0" fillId="0" borderId="1" xfId="0" applyNumberFormat="1" applyFont="1" applyBorder="1"/>
    <xf numFmtId="168" fontId="0" fillId="0" borderId="0" xfId="2" applyNumberFormat="1" applyFont="1"/>
    <xf numFmtId="168" fontId="0" fillId="0" borderId="0" xfId="0" applyNumberFormat="1" applyFont="1"/>
    <xf numFmtId="0" fontId="0" fillId="0" borderId="0" xfId="0" applyFill="1" applyAlignment="1">
      <alignment horizontal="center"/>
    </xf>
    <xf numFmtId="6" fontId="0" fillId="0" borderId="0" xfId="0" applyNumberFormat="1" applyFill="1"/>
    <xf numFmtId="168" fontId="0" fillId="0" borderId="0" xfId="0" applyNumberFormat="1" applyFill="1" applyAlignment="1">
      <alignment horizontal="right"/>
    </xf>
    <xf numFmtId="168" fontId="0" fillId="0" borderId="24" xfId="0" applyNumberFormat="1" applyFill="1" applyBorder="1" applyAlignment="1">
      <alignment horizontal="right"/>
    </xf>
    <xf numFmtId="168" fontId="25" fillId="0" borderId="0" xfId="0" applyNumberFormat="1" applyFont="1" applyFill="1" applyAlignment="1">
      <alignment horizontal="left"/>
    </xf>
    <xf numFmtId="0" fontId="20" fillId="0" borderId="0" xfId="0" applyFont="1"/>
    <xf numFmtId="0" fontId="20" fillId="0" borderId="1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0" fillId="0" borderId="20" xfId="0" applyBorder="1"/>
    <xf numFmtId="164" fontId="0" fillId="36" borderId="20" xfId="44" applyNumberFormat="1" applyFont="1" applyFill="1" applyBorder="1"/>
    <xf numFmtId="164" fontId="0" fillId="0" borderId="0" xfId="44" applyNumberFormat="1" applyFont="1" applyBorder="1"/>
    <xf numFmtId="168" fontId="0" fillId="0" borderId="0" xfId="2" applyNumberFormat="1" applyFont="1" applyBorder="1"/>
    <xf numFmtId="168" fontId="0" fillId="0" borderId="0" xfId="1" applyNumberFormat="1" applyFont="1" applyBorder="1"/>
    <xf numFmtId="168" fontId="0" fillId="0" borderId="29" xfId="1" applyNumberFormat="1" applyFont="1" applyBorder="1"/>
    <xf numFmtId="170" fontId="3" fillId="0" borderId="0" xfId="0" applyNumberFormat="1" applyFont="1"/>
    <xf numFmtId="164" fontId="0" fillId="0" borderId="20" xfId="44" applyNumberFormat="1" applyFont="1" applyBorder="1"/>
    <xf numFmtId="168" fontId="0" fillId="0" borderId="0" xfId="44" applyNumberFormat="1" applyFont="1" applyBorder="1"/>
    <xf numFmtId="168" fontId="0" fillId="0" borderId="29" xfId="44" applyNumberFormat="1" applyFont="1" applyBorder="1"/>
    <xf numFmtId="0" fontId="20" fillId="41" borderId="20" xfId="0" applyFont="1" applyFill="1" applyBorder="1"/>
    <xf numFmtId="164" fontId="20" fillId="41" borderId="20" xfId="44" applyNumberFormat="1" applyFont="1" applyFill="1" applyBorder="1"/>
    <xf numFmtId="164" fontId="20" fillId="41" borderId="0" xfId="44" applyNumberFormat="1" applyFont="1" applyFill="1" applyBorder="1"/>
    <xf numFmtId="168" fontId="20" fillId="41" borderId="0" xfId="44" applyNumberFormat="1" applyFont="1" applyFill="1" applyBorder="1"/>
    <xf numFmtId="168" fontId="20" fillId="41" borderId="29" xfId="44" applyNumberFormat="1" applyFont="1" applyFill="1" applyBorder="1"/>
    <xf numFmtId="164" fontId="0" fillId="0" borderId="0" xfId="44" applyNumberFormat="1" applyFont="1"/>
    <xf numFmtId="168" fontId="0" fillId="0" borderId="0" xfId="44" applyNumberFormat="1" applyFont="1"/>
    <xf numFmtId="168" fontId="20" fillId="0" borderId="0" xfId="0" applyNumberFormat="1" applyFont="1"/>
    <xf numFmtId="168" fontId="20" fillId="0" borderId="29" xfId="0" applyNumberFormat="1" applyFont="1" applyBorder="1"/>
    <xf numFmtId="168" fontId="0" fillId="0" borderId="0" xfId="0" applyNumberFormat="1"/>
    <xf numFmtId="168" fontId="0" fillId="0" borderId="29" xfId="0" applyNumberFormat="1" applyBorder="1"/>
    <xf numFmtId="170" fontId="3" fillId="0" borderId="0" xfId="0" applyNumberFormat="1" applyFont="1" applyBorder="1"/>
    <xf numFmtId="168" fontId="0" fillId="0" borderId="1" xfId="2" applyNumberFormat="1" applyFont="1" applyBorder="1"/>
    <xf numFmtId="168" fontId="0" fillId="0" borderId="1" xfId="1" applyNumberFormat="1" applyFont="1" applyBorder="1"/>
    <xf numFmtId="168" fontId="0" fillId="0" borderId="28" xfId="1" applyNumberFormat="1" applyFont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 readingOrder="1"/>
    </xf>
    <xf numFmtId="0" fontId="31" fillId="0" borderId="1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30" xfId="0" applyFont="1" applyBorder="1" applyAlignment="1">
      <alignment horizontal="left" vertical="center" wrapText="1" readingOrder="1"/>
    </xf>
    <xf numFmtId="0" fontId="30" fillId="0" borderId="30" xfId="0" applyFont="1" applyBorder="1" applyAlignment="1">
      <alignment vertical="center" wrapText="1"/>
    </xf>
    <xf numFmtId="164" fontId="32" fillId="0" borderId="30" xfId="44" applyNumberFormat="1" applyFont="1" applyBorder="1" applyAlignment="1">
      <alignment horizontal="left" vertical="center" wrapText="1" readingOrder="1"/>
    </xf>
    <xf numFmtId="0" fontId="32" fillId="0" borderId="31" xfId="0" applyFont="1" applyBorder="1" applyAlignment="1">
      <alignment horizontal="left" vertical="center" wrapText="1" readingOrder="1"/>
    </xf>
    <xf numFmtId="164" fontId="32" fillId="2" borderId="31" xfId="44" applyNumberFormat="1" applyFont="1" applyFill="1" applyBorder="1" applyAlignment="1">
      <alignment horizontal="left" vertical="center" wrapText="1" readingOrder="1"/>
    </xf>
    <xf numFmtId="164" fontId="28" fillId="0" borderId="0" xfId="44" applyNumberFormat="1" applyFont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vertical="center" wrapText="1"/>
    </xf>
    <xf numFmtId="164" fontId="32" fillId="0" borderId="31" xfId="44" applyNumberFormat="1" applyFont="1" applyBorder="1" applyAlignment="1">
      <alignment horizontal="left" vertical="center" wrapText="1" readingOrder="1"/>
    </xf>
    <xf numFmtId="0" fontId="30" fillId="0" borderId="31" xfId="0" applyFont="1" applyBorder="1" applyAlignment="1">
      <alignment vertical="center" wrapText="1"/>
    </xf>
    <xf numFmtId="6" fontId="30" fillId="0" borderId="31" xfId="44" applyNumberFormat="1" applyFont="1" applyBorder="1" applyAlignment="1">
      <alignment vertical="center" wrapText="1"/>
    </xf>
    <xf numFmtId="0" fontId="32" fillId="0" borderId="31" xfId="0" applyFont="1" applyFill="1" applyBorder="1" applyAlignment="1">
      <alignment horizontal="left" vertical="center" wrapText="1" readingOrder="1"/>
    </xf>
    <xf numFmtId="164" fontId="32" fillId="0" borderId="31" xfId="44" applyNumberFormat="1" applyFont="1" applyFill="1" applyBorder="1" applyAlignment="1">
      <alignment horizontal="left" vertical="center" wrapText="1" readingOrder="1"/>
    </xf>
    <xf numFmtId="0" fontId="32" fillId="0" borderId="0" xfId="0" applyFont="1" applyAlignment="1">
      <alignment horizontal="left" vertical="center" wrapText="1" readingOrder="1"/>
    </xf>
    <xf numFmtId="164" fontId="30" fillId="0" borderId="31" xfId="44" applyNumberFormat="1" applyFont="1" applyBorder="1" applyAlignment="1">
      <alignment vertical="center" wrapText="1"/>
    </xf>
    <xf numFmtId="6" fontId="32" fillId="0" borderId="31" xfId="0" applyNumberFormat="1" applyFont="1" applyFill="1" applyBorder="1" applyAlignment="1">
      <alignment horizontal="left" vertical="center" wrapText="1" readingOrder="1"/>
    </xf>
    <xf numFmtId="164" fontId="30" fillId="2" borderId="31" xfId="44" applyNumberFormat="1" applyFont="1" applyFill="1" applyBorder="1" applyAlignment="1">
      <alignment vertical="center" wrapText="1"/>
    </xf>
    <xf numFmtId="0" fontId="32" fillId="0" borderId="0" xfId="0" applyFont="1" applyBorder="1" applyAlignment="1">
      <alignment horizontal="left" vertical="center" wrapText="1" readingOrder="1"/>
    </xf>
    <xf numFmtId="164" fontId="30" fillId="0" borderId="0" xfId="44" applyNumberFormat="1" applyFont="1" applyBorder="1" applyAlignment="1">
      <alignment horizontal="left" vertical="center" wrapText="1"/>
    </xf>
    <xf numFmtId="164" fontId="32" fillId="0" borderId="0" xfId="44" applyNumberFormat="1" applyFont="1" applyBorder="1" applyAlignment="1">
      <alignment horizontal="left" vertical="center" wrapText="1" readingOrder="1"/>
    </xf>
    <xf numFmtId="164" fontId="30" fillId="0" borderId="0" xfId="44" applyNumberFormat="1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29" fillId="0" borderId="33" xfId="0" applyFont="1" applyBorder="1" applyAlignment="1">
      <alignment horizontal="right" vertical="center" wrapText="1" readingOrder="1"/>
    </xf>
    <xf numFmtId="164" fontId="29" fillId="0" borderId="33" xfId="44" applyNumberFormat="1" applyFont="1" applyBorder="1" applyAlignment="1">
      <alignment horizontal="left" vertical="center" wrapText="1" readingOrder="1"/>
    </xf>
    <xf numFmtId="164" fontId="29" fillId="0" borderId="33" xfId="0" applyNumberFormat="1" applyFont="1" applyBorder="1" applyAlignment="1">
      <alignment horizontal="left" vertical="center" wrapText="1" readingOrder="1"/>
    </xf>
    <xf numFmtId="164" fontId="29" fillId="42" borderId="33" xfId="0" applyNumberFormat="1" applyFont="1" applyFill="1" applyBorder="1" applyAlignment="1">
      <alignment horizontal="left" vertical="center" wrapText="1" readingOrder="1"/>
    </xf>
    <xf numFmtId="164" fontId="28" fillId="0" borderId="0" xfId="0" applyNumberFormat="1" applyFont="1" applyAlignment="1">
      <alignment vertical="center"/>
    </xf>
    <xf numFmtId="6" fontId="32" fillId="0" borderId="0" xfId="0" applyNumberFormat="1" applyFont="1" applyFill="1" applyBorder="1" applyAlignment="1">
      <alignment horizontal="left" vertical="center" wrapText="1" readingOrder="1"/>
    </xf>
    <xf numFmtId="164" fontId="29" fillId="42" borderId="0" xfId="0" applyNumberFormat="1" applyFont="1" applyFill="1" applyBorder="1" applyAlignment="1">
      <alignment horizontal="left" vertical="center" wrapText="1" readingOrder="1"/>
    </xf>
    <xf numFmtId="164" fontId="29" fillId="0" borderId="0" xfId="0" applyNumberFormat="1" applyFont="1" applyBorder="1" applyAlignment="1">
      <alignment horizontal="left" vertical="center" wrapText="1" readingOrder="1"/>
    </xf>
    <xf numFmtId="9" fontId="32" fillId="0" borderId="0" xfId="1" applyFont="1" applyBorder="1" applyAlignment="1">
      <alignment horizontal="center" vertical="center" wrapText="1" readingOrder="1"/>
    </xf>
    <xf numFmtId="164" fontId="28" fillId="2" borderId="0" xfId="0" applyNumberFormat="1" applyFont="1" applyFill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1" fillId="42" borderId="0" xfId="0" applyFont="1" applyFill="1"/>
    <xf numFmtId="0" fontId="0" fillId="42" borderId="0" xfId="0" applyFill="1"/>
    <xf numFmtId="0" fontId="1" fillId="43" borderId="0" xfId="0" applyFont="1" applyFill="1"/>
    <xf numFmtId="0" fontId="0" fillId="43" borderId="0" xfId="0" applyFill="1"/>
    <xf numFmtId="0" fontId="1" fillId="40" borderId="0" xfId="0" applyFont="1" applyFill="1"/>
    <xf numFmtId="0" fontId="0" fillId="40" borderId="0" xfId="0" applyFill="1"/>
    <xf numFmtId="0" fontId="0" fillId="40" borderId="0" xfId="0" applyFont="1" applyFill="1"/>
    <xf numFmtId="0" fontId="22" fillId="40" borderId="0" xfId="0" applyFont="1" applyFill="1"/>
    <xf numFmtId="0" fontId="0" fillId="42" borderId="0" xfId="0" applyFill="1" applyBorder="1" applyAlignment="1">
      <alignment horizontal="center"/>
    </xf>
    <xf numFmtId="0" fontId="0" fillId="42" borderId="14" xfId="0" applyFill="1" applyBorder="1" applyAlignment="1">
      <alignment horizontal="center"/>
    </xf>
    <xf numFmtId="0" fontId="0" fillId="42" borderId="15" xfId="0" applyFill="1" applyBorder="1" applyAlignment="1">
      <alignment horizontal="center"/>
    </xf>
    <xf numFmtId="0" fontId="0" fillId="42" borderId="18" xfId="0" applyFill="1" applyBorder="1" applyAlignment="1">
      <alignment horizontal="center"/>
    </xf>
    <xf numFmtId="17" fontId="0" fillId="42" borderId="0" xfId="0" applyNumberFormat="1" applyFill="1" applyAlignment="1">
      <alignment horizontal="center"/>
    </xf>
    <xf numFmtId="164" fontId="0" fillId="42" borderId="26" xfId="2" applyNumberFormat="1" applyFont="1" applyFill="1" applyBorder="1"/>
    <xf numFmtId="164" fontId="0" fillId="42" borderId="0" xfId="2" applyNumberFormat="1" applyFont="1" applyFill="1" applyBorder="1"/>
    <xf numFmtId="164" fontId="0" fillId="42" borderId="27" xfId="0" applyNumberFormat="1" applyFill="1" applyBorder="1"/>
    <xf numFmtId="17" fontId="22" fillId="42" borderId="0" xfId="0" applyNumberFormat="1" applyFont="1" applyFill="1" applyAlignment="1">
      <alignment horizontal="center"/>
    </xf>
    <xf numFmtId="164" fontId="22" fillId="42" borderId="0" xfId="2" applyNumberFormat="1" applyFont="1" applyFill="1" applyBorder="1"/>
    <xf numFmtId="10" fontId="22" fillId="42" borderId="0" xfId="1" applyNumberFormat="1" applyFont="1" applyFill="1" applyBorder="1"/>
    <xf numFmtId="17" fontId="0" fillId="43" borderId="0" xfId="0" applyNumberFormat="1" applyFill="1" applyAlignment="1">
      <alignment horizontal="center"/>
    </xf>
    <xf numFmtId="164" fontId="0" fillId="43" borderId="26" xfId="2" applyNumberFormat="1" applyFont="1" applyFill="1" applyBorder="1"/>
    <xf numFmtId="164" fontId="0" fillId="43" borderId="0" xfId="2" applyNumberFormat="1" applyFont="1" applyFill="1" applyBorder="1"/>
    <xf numFmtId="164" fontId="0" fillId="43" borderId="27" xfId="0" applyNumberFormat="1" applyFill="1" applyBorder="1"/>
    <xf numFmtId="164" fontId="22" fillId="43" borderId="0" xfId="2" applyNumberFormat="1" applyFont="1" applyFill="1" applyBorder="1"/>
    <xf numFmtId="17" fontId="0" fillId="40" borderId="0" xfId="0" applyNumberFormat="1" applyFill="1" applyAlignment="1">
      <alignment horizontal="center"/>
    </xf>
    <xf numFmtId="164" fontId="0" fillId="40" borderId="26" xfId="2" applyNumberFormat="1" applyFont="1" applyFill="1" applyBorder="1"/>
    <xf numFmtId="164" fontId="0" fillId="40" borderId="0" xfId="2" applyNumberFormat="1" applyFont="1" applyFill="1" applyBorder="1"/>
    <xf numFmtId="164" fontId="0" fillId="40" borderId="27" xfId="0" applyNumberFormat="1" applyFill="1" applyBorder="1"/>
    <xf numFmtId="164" fontId="22" fillId="40" borderId="0" xfId="2" applyNumberFormat="1" applyFont="1" applyFill="1" applyBorder="1"/>
    <xf numFmtId="164" fontId="22" fillId="40" borderId="0" xfId="0" applyNumberFormat="1" applyFont="1" applyFill="1" applyBorder="1"/>
    <xf numFmtId="17" fontId="22" fillId="40" borderId="0" xfId="0" applyNumberFormat="1" applyFont="1" applyFill="1" applyAlignment="1">
      <alignment horizontal="center"/>
    </xf>
    <xf numFmtId="17" fontId="0" fillId="40" borderId="0" xfId="0" applyNumberFormat="1" applyFont="1" applyFill="1" applyAlignment="1">
      <alignment horizontal="center"/>
    </xf>
    <xf numFmtId="164" fontId="3" fillId="40" borderId="0" xfId="0" applyNumberFormat="1" applyFont="1" applyFill="1" applyBorder="1"/>
    <xf numFmtId="0" fontId="22" fillId="44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1" applyNumberFormat="1" applyFont="1" applyAlignment="1">
      <alignment horizontal="right"/>
    </xf>
    <xf numFmtId="10" fontId="0" fillId="0" borderId="0" xfId="1" applyNumberFormat="1" applyFont="1"/>
    <xf numFmtId="10" fontId="34" fillId="0" borderId="0" xfId="1" applyNumberFormat="1" applyFont="1"/>
    <xf numFmtId="0" fontId="0" fillId="45" borderId="20" xfId="0" quotePrefix="1" applyFill="1" applyBorder="1" applyAlignment="1">
      <alignment horizontal="center"/>
    </xf>
    <xf numFmtId="0" fontId="0" fillId="45" borderId="20" xfId="0" applyFill="1" applyBorder="1" applyAlignment="1">
      <alignment horizontal="center"/>
    </xf>
    <xf numFmtId="171" fontId="0" fillId="0" borderId="0" xfId="0" applyNumberFormat="1"/>
    <xf numFmtId="168" fontId="20" fillId="0" borderId="34" xfId="0" applyNumberFormat="1" applyFont="1" applyBorder="1"/>
    <xf numFmtId="0" fontId="20" fillId="0" borderId="0" xfId="0" applyFont="1" applyBorder="1" applyAlignment="1">
      <alignment horizontal="right"/>
    </xf>
    <xf numFmtId="168" fontId="20" fillId="0" borderId="0" xfId="0" applyNumberFormat="1" applyFont="1" applyBorder="1" applyAlignment="1">
      <alignment horizontal="right"/>
    </xf>
    <xf numFmtId="168" fontId="20" fillId="0" borderId="34" xfId="0" applyNumberFormat="1" applyFont="1" applyBorder="1" applyAlignment="1">
      <alignment horizontal="right"/>
    </xf>
    <xf numFmtId="168" fontId="20" fillId="0" borderId="14" xfId="0" applyNumberFormat="1" applyFont="1" applyBorder="1" applyAlignment="1">
      <alignment horizontal="center"/>
    </xf>
    <xf numFmtId="168" fontId="20" fillId="0" borderId="35" xfId="0" applyNumberFormat="1" applyFont="1" applyBorder="1" applyAlignment="1">
      <alignment horizontal="center"/>
    </xf>
    <xf numFmtId="168" fontId="20" fillId="0" borderId="16" xfId="0" applyNumberFormat="1" applyFont="1" applyBorder="1" applyAlignment="1">
      <alignment horizontal="center"/>
    </xf>
    <xf numFmtId="168" fontId="20" fillId="0" borderId="36" xfId="0" applyNumberFormat="1" applyFont="1" applyBorder="1" applyAlignment="1">
      <alignment horizontal="center"/>
    </xf>
    <xf numFmtId="0" fontId="0" fillId="45" borderId="0" xfId="0" applyFill="1" applyBorder="1" applyAlignment="1">
      <alignment horizontal="center"/>
    </xf>
    <xf numFmtId="168" fontId="20" fillId="0" borderId="0" xfId="0" applyNumberFormat="1" applyFont="1" applyBorder="1"/>
    <xf numFmtId="168" fontId="20" fillId="0" borderId="0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0" borderId="0" xfId="2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72" fontId="0" fillId="0" borderId="0" xfId="2" applyNumberFormat="1" applyFont="1" applyFill="1" applyAlignment="1">
      <alignment horizontal="center"/>
    </xf>
    <xf numFmtId="171" fontId="0" fillId="0" borderId="37" xfId="0" applyNumberFormat="1" applyBorder="1"/>
    <xf numFmtId="171" fontId="0" fillId="0" borderId="22" xfId="0" applyNumberFormat="1" applyBorder="1"/>
    <xf numFmtId="14" fontId="0" fillId="0" borderId="0" xfId="0" applyNumberFormat="1" applyAlignment="1">
      <alignment horizontal="center"/>
    </xf>
    <xf numFmtId="164" fontId="0" fillId="0" borderId="0" xfId="44" applyNumberFormat="1" applyFont="1" applyAlignment="1">
      <alignment horizontal="center"/>
    </xf>
    <xf numFmtId="0" fontId="0" fillId="34" borderId="20" xfId="0" applyFill="1" applyBorder="1" applyAlignment="1">
      <alignment horizontal="center"/>
    </xf>
    <xf numFmtId="168" fontId="20" fillId="0" borderId="15" xfId="0" applyNumberFormat="1" applyFont="1" applyBorder="1" applyAlignment="1">
      <alignment horizontal="center"/>
    </xf>
    <xf numFmtId="168" fontId="20" fillId="0" borderId="17" xfId="0" applyNumberFormat="1" applyFont="1" applyBorder="1" applyAlignment="1">
      <alignment horizontal="center"/>
    </xf>
    <xf numFmtId="164" fontId="0" fillId="46" borderId="0" xfId="44" applyNumberFormat="1" applyFont="1" applyFill="1" applyAlignment="1">
      <alignment horizontal="center"/>
    </xf>
    <xf numFmtId="168" fontId="0" fillId="46" borderId="0" xfId="0" applyNumberFormat="1" applyFill="1" applyAlignment="1">
      <alignment horizontal="center"/>
    </xf>
    <xf numFmtId="0" fontId="0" fillId="46" borderId="0" xfId="0" applyFill="1"/>
    <xf numFmtId="171" fontId="0" fillId="46" borderId="0" xfId="0" applyNumberFormat="1" applyFill="1"/>
    <xf numFmtId="164" fontId="0" fillId="46" borderId="0" xfId="0" applyNumberFormat="1" applyFill="1"/>
    <xf numFmtId="0" fontId="0" fillId="46" borderId="0" xfId="0" applyFill="1" applyAlignment="1">
      <alignment horizontal="center"/>
    </xf>
    <xf numFmtId="9" fontId="0" fillId="46" borderId="0" xfId="1" applyFont="1" applyFill="1"/>
    <xf numFmtId="6" fontId="0" fillId="46" borderId="0" xfId="0" applyNumberFormat="1" applyFill="1"/>
    <xf numFmtId="9" fontId="0" fillId="46" borderId="0" xfId="1" applyFont="1" applyFill="1" applyAlignment="1">
      <alignment horizontal="center"/>
    </xf>
    <xf numFmtId="9" fontId="0" fillId="46" borderId="24" xfId="1" applyFont="1" applyFill="1" applyBorder="1"/>
    <xf numFmtId="168" fontId="0" fillId="46" borderId="0" xfId="0" applyNumberFormat="1" applyFill="1" applyAlignment="1">
      <alignment horizontal="right"/>
    </xf>
    <xf numFmtId="168" fontId="0" fillId="46" borderId="24" xfId="0" applyNumberFormat="1" applyFill="1" applyBorder="1" applyAlignment="1">
      <alignment horizontal="right"/>
    </xf>
    <xf numFmtId="168" fontId="25" fillId="46" borderId="0" xfId="0" applyNumberFormat="1" applyFont="1" applyFill="1" applyAlignment="1">
      <alignment horizontal="left"/>
    </xf>
    <xf numFmtId="10" fontId="0" fillId="46" borderId="0" xfId="1" applyNumberFormat="1" applyFont="1" applyFill="1" applyAlignment="1">
      <alignment horizontal="right"/>
    </xf>
    <xf numFmtId="10" fontId="34" fillId="46" borderId="0" xfId="1" applyNumberFormat="1" applyFont="1" applyFill="1"/>
    <xf numFmtId="10" fontId="0" fillId="46" borderId="0" xfId="1" applyNumberFormat="1" applyFont="1" applyFill="1"/>
    <xf numFmtId="168" fontId="0" fillId="46" borderId="0" xfId="0" applyNumberFormat="1" applyFill="1"/>
    <xf numFmtId="172" fontId="0" fillId="46" borderId="0" xfId="2" applyNumberFormat="1" applyFont="1" applyFill="1" applyAlignment="1">
      <alignment horizontal="center"/>
    </xf>
    <xf numFmtId="17" fontId="3" fillId="46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44" fontId="0" fillId="0" borderId="0" xfId="0" applyNumberFormat="1"/>
    <xf numFmtId="44" fontId="20" fillId="0" borderId="34" xfId="0" applyNumberFormat="1" applyFont="1" applyBorder="1"/>
    <xf numFmtId="44" fontId="0" fillId="0" borderId="0" xfId="44" applyFont="1"/>
    <xf numFmtId="164" fontId="20" fillId="0" borderId="0" xfId="0" applyNumberFormat="1" applyFont="1"/>
    <xf numFmtId="164" fontId="20" fillId="0" borderId="1" xfId="44" applyNumberFormat="1" applyFont="1" applyBorder="1"/>
    <xf numFmtId="0" fontId="0" fillId="0" borderId="1" xfId="0" applyBorder="1"/>
    <xf numFmtId="164" fontId="20" fillId="0" borderId="0" xfId="44" applyNumberFormat="1" applyFont="1"/>
    <xf numFmtId="0" fontId="22" fillId="0" borderId="0" xfId="0" applyFont="1" applyFill="1" applyAlignment="1">
      <alignment horizontal="left"/>
    </xf>
    <xf numFmtId="164" fontId="20" fillId="0" borderId="34" xfId="0" applyNumberFormat="1" applyFont="1" applyBorder="1"/>
    <xf numFmtId="0" fontId="20" fillId="0" borderId="34" xfId="0" applyFont="1" applyBorder="1"/>
    <xf numFmtId="164" fontId="20" fillId="0" borderId="0" xfId="44" applyNumberFormat="1" applyFont="1" applyBorder="1"/>
    <xf numFmtId="0" fontId="22" fillId="0" borderId="0" xfId="0" applyFont="1" applyAlignment="1">
      <alignment horizontal="left"/>
    </xf>
    <xf numFmtId="44" fontId="0" fillId="0" borderId="1" xfId="44" applyFont="1" applyBorder="1"/>
    <xf numFmtId="164" fontId="0" fillId="0" borderId="1" xfId="44" applyNumberFormat="1" applyFont="1" applyBorder="1"/>
    <xf numFmtId="44" fontId="0" fillId="0" borderId="0" xfId="44" applyFont="1" applyBorder="1"/>
    <xf numFmtId="0" fontId="22" fillId="0" borderId="0" xfId="0" applyFont="1" applyFill="1"/>
    <xf numFmtId="164" fontId="0" fillId="0" borderId="1" xfId="44" applyNumberFormat="1" applyFont="1" applyFill="1" applyBorder="1"/>
    <xf numFmtId="164" fontId="0" fillId="0" borderId="0" xfId="44" applyNumberFormat="1" applyFont="1" applyFill="1"/>
    <xf numFmtId="0" fontId="20" fillId="40" borderId="1" xfId="0" applyFont="1" applyFill="1" applyBorder="1" applyAlignment="1">
      <alignment horizontal="center" wrapText="1"/>
    </xf>
    <xf numFmtId="0" fontId="20" fillId="40" borderId="1" xfId="0" applyFont="1" applyFill="1" applyBorder="1"/>
    <xf numFmtId="0" fontId="35" fillId="0" borderId="0" xfId="0" applyFont="1"/>
    <xf numFmtId="0" fontId="36" fillId="0" borderId="0" xfId="0" applyFont="1"/>
    <xf numFmtId="170" fontId="35" fillId="0" borderId="0" xfId="2" applyNumberFormat="1" applyFont="1"/>
    <xf numFmtId="9" fontId="35" fillId="0" borderId="0" xfId="1" applyFont="1" applyAlignment="1">
      <alignment horizontal="center"/>
    </xf>
    <xf numFmtId="43" fontId="35" fillId="0" borderId="0" xfId="2" applyNumberFormat="1" applyFont="1" applyFill="1" applyAlignment="1">
      <alignment horizontal="right"/>
    </xf>
    <xf numFmtId="0" fontId="35" fillId="0" borderId="0" xfId="0" applyFont="1" applyFill="1"/>
    <xf numFmtId="0" fontId="37" fillId="0" borderId="0" xfId="0" applyFont="1"/>
    <xf numFmtId="0" fontId="35" fillId="0" borderId="0" xfId="0" applyFont="1" applyAlignment="1">
      <alignment horizontal="center"/>
    </xf>
    <xf numFmtId="164" fontId="38" fillId="0" borderId="0" xfId="44" applyNumberFormat="1" applyFont="1"/>
    <xf numFmtId="170" fontId="38" fillId="0" borderId="0" xfId="2" applyNumberFormat="1" applyFont="1"/>
    <xf numFmtId="9" fontId="38" fillId="0" borderId="0" xfId="1" applyFont="1" applyAlignment="1">
      <alignment horizontal="center"/>
    </xf>
    <xf numFmtId="0" fontId="35" fillId="0" borderId="0" xfId="0" applyFont="1" applyFill="1" applyAlignment="1">
      <alignment horizontal="center"/>
    </xf>
    <xf numFmtId="164" fontId="35" fillId="0" borderId="0" xfId="44" applyNumberFormat="1" applyFont="1"/>
    <xf numFmtId="164" fontId="36" fillId="0" borderId="0" xfId="44" applyNumberFormat="1" applyFont="1"/>
    <xf numFmtId="43" fontId="35" fillId="0" borderId="0" xfId="2" applyFont="1"/>
    <xf numFmtId="170" fontId="39" fillId="47" borderId="0" xfId="0" applyNumberFormat="1" applyFont="1" applyFill="1"/>
    <xf numFmtId="0" fontId="39" fillId="47" borderId="0" xfId="0" applyFont="1" applyFill="1"/>
    <xf numFmtId="9" fontId="39" fillId="47" borderId="0" xfId="1" applyFont="1" applyFill="1" applyAlignment="1">
      <alignment horizontal="center"/>
    </xf>
    <xf numFmtId="43" fontId="39" fillId="47" borderId="0" xfId="2" applyNumberFormat="1" applyFont="1" applyFill="1" applyAlignment="1">
      <alignment horizontal="right"/>
    </xf>
    <xf numFmtId="43" fontId="39" fillId="47" borderId="0" xfId="2" applyFont="1" applyFill="1"/>
    <xf numFmtId="0" fontId="39" fillId="47" borderId="0" xfId="0" applyFont="1" applyFill="1" applyAlignment="1">
      <alignment horizontal="left"/>
    </xf>
    <xf numFmtId="0" fontId="40" fillId="47" borderId="0" xfId="0" applyFont="1" applyFill="1"/>
    <xf numFmtId="9" fontId="40" fillId="47" borderId="0" xfId="1" applyFont="1" applyFill="1" applyAlignment="1">
      <alignment horizontal="center"/>
    </xf>
    <xf numFmtId="43" fontId="40" fillId="47" borderId="0" xfId="2" applyNumberFormat="1" applyFont="1" applyFill="1" applyAlignment="1">
      <alignment horizontal="right"/>
    </xf>
    <xf numFmtId="43" fontId="40" fillId="47" borderId="0" xfId="2" applyFont="1" applyFill="1"/>
    <xf numFmtId="10" fontId="36" fillId="0" borderId="0" xfId="1" applyNumberFormat="1" applyFont="1" applyFill="1" applyAlignment="1">
      <alignment horizontal="center"/>
    </xf>
    <xf numFmtId="0" fontId="35" fillId="0" borderId="0" xfId="0" applyFont="1" applyAlignment="1">
      <alignment horizontal="right"/>
    </xf>
    <xf numFmtId="170" fontId="35" fillId="0" borderId="0" xfId="2" applyNumberFormat="1" applyFont="1" applyFill="1"/>
    <xf numFmtId="10" fontId="36" fillId="0" borderId="0" xfId="1" applyNumberFormat="1" applyFont="1" applyAlignment="1">
      <alignment horizontal="center"/>
    </xf>
    <xf numFmtId="170" fontId="36" fillId="0" borderId="0" xfId="2" applyNumberFormat="1" applyFont="1" applyAlignment="1">
      <alignment horizontal="center"/>
    </xf>
    <xf numFmtId="170" fontId="37" fillId="0" borderId="0" xfId="0" applyNumberFormat="1" applyFont="1"/>
    <xf numFmtId="170" fontId="37" fillId="0" borderId="0" xfId="2" applyNumberFormat="1" applyFont="1"/>
    <xf numFmtId="14" fontId="35" fillId="0" borderId="0" xfId="0" applyNumberFormat="1" applyFont="1" applyFill="1" applyAlignment="1">
      <alignment horizontal="center"/>
    </xf>
    <xf numFmtId="43" fontId="35" fillId="0" borderId="0" xfId="2" applyFont="1" applyFill="1" applyAlignment="1">
      <alignment horizontal="center"/>
    </xf>
    <xf numFmtId="14" fontId="35" fillId="0" borderId="0" xfId="0" applyNumberFormat="1" applyFont="1" applyFill="1"/>
    <xf numFmtId="9" fontId="35" fillId="0" borderId="0" xfId="1" applyFont="1" applyFill="1" applyAlignment="1">
      <alignment horizontal="center"/>
    </xf>
    <xf numFmtId="0" fontId="35" fillId="0" borderId="0" xfId="0" applyFont="1" applyFill="1" applyAlignment="1">
      <alignment horizontal="right"/>
    </xf>
    <xf numFmtId="170" fontId="36" fillId="0" borderId="0" xfId="2" applyNumberFormat="1" applyFont="1" applyFill="1" applyAlignment="1">
      <alignment horizontal="center"/>
    </xf>
    <xf numFmtId="170" fontId="41" fillId="0" borderId="0" xfId="2" applyNumberFormat="1" applyFont="1" applyFill="1"/>
    <xf numFmtId="170" fontId="37" fillId="0" borderId="0" xfId="2" applyNumberFormat="1" applyFont="1" applyFill="1"/>
    <xf numFmtId="170" fontId="37" fillId="0" borderId="0" xfId="2" applyNumberFormat="1" applyFont="1" applyFill="1" applyAlignment="1">
      <alignment horizontal="center"/>
    </xf>
    <xf numFmtId="37" fontId="41" fillId="0" borderId="0" xfId="2" applyNumberFormat="1" applyFont="1" applyFill="1" applyAlignment="1">
      <alignment horizontal="center" vertical="center"/>
    </xf>
    <xf numFmtId="37" fontId="35" fillId="0" borderId="0" xfId="2" applyNumberFormat="1" applyFont="1" applyFill="1" applyAlignment="1">
      <alignment horizontal="center"/>
    </xf>
    <xf numFmtId="0" fontId="35" fillId="0" borderId="0" xfId="0" applyNumberFormat="1" applyFont="1" applyFill="1"/>
    <xf numFmtId="0" fontId="36" fillId="0" borderId="0" xfId="0" applyFont="1" applyFill="1" applyAlignment="1">
      <alignment horizontal="center" vertical="top"/>
    </xf>
    <xf numFmtId="37" fontId="35" fillId="0" borderId="0" xfId="2" applyNumberFormat="1" applyFont="1" applyFill="1" applyAlignment="1">
      <alignment horizontal="center" vertical="center"/>
    </xf>
    <xf numFmtId="173" fontId="35" fillId="0" borderId="0" xfId="2" applyNumberFormat="1" applyFont="1" applyFill="1" applyAlignment="1">
      <alignment horizontal="center" vertical="center"/>
    </xf>
    <xf numFmtId="43" fontId="38" fillId="0" borderId="0" xfId="2" applyFont="1" applyFill="1"/>
    <xf numFmtId="14" fontId="37" fillId="0" borderId="0" xfId="0" applyNumberFormat="1" applyFont="1" applyFill="1" applyAlignment="1">
      <alignment horizontal="center"/>
    </xf>
    <xf numFmtId="0" fontId="38" fillId="0" borderId="0" xfId="0" applyFont="1" applyFill="1"/>
    <xf numFmtId="173" fontId="35" fillId="0" borderId="0" xfId="2" applyNumberFormat="1" applyFont="1" applyFill="1" applyAlignment="1">
      <alignment horizontal="center"/>
    </xf>
    <xf numFmtId="0" fontId="41" fillId="0" borderId="0" xfId="0" applyFont="1" applyFill="1"/>
    <xf numFmtId="9" fontId="41" fillId="0" borderId="0" xfId="1" applyFont="1" applyFill="1" applyAlignment="1">
      <alignment horizont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Border="1"/>
    <xf numFmtId="173" fontId="41" fillId="0" borderId="0" xfId="2" applyNumberFormat="1" applyFont="1" applyFill="1" applyAlignment="1">
      <alignment horizontal="center" vertical="center"/>
    </xf>
    <xf numFmtId="14" fontId="41" fillId="0" borderId="0" xfId="0" applyNumberFormat="1" applyFont="1" applyFill="1"/>
    <xf numFmtId="0" fontId="41" fillId="0" borderId="0" xfId="0" applyFont="1" applyFill="1" applyAlignment="1">
      <alignment horizontal="center"/>
    </xf>
    <xf numFmtId="170" fontId="41" fillId="0" borderId="0" xfId="2" applyNumberFormat="1" applyFont="1" applyFill="1" applyBorder="1"/>
    <xf numFmtId="0" fontId="38" fillId="0" borderId="0" xfId="0" applyFont="1"/>
    <xf numFmtId="0" fontId="40" fillId="47" borderId="0" xfId="0" applyFont="1" applyFill="1" applyAlignment="1">
      <alignment horizontal="right"/>
    </xf>
    <xf numFmtId="10" fontId="42" fillId="47" borderId="0" xfId="1" applyNumberFormat="1" applyFont="1" applyFill="1" applyAlignment="1">
      <alignment horizontal="center"/>
    </xf>
    <xf numFmtId="0" fontId="42" fillId="47" borderId="0" xfId="0" applyFont="1" applyFill="1"/>
    <xf numFmtId="37" fontId="40" fillId="47" borderId="0" xfId="2" applyNumberFormat="1" applyFont="1" applyFill="1"/>
    <xf numFmtId="37" fontId="37" fillId="0" borderId="0" xfId="2" applyNumberFormat="1" applyFont="1" applyFill="1" applyAlignment="1">
      <alignment horizontal="center" vertical="center"/>
    </xf>
    <xf numFmtId="0" fontId="37" fillId="0" borderId="0" xfId="0" applyFont="1" applyFill="1"/>
    <xf numFmtId="0" fontId="37" fillId="0" borderId="0" xfId="0" applyFont="1" applyFill="1" applyBorder="1"/>
    <xf numFmtId="173" fontId="37" fillId="0" borderId="0" xfId="2" applyNumberFormat="1" applyFont="1" applyFill="1" applyAlignment="1">
      <alignment horizontal="center" vertical="center"/>
    </xf>
    <xf numFmtId="170" fontId="37" fillId="0" borderId="0" xfId="2" applyNumberFormat="1" applyFont="1" applyFill="1" applyBorder="1"/>
    <xf numFmtId="0" fontId="35" fillId="0" borderId="0" xfId="0" quotePrefix="1" applyFont="1" applyFill="1" applyAlignment="1">
      <alignment horizontal="right"/>
    </xf>
    <xf numFmtId="0" fontId="43" fillId="40" borderId="1" xfId="0" applyNumberFormat="1" applyFont="1" applyFill="1" applyBorder="1" applyAlignment="1">
      <alignment horizontal="center" wrapText="1"/>
    </xf>
    <xf numFmtId="9" fontId="43" fillId="40" borderId="1" xfId="1" applyFont="1" applyFill="1" applyBorder="1" applyAlignment="1">
      <alignment horizontal="center" wrapText="1"/>
    </xf>
    <xf numFmtId="43" fontId="43" fillId="40" borderId="1" xfId="2" applyNumberFormat="1" applyFont="1" applyFill="1" applyBorder="1" applyAlignment="1">
      <alignment horizontal="right" wrapText="1"/>
    </xf>
    <xf numFmtId="0" fontId="43" fillId="40" borderId="1" xfId="0" applyFont="1" applyFill="1" applyBorder="1" applyAlignment="1">
      <alignment horizontal="center"/>
    </xf>
    <xf numFmtId="0" fontId="43" fillId="40" borderId="1" xfId="0" applyFont="1" applyFill="1" applyBorder="1"/>
    <xf numFmtId="43" fontId="36" fillId="0" borderId="0" xfId="2" applyFont="1"/>
    <xf numFmtId="0" fontId="44" fillId="0" borderId="0" xfId="0" applyFont="1"/>
    <xf numFmtId="10" fontId="0" fillId="0" borderId="0" xfId="1" applyNumberFormat="1" applyFont="1" applyFill="1"/>
    <xf numFmtId="10" fontId="34" fillId="0" borderId="0" xfId="1" applyNumberFormat="1" applyFont="1" applyFill="1"/>
    <xf numFmtId="0" fontId="3" fillId="0" borderId="0" xfId="0" applyFont="1" applyFill="1"/>
    <xf numFmtId="0" fontId="20" fillId="0" borderId="0" xfId="0" applyFont="1" applyFill="1"/>
    <xf numFmtId="10" fontId="20" fillId="0" borderId="0" xfId="1" applyNumberFormat="1" applyFont="1" applyFill="1"/>
    <xf numFmtId="174" fontId="22" fillId="0" borderId="0" xfId="1" applyNumberFormat="1" applyFont="1" applyAlignment="1">
      <alignment horizontal="right" vertical="top"/>
    </xf>
    <xf numFmtId="0" fontId="45" fillId="0" borderId="0" xfId="0" applyNumberFormat="1" applyFont="1" applyAlignment="1">
      <alignment vertical="top"/>
    </xf>
    <xf numFmtId="0" fontId="45" fillId="0" borderId="0" xfId="0" applyFont="1" applyAlignment="1">
      <alignment horizontal="center" vertical="top"/>
    </xf>
    <xf numFmtId="0" fontId="45" fillId="0" borderId="0" xfId="0" applyNumberFormat="1" applyFont="1" applyFill="1" applyBorder="1" applyAlignment="1" applyProtection="1">
      <alignment vertical="top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vertical="top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Font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vertical="top"/>
    </xf>
    <xf numFmtId="0" fontId="45" fillId="0" borderId="1" xfId="0" applyFont="1" applyBorder="1" applyAlignment="1">
      <alignment horizontal="left" vertical="top"/>
    </xf>
    <xf numFmtId="0" fontId="20" fillId="40" borderId="0" xfId="0" applyFont="1" applyFill="1" applyBorder="1" applyAlignment="1">
      <alignment wrapText="1"/>
    </xf>
    <xf numFmtId="0" fontId="46" fillId="0" borderId="0" xfId="0" applyFont="1"/>
    <xf numFmtId="0" fontId="0" fillId="0" borderId="0" xfId="0" quotePrefix="1" applyFill="1"/>
    <xf numFmtId="174" fontId="0" fillId="0" borderId="0" xfId="0" applyNumberFormat="1"/>
    <xf numFmtId="0" fontId="35" fillId="46" borderId="0" xfId="0" applyFont="1" applyFill="1" applyAlignment="1">
      <alignment horizontal="center"/>
    </xf>
    <xf numFmtId="0" fontId="35" fillId="46" borderId="0" xfId="0" applyNumberFormat="1" applyFont="1" applyFill="1"/>
    <xf numFmtId="14" fontId="35" fillId="46" borderId="0" xfId="0" applyNumberFormat="1" applyFont="1" applyFill="1"/>
    <xf numFmtId="14" fontId="35" fillId="46" borderId="0" xfId="0" applyNumberFormat="1" applyFont="1" applyFill="1" applyAlignment="1">
      <alignment horizontal="center"/>
    </xf>
    <xf numFmtId="173" fontId="37" fillId="46" borderId="0" xfId="2" applyNumberFormat="1" applyFont="1" applyFill="1" applyAlignment="1">
      <alignment horizontal="center" vertical="center"/>
    </xf>
    <xf numFmtId="37" fontId="35" fillId="46" borderId="0" xfId="2" applyNumberFormat="1" applyFont="1" applyFill="1" applyAlignment="1">
      <alignment horizontal="center" vertical="center"/>
    </xf>
    <xf numFmtId="170" fontId="37" fillId="46" borderId="0" xfId="2" applyNumberFormat="1" applyFont="1" applyFill="1" applyAlignment="1">
      <alignment horizontal="center"/>
    </xf>
    <xf numFmtId="170" fontId="41" fillId="46" borderId="0" xfId="2" applyNumberFormat="1" applyFont="1" applyFill="1"/>
    <xf numFmtId="170" fontId="37" fillId="46" borderId="0" xfId="2" applyNumberFormat="1" applyFont="1" applyFill="1"/>
    <xf numFmtId="170" fontId="35" fillId="46" borderId="0" xfId="2" applyNumberFormat="1" applyFont="1" applyFill="1"/>
    <xf numFmtId="170" fontId="36" fillId="46" borderId="0" xfId="2" applyNumberFormat="1" applyFont="1" applyFill="1" applyAlignment="1">
      <alignment horizontal="center"/>
    </xf>
    <xf numFmtId="10" fontId="36" fillId="46" borderId="0" xfId="1" applyNumberFormat="1" applyFont="1" applyFill="1" applyAlignment="1">
      <alignment horizontal="center"/>
    </xf>
    <xf numFmtId="0" fontId="35" fillId="46" borderId="0" xfId="0" applyFont="1" applyFill="1" applyAlignment="1">
      <alignment horizontal="right"/>
    </xf>
    <xf numFmtId="0" fontId="35" fillId="46" borderId="0" xfId="0" applyFont="1" applyFill="1"/>
    <xf numFmtId="9" fontId="35" fillId="46" borderId="0" xfId="1" applyFont="1" applyFill="1" applyAlignment="1">
      <alignment horizontal="center"/>
    </xf>
    <xf numFmtId="0" fontId="38" fillId="46" borderId="0" xfId="0" applyFont="1" applyFill="1"/>
    <xf numFmtId="173" fontId="35" fillId="46" borderId="0" xfId="2" applyNumberFormat="1" applyFont="1" applyFill="1" applyAlignment="1">
      <alignment horizontal="center" vertical="center"/>
    </xf>
    <xf numFmtId="14" fontId="37" fillId="46" borderId="0" xfId="0" applyNumberFormat="1" applyFont="1" applyFill="1" applyAlignment="1">
      <alignment horizontal="center"/>
    </xf>
    <xf numFmtId="44" fontId="38" fillId="46" borderId="0" xfId="44" applyFont="1" applyFill="1"/>
    <xf numFmtId="170" fontId="0" fillId="0" borderId="0" xfId="0" applyNumberFormat="1"/>
    <xf numFmtId="0" fontId="41" fillId="46" borderId="0" xfId="0" applyFont="1" applyFill="1" applyAlignment="1">
      <alignment horizontal="center"/>
    </xf>
    <xf numFmtId="0" fontId="41" fillId="46" borderId="0" xfId="0" applyFont="1" applyFill="1"/>
    <xf numFmtId="14" fontId="38" fillId="46" borderId="0" xfId="0" applyNumberFormat="1" applyFont="1" applyFill="1"/>
    <xf numFmtId="170" fontId="38" fillId="46" borderId="0" xfId="2" applyNumberFormat="1" applyFont="1" applyFill="1"/>
    <xf numFmtId="168" fontId="0" fillId="0" borderId="0" xfId="0" applyNumberFormat="1" applyBorder="1"/>
    <xf numFmtId="171" fontId="0" fillId="0" borderId="0" xfId="0" applyNumberFormat="1" applyBorder="1"/>
    <xf numFmtId="0" fontId="0" fillId="46" borderId="0" xfId="0" applyFill="1" applyAlignment="1"/>
    <xf numFmtId="0" fontId="47" fillId="46" borderId="0" xfId="0" applyFont="1" applyFill="1" applyAlignment="1">
      <alignment horizontal="center"/>
    </xf>
    <xf numFmtId="3" fontId="45" fillId="46" borderId="0" xfId="0" applyNumberFormat="1" applyFont="1" applyFill="1" applyAlignment="1">
      <alignment vertical="center"/>
    </xf>
    <xf numFmtId="3" fontId="22" fillId="46" borderId="0" xfId="0" applyNumberFormat="1" applyFont="1" applyFill="1" applyAlignment="1">
      <alignment vertical="center"/>
    </xf>
    <xf numFmtId="0" fontId="47" fillId="46" borderId="1" xfId="0" applyFont="1" applyFill="1" applyBorder="1" applyAlignment="1">
      <alignment horizontal="center"/>
    </xf>
    <xf numFmtId="164" fontId="0" fillId="46" borderId="0" xfId="0" applyNumberFormat="1" applyFill="1" applyAlignment="1"/>
    <xf numFmtId="0" fontId="34" fillId="46" borderId="0" xfId="0" applyFont="1" applyFill="1" applyAlignment="1"/>
    <xf numFmtId="164" fontId="0" fillId="46" borderId="1" xfId="0" applyNumberFormat="1" applyFill="1" applyBorder="1" applyAlignment="1"/>
    <xf numFmtId="164" fontId="0" fillId="46" borderId="37" xfId="0" applyNumberFormat="1" applyFill="1" applyBorder="1" applyAlignment="1"/>
    <xf numFmtId="164" fontId="0" fillId="46" borderId="0" xfId="0" applyNumberFormat="1" applyFill="1" applyBorder="1" applyAlignment="1"/>
    <xf numFmtId="0" fontId="0" fillId="0" borderId="0" xfId="0" applyAlignment="1"/>
    <xf numFmtId="44" fontId="45" fillId="46" borderId="34" xfId="44" applyFont="1" applyFill="1" applyBorder="1" applyAlignment="1">
      <alignment vertical="center"/>
    </xf>
    <xf numFmtId="164" fontId="47" fillId="46" borderId="34" xfId="0" applyNumberFormat="1" applyFont="1" applyFill="1" applyBorder="1" applyAlignment="1"/>
    <xf numFmtId="164" fontId="34" fillId="46" borderId="34" xfId="0" applyNumberFormat="1" applyFont="1" applyFill="1" applyBorder="1" applyAlignment="1"/>
    <xf numFmtId="164" fontId="0" fillId="46" borderId="22" xfId="0" applyNumberFormat="1" applyFill="1" applyBorder="1" applyAlignment="1"/>
    <xf numFmtId="3" fontId="22" fillId="0" borderId="0" xfId="0" applyNumberFormat="1" applyFont="1" applyFill="1" applyAlignment="1">
      <alignment vertical="center"/>
    </xf>
    <xf numFmtId="3" fontId="45" fillId="0" borderId="0" xfId="0" applyNumberFormat="1" applyFont="1" applyFill="1" applyAlignment="1">
      <alignment vertical="center"/>
    </xf>
    <xf numFmtId="164" fontId="0" fillId="0" borderId="0" xfId="0" applyNumberFormat="1" applyFill="1" applyAlignment="1"/>
    <xf numFmtId="164" fontId="47" fillId="0" borderId="37" xfId="0" applyNumberFormat="1" applyFont="1" applyFill="1" applyBorder="1" applyAlignment="1"/>
    <xf numFmtId="44" fontId="45" fillId="0" borderId="38" xfId="44" applyFont="1" applyFill="1" applyBorder="1" applyAlignment="1">
      <alignment vertical="center"/>
    </xf>
    <xf numFmtId="164" fontId="47" fillId="0" borderId="38" xfId="0" applyNumberFormat="1" applyFont="1" applyFill="1" applyBorder="1" applyAlignment="1"/>
    <xf numFmtId="164" fontId="47" fillId="0" borderId="0" xfId="0" applyNumberFormat="1" applyFont="1" applyFill="1" applyBorder="1" applyAlignment="1"/>
    <xf numFmtId="164" fontId="34" fillId="0" borderId="0" xfId="0" applyNumberFormat="1" applyFont="1" applyFill="1" applyBorder="1" applyAlignment="1"/>
    <xf numFmtId="0" fontId="20" fillId="46" borderId="0" xfId="0" applyFont="1" applyFill="1"/>
    <xf numFmtId="164" fontId="34" fillId="0" borderId="0" xfId="0" applyNumberFormat="1" applyFont="1" applyFill="1" applyAlignment="1"/>
    <xf numFmtId="44" fontId="45" fillId="0" borderId="0" xfId="44" applyFont="1" applyFill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0" fontId="47" fillId="46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34" borderId="1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0" fillId="34" borderId="21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23" xfId="0" applyFill="1" applyBorder="1" applyAlignment="1">
      <alignment horizontal="center"/>
    </xf>
    <xf numFmtId="0" fontId="0" fillId="36" borderId="21" xfId="0" applyFill="1" applyBorder="1" applyAlignment="1">
      <alignment horizontal="center"/>
    </xf>
    <xf numFmtId="0" fontId="0" fillId="36" borderId="22" xfId="0" applyFill="1" applyBorder="1" applyAlignment="1">
      <alignment horizontal="center"/>
    </xf>
    <xf numFmtId="0" fontId="0" fillId="36" borderId="23" xfId="0" applyFill="1" applyBorder="1" applyAlignment="1">
      <alignment horizontal="center"/>
    </xf>
    <xf numFmtId="0" fontId="0" fillId="37" borderId="15" xfId="0" applyFill="1" applyBorder="1" applyAlignment="1">
      <alignment horizontal="center" wrapText="1"/>
    </xf>
    <xf numFmtId="0" fontId="0" fillId="37" borderId="17" xfId="0" applyFill="1" applyBorder="1" applyAlignment="1">
      <alignment horizontal="center" wrapText="1"/>
    </xf>
    <xf numFmtId="0" fontId="0" fillId="45" borderId="21" xfId="0" applyFill="1" applyBorder="1" applyAlignment="1">
      <alignment horizontal="center"/>
    </xf>
    <xf numFmtId="0" fontId="0" fillId="45" borderId="22" xfId="0" applyFill="1" applyBorder="1" applyAlignment="1">
      <alignment horizontal="center"/>
    </xf>
    <xf numFmtId="0" fontId="0" fillId="45" borderId="23" xfId="0" applyFill="1" applyBorder="1" applyAlignment="1">
      <alignment horizontal="center"/>
    </xf>
    <xf numFmtId="0" fontId="0" fillId="35" borderId="21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3" xfId="0" applyFill="1" applyBorder="1" applyAlignment="1">
      <alignment horizontal="center"/>
    </xf>
    <xf numFmtId="0" fontId="0" fillId="39" borderId="21" xfId="0" applyFill="1" applyBorder="1" applyAlignment="1">
      <alignment horizontal="center"/>
    </xf>
    <xf numFmtId="0" fontId="0" fillId="39" borderId="22" xfId="0" applyFill="1" applyBorder="1" applyAlignment="1">
      <alignment horizontal="center"/>
    </xf>
    <xf numFmtId="0" fontId="0" fillId="39" borderId="23" xfId="0" applyFill="1" applyBorder="1" applyAlignment="1">
      <alignment horizontal="center"/>
    </xf>
    <xf numFmtId="0" fontId="20" fillId="35" borderId="11" xfId="0" applyFont="1" applyFill="1" applyBorder="1" applyAlignment="1">
      <alignment horizontal="center"/>
    </xf>
    <xf numFmtId="0" fontId="20" fillId="35" borderId="12" xfId="0" applyFont="1" applyFill="1" applyBorder="1" applyAlignment="1">
      <alignment horizontal="center"/>
    </xf>
    <xf numFmtId="0" fontId="20" fillId="35" borderId="13" xfId="0" applyFont="1" applyFill="1" applyBorder="1" applyAlignment="1">
      <alignment horizontal="center"/>
    </xf>
    <xf numFmtId="0" fontId="20" fillId="37" borderId="11" xfId="0" applyFont="1" applyFill="1" applyBorder="1" applyAlignment="1">
      <alignment horizontal="center"/>
    </xf>
    <xf numFmtId="0" fontId="20" fillId="37" borderId="12" xfId="0" applyFont="1" applyFill="1" applyBorder="1" applyAlignment="1">
      <alignment horizontal="center"/>
    </xf>
    <xf numFmtId="0" fontId="20" fillId="37" borderId="13" xfId="0" applyFont="1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40" borderId="20" xfId="0" applyFill="1" applyBorder="1" applyAlignment="1">
      <alignment horizontal="center"/>
    </xf>
    <xf numFmtId="0" fontId="32" fillId="0" borderId="32" xfId="0" applyFont="1" applyBorder="1" applyAlignment="1">
      <alignment horizontal="left" vertical="center" wrapText="1" readingOrder="1"/>
    </xf>
    <xf numFmtId="0" fontId="32" fillId="0" borderId="30" xfId="0" applyFont="1" applyBorder="1" applyAlignment="1">
      <alignment horizontal="left" vertical="center" wrapText="1" readingOrder="1"/>
    </xf>
    <xf numFmtId="0" fontId="32" fillId="0" borderId="0" xfId="0" applyFont="1" applyBorder="1" applyAlignment="1">
      <alignment horizontal="left" vertical="center" wrapText="1" readingOrder="1"/>
    </xf>
    <xf numFmtId="0" fontId="29" fillId="0" borderId="0" xfId="0" applyFont="1" applyBorder="1" applyAlignment="1">
      <alignment horizontal="left" vertical="center" wrapText="1" readingOrder="1"/>
    </xf>
    <xf numFmtId="0" fontId="29" fillId="0" borderId="17" xfId="0" applyFont="1" applyBorder="1" applyAlignment="1">
      <alignment horizontal="left" vertical="center" wrapText="1" readingOrder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XXXX-NWN-Exh-KTW-3-Walker-WP2-12-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2-Walker-WP1-12-18-2020%20-%20Scenarios%20for%20Year%202%20C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  <row r="106">
          <cell r="D106">
            <v>0.11639999999999995</v>
          </cell>
        </row>
        <row r="107">
          <cell r="D107">
            <v>0.1048</v>
          </cell>
        </row>
        <row r="108">
          <cell r="D108">
            <v>8.5400000000000031E-2</v>
          </cell>
        </row>
        <row r="109">
          <cell r="D109">
            <v>0.25180000000000002</v>
          </cell>
        </row>
        <row r="110">
          <cell r="D110">
            <v>0.10960000000000003</v>
          </cell>
        </row>
        <row r="111">
          <cell r="D111">
            <v>0.10809999999999997</v>
          </cell>
        </row>
        <row r="112">
          <cell r="D112">
            <v>0.10299999999999998</v>
          </cell>
        </row>
        <row r="113">
          <cell r="D113">
            <v>8.5600000000000009E-2</v>
          </cell>
        </row>
        <row r="114">
          <cell r="D114">
            <v>9.430000000000005E-2</v>
          </cell>
        </row>
        <row r="115">
          <cell r="D115">
            <v>0.100274</v>
          </cell>
        </row>
        <row r="116">
          <cell r="D116">
            <v>0.11278100000000001</v>
          </cell>
        </row>
        <row r="117">
          <cell r="D117">
            <v>0.109888</v>
          </cell>
        </row>
        <row r="118">
          <cell r="D118">
            <v>0.30000000000000004</v>
          </cell>
        </row>
        <row r="119">
          <cell r="D119">
            <v>0.11111111111111116</v>
          </cell>
        </row>
        <row r="120">
          <cell r="D120">
            <v>1</v>
          </cell>
        </row>
        <row r="121">
          <cell r="D121">
            <v>0</v>
          </cell>
        </row>
        <row r="122">
          <cell r="D122">
            <v>0.11970000000000003</v>
          </cell>
        </row>
        <row r="123">
          <cell r="D123">
            <v>1.2220987243040216E-2</v>
          </cell>
        </row>
        <row r="124">
          <cell r="D124">
            <v>0.11556083283663321</v>
          </cell>
        </row>
        <row r="125">
          <cell r="D125">
            <v>0.14265125464404022</v>
          </cell>
        </row>
        <row r="126">
          <cell r="D126">
            <v>6.25E-2</v>
          </cell>
        </row>
        <row r="127">
          <cell r="D127">
            <v>3.3200000000000007E-2</v>
          </cell>
        </row>
        <row r="128">
          <cell r="D128">
            <v>0.13519317243190643</v>
          </cell>
        </row>
        <row r="129">
          <cell r="D129">
            <v>0.1067206669772393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W-2 - Rev Req"/>
      <sheetName val="KTW-3 p1 - Test Year Results"/>
      <sheetName val="KTW-3 p2 &amp; p3 - O&amp;M"/>
      <sheetName val="KTW-3 p4 - Factors"/>
      <sheetName val="KTW-3 p5 - Taxes"/>
      <sheetName val="KTW-3 p6 &amp; p7 - Rate Base"/>
      <sheetName val="KTW-3 p8 - Cost of Cap"/>
      <sheetName val="KTW-4,5,8 p1 - Adjust Issues"/>
      <sheetName val="KTW-4,5,8 p2 - Adjust Tax"/>
      <sheetName val="KTW-4 p3 - Revenue &amp; Gas Cost"/>
      <sheetName val="KTW-4 p4 - Misc Rev Adjs"/>
      <sheetName val="KTW-4 p5 - Bonuses"/>
      <sheetName val="KTW-4 p6 - Property Taxes"/>
      <sheetName val="KTW-4 p7 - Uncollectible"/>
      <sheetName val="KTW-4 p8 - Working Cap"/>
      <sheetName val="KTW-4 p9 - Marketing"/>
      <sheetName val="KTW-4 p10 - Claims"/>
      <sheetName val="KTW-4 p11 - Rate Case Exp"/>
      <sheetName val="KTW-4 p12 - Clearing"/>
      <sheetName val="KTW-4 p13 - Holdco"/>
      <sheetName val="KTW-4 Save for Future"/>
      <sheetName val="KTW-5 p3 - Payroll 1"/>
      <sheetName val="KTW-5 p4 - Payroll 2"/>
      <sheetName val="KTW-5 p5 - Pay Overheads"/>
      <sheetName val="KTW-5 p6 - 250 Taylor"/>
      <sheetName val="KTW-5 p7,KTW-8 p3 - Post TY Adj"/>
      <sheetName val="KTW-5 p8 - EDIT RB Adj."/>
      <sheetName val="KTW-5 p9 - EOP Deprec Exp"/>
      <sheetName val="KTW-5 p10 - EOP Rate Base"/>
      <sheetName val="KTW-7,9 p1 - Rev Req"/>
      <sheetName val="WP - Deferred Tax"/>
      <sheetName val="WP - Other Rev &amp; Tax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C28">
            <v>4.1568704330584232E-2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D0F7-092F-441B-BE7A-B1E759473F27}">
  <dimension ref="A1:GE55"/>
  <sheetViews>
    <sheetView showGridLines="0" tabSelected="1" zoomScale="90" zoomScaleNormal="90" workbookViewId="0">
      <pane xSplit="6" ySplit="4" topLeftCell="FK5" activePane="bottomRight" state="frozen"/>
      <selection pane="topRight" activeCell="G1" sqref="G1"/>
      <selection pane="bottomLeft" activeCell="A4" sqref="A4"/>
      <selection pane="bottomRight" activeCell="F2" sqref="F2"/>
    </sheetView>
  </sheetViews>
  <sheetFormatPr defaultRowHeight="14.5" outlineLevelRow="1" outlineLevelCol="1" x14ac:dyDescent="0.35"/>
  <cols>
    <col min="1" max="1" width="29.453125" style="18" customWidth="1"/>
    <col min="2" max="2" width="29.453125" style="2" customWidth="1"/>
    <col min="3" max="3" width="10.1796875" hidden="1" customWidth="1" outlineLevel="1"/>
    <col min="4" max="4" width="9.81640625" hidden="1" customWidth="1" outlineLevel="1"/>
    <col min="5" max="5" width="15.453125" hidden="1" customWidth="1" outlineLevel="1"/>
    <col min="6" max="6" width="56.7265625" bestFit="1" customWidth="1" collapsed="1"/>
    <col min="7" max="7" width="16" style="49" hidden="1" customWidth="1" outlineLevel="1"/>
    <col min="8" max="8" width="14.26953125" hidden="1" customWidth="1" outlineLevel="1"/>
    <col min="9" max="10" width="12.54296875" hidden="1" customWidth="1" outlineLevel="1"/>
    <col min="11" max="11" width="12.1796875" hidden="1" customWidth="1" outlineLevel="1"/>
    <col min="12" max="13" width="13.26953125" hidden="1" customWidth="1" outlineLevel="1"/>
    <col min="14" max="14" width="12.26953125" hidden="1" customWidth="1" outlineLevel="1"/>
    <col min="15" max="15" width="10.54296875" hidden="1" customWidth="1" outlineLevel="1"/>
    <col min="16" max="16" width="12.1796875" hidden="1" customWidth="1" outlineLevel="1"/>
    <col min="17" max="18" width="13.26953125" hidden="1" customWidth="1" outlineLevel="1"/>
    <col min="19" max="21" width="12.1796875" hidden="1" customWidth="1" outlineLevel="1"/>
    <col min="22" max="22" width="13.81640625" style="49" hidden="1" customWidth="1" outlineLevel="1"/>
    <col min="23" max="23" width="14.453125" hidden="1" customWidth="1" outlineLevel="1"/>
    <col min="24" max="25" width="12.1796875" hidden="1" customWidth="1" outlineLevel="1"/>
    <col min="26" max="26" width="1.26953125" style="18" hidden="1" customWidth="1" outlineLevel="1"/>
    <col min="27" max="28" width="7.1796875" style="18" hidden="1" customWidth="1" outlineLevel="1"/>
    <col min="29" max="29" width="6" hidden="1" customWidth="1" outlineLevel="1"/>
    <col min="30" max="30" width="5.54296875" hidden="1" customWidth="1" outlineLevel="1"/>
    <col min="31" max="31" width="5.54296875" style="49" hidden="1" customWidth="1" outlineLevel="1"/>
    <col min="32" max="33" width="5.54296875" hidden="1" customWidth="1" outlineLevel="1"/>
    <col min="34" max="34" width="5.54296875" style="49" hidden="1" customWidth="1" outlineLevel="1"/>
    <col min="35" max="36" width="7" hidden="1" customWidth="1" outlineLevel="1"/>
    <col min="37" max="37" width="7" style="49" hidden="1" customWidth="1" outlineLevel="1"/>
    <col min="38" max="38" width="7" hidden="1" customWidth="1" outlineLevel="1"/>
    <col min="39" max="39" width="4.54296875" hidden="1" customWidth="1" outlineLevel="1"/>
    <col min="40" max="40" width="4.54296875" style="61" hidden="1" customWidth="1" outlineLevel="1"/>
    <col min="41" max="41" width="7" hidden="1" customWidth="1" outlineLevel="1"/>
    <col min="42" max="42" width="7" style="18" hidden="1" customWidth="1" outlineLevel="1"/>
    <col min="43" max="43" width="7" style="61" hidden="1" customWidth="1" outlineLevel="1"/>
    <col min="44" max="44" width="5.54296875" hidden="1" customWidth="1" outlineLevel="1"/>
    <col min="45" max="45" width="6.54296875" style="18" hidden="1" customWidth="1" outlineLevel="1"/>
    <col min="46" max="46" width="6.54296875" style="49" hidden="1" customWidth="1" outlineLevel="1"/>
    <col min="47" max="47" width="6.54296875" style="61" hidden="1" customWidth="1" outlineLevel="1"/>
    <col min="48" max="48" width="5.54296875" style="18" hidden="1" customWidth="1" outlineLevel="1"/>
    <col min="49" max="49" width="1.26953125" style="18" hidden="1" customWidth="1" outlineLevel="1"/>
    <col min="50" max="50" width="12.1796875" style="18" hidden="1" customWidth="1" outlineLevel="1"/>
    <col min="51" max="51" width="11.1796875" style="18" hidden="1" customWidth="1" outlineLevel="1"/>
    <col min="52" max="53" width="10.1796875" hidden="1" customWidth="1" outlineLevel="1"/>
    <col min="54" max="54" width="10.1796875" style="49" hidden="1" customWidth="1" outlineLevel="1"/>
    <col min="55" max="55" width="10.1796875" hidden="1" customWidth="1" outlineLevel="1"/>
    <col min="56" max="56" width="11.1796875" hidden="1" customWidth="1" outlineLevel="1"/>
    <col min="57" max="57" width="11.1796875" style="49" hidden="1" customWidth="1" outlineLevel="1"/>
    <col min="58" max="59" width="10.1796875" hidden="1" customWidth="1" outlineLevel="1"/>
    <col min="60" max="60" width="10.1796875" style="49" hidden="1" customWidth="1" outlineLevel="1"/>
    <col min="61" max="62" width="10.1796875" hidden="1" customWidth="1" outlineLevel="1"/>
    <col min="63" max="63" width="10.1796875" style="61" hidden="1" customWidth="1" outlineLevel="1"/>
    <col min="64" max="64" width="10.1796875" hidden="1" customWidth="1" outlineLevel="1"/>
    <col min="65" max="65" width="8.54296875" hidden="1" customWidth="1" outlineLevel="1"/>
    <col min="66" max="66" width="8.54296875" style="61" hidden="1" customWidth="1" outlineLevel="1"/>
    <col min="67" max="67" width="11.1796875" hidden="1" customWidth="1" outlineLevel="1"/>
    <col min="68" max="68" width="11.1796875" style="18" hidden="1" customWidth="1" outlineLevel="1"/>
    <col min="69" max="69" width="11.1796875" style="49" hidden="1" customWidth="1" outlineLevel="1"/>
    <col min="70" max="70" width="11.1796875" style="61" hidden="1" customWidth="1" outlineLevel="1"/>
    <col min="71" max="71" width="11.1796875" hidden="1" customWidth="1" outlineLevel="1"/>
    <col min="72" max="72" width="7.1796875" style="46" hidden="1" customWidth="1" outlineLevel="1"/>
    <col min="73" max="76" width="7.453125" style="18" hidden="1" customWidth="1" outlineLevel="1"/>
    <col min="77" max="77" width="7.453125" style="49" hidden="1" customWidth="1" outlineLevel="1"/>
    <col min="78" max="79" width="7.453125" style="18" hidden="1" customWidth="1" outlineLevel="1"/>
    <col min="80" max="80" width="7.453125" style="49" hidden="1" customWidth="1" outlineLevel="1"/>
    <col min="81" max="82" width="7.453125" style="18" hidden="1" customWidth="1" outlineLevel="1"/>
    <col min="83" max="83" width="7.453125" style="49" hidden="1" customWidth="1" outlineLevel="1"/>
    <col min="84" max="84" width="7.453125" style="18" hidden="1" customWidth="1" outlineLevel="1"/>
    <col min="85" max="85" width="8.1796875" style="18" hidden="1" customWidth="1" outlineLevel="1"/>
    <col min="86" max="86" width="8.1796875" style="61" hidden="1" customWidth="1" outlineLevel="1"/>
    <col min="87" max="88" width="8.1796875" style="18" hidden="1" customWidth="1" outlineLevel="1"/>
    <col min="89" max="89" width="8.1796875" style="61" hidden="1" customWidth="1" outlineLevel="1"/>
    <col min="90" max="90" width="8.1796875" style="18" hidden="1" customWidth="1" outlineLevel="1"/>
    <col min="91" max="91" width="7.453125" style="18" hidden="1" customWidth="1" outlineLevel="1"/>
    <col min="92" max="92" width="7.453125" style="49" hidden="1" customWidth="1" outlineLevel="1"/>
    <col min="93" max="93" width="8.1796875" style="61" hidden="1" customWidth="1" outlineLevel="1"/>
    <col min="94" max="94" width="9.7265625" style="18" hidden="1" customWidth="1" outlineLevel="1"/>
    <col min="95" max="95" width="1.26953125" style="18" hidden="1" customWidth="1" outlineLevel="1"/>
    <col min="96" max="99" width="10.7265625" style="18" hidden="1" customWidth="1" outlineLevel="1"/>
    <col min="100" max="100" width="10.7265625" style="49" hidden="1" customWidth="1" outlineLevel="1"/>
    <col min="101" max="102" width="10.7265625" style="18" hidden="1" customWidth="1" outlineLevel="1"/>
    <col min="103" max="103" width="10.7265625" style="49" hidden="1" customWidth="1" outlineLevel="1"/>
    <col min="104" max="105" width="10.7265625" style="18" hidden="1" customWidth="1" outlineLevel="1"/>
    <col min="106" max="106" width="10.7265625" style="49" hidden="1" customWidth="1" outlineLevel="1"/>
    <col min="107" max="108" width="10.7265625" style="18" hidden="1" customWidth="1" outlineLevel="1"/>
    <col min="109" max="109" width="10.7265625" style="61" hidden="1" customWidth="1" outlineLevel="1"/>
    <col min="110" max="111" width="10.7265625" style="18" hidden="1" customWidth="1" outlineLevel="1"/>
    <col min="112" max="112" width="10.7265625" style="61" hidden="1" customWidth="1" outlineLevel="1"/>
    <col min="113" max="113" width="12" style="18" hidden="1" customWidth="1" outlineLevel="1"/>
    <col min="114" max="114" width="10.7265625" style="18" hidden="1" customWidth="1" outlineLevel="1"/>
    <col min="115" max="115" width="10.7265625" style="49" hidden="1" customWidth="1" outlineLevel="1"/>
    <col min="116" max="116" width="10.7265625" style="61" hidden="1" customWidth="1" outlineLevel="1"/>
    <col min="117" max="117" width="12" style="18" hidden="1" customWidth="1" outlineLevel="1"/>
    <col min="118" max="118" width="3" hidden="1" customWidth="1" outlineLevel="1"/>
    <col min="119" max="131" width="8.7265625" hidden="1" customWidth="1" outlineLevel="1"/>
    <col min="132" max="132" width="8.7265625" style="61" hidden="1" customWidth="1" outlineLevel="1"/>
    <col min="133" max="134" width="8.7265625" hidden="1" customWidth="1" outlineLevel="1"/>
    <col min="135" max="135" width="8.7265625" style="61" hidden="1" customWidth="1" outlineLevel="1"/>
    <col min="136" max="138" width="8.7265625" hidden="1" customWidth="1" outlineLevel="1"/>
    <col min="139" max="139" width="8.7265625" style="61" hidden="1" customWidth="1" outlineLevel="1"/>
    <col min="140" max="140" width="8.7265625" hidden="1" customWidth="1" outlineLevel="1"/>
    <col min="141" max="141" width="3.54296875" hidden="1" customWidth="1" outlineLevel="1"/>
    <col min="142" max="142" width="9.7265625" hidden="1" customWidth="1" outlineLevel="1"/>
    <col min="143" max="154" width="8.7265625" hidden="1" customWidth="1" outlineLevel="1"/>
    <col min="155" max="155" width="8.7265625" style="61" hidden="1" customWidth="1" outlineLevel="1"/>
    <col min="156" max="157" width="8.7265625" hidden="1" customWidth="1" outlineLevel="1"/>
    <col min="158" max="158" width="8.7265625" style="61" hidden="1" customWidth="1" outlineLevel="1"/>
    <col min="159" max="161" width="8.7265625" hidden="1" customWidth="1" outlineLevel="1"/>
    <col min="162" max="162" width="8.7265625" style="61" hidden="1" customWidth="1" outlineLevel="1"/>
    <col min="163" max="163" width="11" hidden="1" customWidth="1" outlineLevel="1"/>
    <col min="164" max="164" width="10.1796875" style="61" hidden="1" customWidth="1" outlineLevel="1"/>
    <col min="165" max="165" width="13.81640625" style="2" hidden="1" customWidth="1" outlineLevel="1"/>
    <col min="166" max="166" width="16" style="2" hidden="1" customWidth="1" outlineLevel="1"/>
    <col min="167" max="167" width="14.81640625" style="2" hidden="1" customWidth="1" outlineLevel="1"/>
    <col min="168" max="168" width="11.1796875" hidden="1" customWidth="1" outlineLevel="1"/>
    <col min="169" max="169" width="10" bestFit="1" customWidth="1" collapsed="1"/>
    <col min="170" max="170" width="51.1796875" customWidth="1"/>
    <col min="171" max="172" width="15.7265625" style="61" customWidth="1"/>
    <col min="173" max="173" width="12.54296875" style="61" hidden="1" customWidth="1"/>
    <col min="174" max="174" width="15.81640625" hidden="1" customWidth="1"/>
    <col min="175" max="175" width="17.7265625" customWidth="1" collapsed="1"/>
    <col min="176" max="176" width="17.7265625" customWidth="1"/>
    <col min="177" max="177" width="3" customWidth="1"/>
    <col min="178" max="178" width="12.1796875" hidden="1" customWidth="1"/>
    <col min="179" max="179" width="3" hidden="1" customWidth="1"/>
    <col min="180" max="180" width="12.1796875" hidden="1" customWidth="1"/>
    <col min="181" max="181" width="9.1796875" collapsed="1"/>
  </cols>
  <sheetData>
    <row r="1" spans="1:187" s="61" customFormat="1" ht="19" thickBot="1" x14ac:dyDescent="0.4">
      <c r="A1" s="450" t="s">
        <v>548</v>
      </c>
      <c r="B1" s="2"/>
      <c r="BT1" s="46"/>
      <c r="FI1" s="2"/>
      <c r="FJ1" s="2"/>
      <c r="FK1" s="2"/>
    </row>
    <row r="2" spans="1:187" ht="19" thickBot="1" x14ac:dyDescent="0.5">
      <c r="A2" s="450" t="s">
        <v>559</v>
      </c>
      <c r="B2" s="191"/>
      <c r="H2" s="417" t="s">
        <v>149</v>
      </c>
      <c r="I2" s="418"/>
      <c r="J2" s="418"/>
      <c r="K2" s="418"/>
      <c r="L2" s="419"/>
      <c r="M2" s="437" t="s">
        <v>138</v>
      </c>
      <c r="N2" s="438"/>
      <c r="O2" s="438"/>
      <c r="P2" s="438"/>
      <c r="Q2" s="439"/>
      <c r="R2" s="440" t="s">
        <v>174</v>
      </c>
      <c r="S2" s="441"/>
      <c r="T2" s="441"/>
      <c r="U2" s="441"/>
      <c r="V2" s="441"/>
      <c r="W2" s="442"/>
      <c r="AA2" s="18" t="s">
        <v>152</v>
      </c>
      <c r="AB2" s="18" t="s">
        <v>151</v>
      </c>
      <c r="AS2" s="18" t="s">
        <v>153</v>
      </c>
      <c r="FJ2" s="218"/>
      <c r="FK2" s="218"/>
    </row>
    <row r="3" spans="1:187" x14ac:dyDescent="0.35">
      <c r="A3" s="451" t="s">
        <v>49</v>
      </c>
      <c r="G3" s="15" t="s">
        <v>173</v>
      </c>
      <c r="H3" s="9"/>
      <c r="I3" s="10"/>
      <c r="J3" s="10"/>
      <c r="K3" s="10" t="s">
        <v>26</v>
      </c>
      <c r="L3" s="56" t="s">
        <v>43</v>
      </c>
      <c r="M3" s="9"/>
      <c r="N3" s="10"/>
      <c r="O3" s="10"/>
      <c r="P3" s="10" t="s">
        <v>26</v>
      </c>
      <c r="Q3" s="56" t="s">
        <v>43</v>
      </c>
      <c r="R3" s="9" t="s">
        <v>46</v>
      </c>
      <c r="S3" s="10"/>
      <c r="T3" s="10"/>
      <c r="U3" s="10" t="s">
        <v>26</v>
      </c>
      <c r="V3" s="426" t="s">
        <v>327</v>
      </c>
      <c r="W3" s="56" t="s">
        <v>28</v>
      </c>
      <c r="Y3" s="2"/>
      <c r="AA3" s="420" t="s">
        <v>132</v>
      </c>
      <c r="AB3" s="421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  <c r="AS3" s="421"/>
      <c r="AT3" s="421"/>
      <c r="AU3" s="421"/>
      <c r="AV3" s="422"/>
      <c r="AX3" s="423" t="s">
        <v>135</v>
      </c>
      <c r="AY3" s="424"/>
      <c r="AZ3" s="424"/>
      <c r="BA3" s="424"/>
      <c r="BB3" s="424"/>
      <c r="BC3" s="424"/>
      <c r="BD3" s="424"/>
      <c r="BE3" s="424"/>
      <c r="BF3" s="424"/>
      <c r="BG3" s="424"/>
      <c r="BH3" s="424"/>
      <c r="BI3" s="424"/>
      <c r="BJ3" s="424"/>
      <c r="BK3" s="424"/>
      <c r="BL3" s="424"/>
      <c r="BM3" s="424"/>
      <c r="BN3" s="424"/>
      <c r="BO3" s="424"/>
      <c r="BP3" s="424"/>
      <c r="BQ3" s="424"/>
      <c r="BR3" s="424"/>
      <c r="BS3" s="425"/>
      <c r="BU3" s="431" t="s">
        <v>136</v>
      </c>
      <c r="BV3" s="432"/>
      <c r="BW3" s="432"/>
      <c r="BX3" s="432"/>
      <c r="BY3" s="432"/>
      <c r="BZ3" s="432"/>
      <c r="CA3" s="432"/>
      <c r="CB3" s="432"/>
      <c r="CC3" s="432"/>
      <c r="CD3" s="432"/>
      <c r="CE3" s="432"/>
      <c r="CF3" s="432"/>
      <c r="CG3" s="432"/>
      <c r="CH3" s="432"/>
      <c r="CI3" s="432"/>
      <c r="CJ3" s="432"/>
      <c r="CK3" s="432"/>
      <c r="CL3" s="432"/>
      <c r="CM3" s="432"/>
      <c r="CN3" s="432"/>
      <c r="CO3" s="432"/>
      <c r="CP3" s="433"/>
      <c r="CR3" s="434" t="s">
        <v>137</v>
      </c>
      <c r="CS3" s="435"/>
      <c r="CT3" s="435"/>
      <c r="CU3" s="435"/>
      <c r="CV3" s="435"/>
      <c r="CW3" s="435"/>
      <c r="CX3" s="435"/>
      <c r="CY3" s="435"/>
      <c r="CZ3" s="435"/>
      <c r="DA3" s="435"/>
      <c r="DB3" s="435"/>
      <c r="DC3" s="435"/>
      <c r="DD3" s="435"/>
      <c r="DE3" s="435"/>
      <c r="DF3" s="435"/>
      <c r="DG3" s="435"/>
      <c r="DH3" s="435"/>
      <c r="DI3" s="435"/>
      <c r="DJ3" s="435"/>
      <c r="DK3" s="435"/>
      <c r="DL3" s="435"/>
      <c r="DM3" s="436"/>
      <c r="DO3" s="423" t="s">
        <v>333</v>
      </c>
      <c r="DP3" s="424"/>
      <c r="DQ3" s="424"/>
      <c r="DR3" s="424"/>
      <c r="DS3" s="424"/>
      <c r="DT3" s="424"/>
      <c r="DU3" s="424"/>
      <c r="DV3" s="424"/>
      <c r="DW3" s="424"/>
      <c r="DX3" s="424"/>
      <c r="DY3" s="424"/>
      <c r="DZ3" s="424"/>
      <c r="EA3" s="424"/>
      <c r="EB3" s="424"/>
      <c r="EC3" s="424"/>
      <c r="ED3" s="424"/>
      <c r="EE3" s="424"/>
      <c r="EF3" s="424"/>
      <c r="EG3" s="424"/>
      <c r="EH3" s="424"/>
      <c r="EI3" s="424"/>
      <c r="EJ3" s="425"/>
      <c r="EL3" s="428" t="s">
        <v>332</v>
      </c>
      <c r="EM3" s="429"/>
      <c r="EN3" s="429"/>
      <c r="EO3" s="429"/>
      <c r="EP3" s="429"/>
      <c r="EQ3" s="429"/>
      <c r="ER3" s="429"/>
      <c r="ES3" s="429"/>
      <c r="ET3" s="429"/>
      <c r="EU3" s="429"/>
      <c r="EV3" s="429"/>
      <c r="EW3" s="429"/>
      <c r="EX3" s="429"/>
      <c r="EY3" s="429"/>
      <c r="EZ3" s="429"/>
      <c r="FA3" s="429"/>
      <c r="FB3" s="429"/>
      <c r="FC3" s="429"/>
      <c r="FD3" s="429"/>
      <c r="FE3" s="429"/>
      <c r="FF3" s="429"/>
      <c r="FG3" s="430"/>
      <c r="FH3" s="207"/>
      <c r="FJ3" s="212"/>
      <c r="FK3" s="212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</row>
    <row r="4" spans="1:187" ht="15" thickBot="1" x14ac:dyDescent="0.4">
      <c r="G4" s="16" t="s">
        <v>1</v>
      </c>
      <c r="H4" s="11" t="s">
        <v>46</v>
      </c>
      <c r="I4" s="12" t="s">
        <v>24</v>
      </c>
      <c r="J4" s="12" t="s">
        <v>25</v>
      </c>
      <c r="K4" s="12" t="s">
        <v>27</v>
      </c>
      <c r="L4" s="57" t="s">
        <v>47</v>
      </c>
      <c r="M4" s="11" t="s">
        <v>46</v>
      </c>
      <c r="N4" s="12" t="s">
        <v>24</v>
      </c>
      <c r="O4" s="12" t="s">
        <v>25</v>
      </c>
      <c r="P4" s="12" t="s">
        <v>27</v>
      </c>
      <c r="Q4" s="57" t="s">
        <v>48</v>
      </c>
      <c r="R4" s="11" t="s">
        <v>328</v>
      </c>
      <c r="S4" s="12" t="s">
        <v>24</v>
      </c>
      <c r="T4" s="12" t="s">
        <v>25</v>
      </c>
      <c r="U4" s="12" t="s">
        <v>27</v>
      </c>
      <c r="V4" s="427"/>
      <c r="W4" s="57" t="s">
        <v>5</v>
      </c>
      <c r="Y4" s="3"/>
      <c r="AA4" s="65">
        <v>303.10000000000002</v>
      </c>
      <c r="AB4" s="65">
        <v>303.7</v>
      </c>
      <c r="AC4" s="34" t="s">
        <v>134</v>
      </c>
      <c r="AD4" s="33">
        <v>352</v>
      </c>
      <c r="AE4" s="33">
        <v>353</v>
      </c>
      <c r="AF4" s="33">
        <v>354</v>
      </c>
      <c r="AG4" s="33">
        <v>355</v>
      </c>
      <c r="AH4" s="33">
        <v>357</v>
      </c>
      <c r="AI4" s="33">
        <v>361.12</v>
      </c>
      <c r="AJ4" s="33">
        <v>363.11</v>
      </c>
      <c r="AK4" s="33">
        <v>363.21</v>
      </c>
      <c r="AL4" s="33">
        <v>363.22</v>
      </c>
      <c r="AM4" s="33">
        <v>367</v>
      </c>
      <c r="AN4" s="220">
        <v>375</v>
      </c>
      <c r="AO4" s="33">
        <v>376.11</v>
      </c>
      <c r="AP4" s="33">
        <v>376.12</v>
      </c>
      <c r="AQ4" s="220">
        <v>378</v>
      </c>
      <c r="AR4" s="33">
        <v>390</v>
      </c>
      <c r="AS4" s="44">
        <v>391.2</v>
      </c>
      <c r="AT4" s="44">
        <v>397.2</v>
      </c>
      <c r="AU4" s="44">
        <v>397.3</v>
      </c>
      <c r="AV4" s="33" t="s">
        <v>43</v>
      </c>
      <c r="AX4" s="36">
        <v>303.10000000000002</v>
      </c>
      <c r="AY4" s="36">
        <v>303.7</v>
      </c>
      <c r="AZ4" s="36" t="s">
        <v>134</v>
      </c>
      <c r="BA4" s="37">
        <v>352</v>
      </c>
      <c r="BB4" s="37">
        <v>353</v>
      </c>
      <c r="BC4" s="37">
        <v>354</v>
      </c>
      <c r="BD4" s="37">
        <v>355</v>
      </c>
      <c r="BE4" s="37">
        <v>357</v>
      </c>
      <c r="BF4" s="37">
        <v>361.12</v>
      </c>
      <c r="BG4" s="37">
        <v>363.11</v>
      </c>
      <c r="BH4" s="37">
        <v>363.21</v>
      </c>
      <c r="BI4" s="37">
        <v>363.22</v>
      </c>
      <c r="BJ4" s="37">
        <v>367</v>
      </c>
      <c r="BK4" s="37">
        <v>375</v>
      </c>
      <c r="BL4" s="37">
        <v>376.11</v>
      </c>
      <c r="BM4" s="37">
        <v>376.12</v>
      </c>
      <c r="BN4" s="37">
        <v>378</v>
      </c>
      <c r="BO4" s="37">
        <v>390</v>
      </c>
      <c r="BP4" s="37">
        <v>391.2</v>
      </c>
      <c r="BQ4" s="37">
        <v>397.2</v>
      </c>
      <c r="BR4" s="37">
        <v>397.3</v>
      </c>
      <c r="BS4" s="37" t="s">
        <v>43</v>
      </c>
      <c r="BT4" s="47" t="s">
        <v>141</v>
      </c>
      <c r="BU4" s="42">
        <v>303.10000000000002</v>
      </c>
      <c r="BV4" s="42">
        <v>303.7</v>
      </c>
      <c r="BW4" s="42" t="s">
        <v>134</v>
      </c>
      <c r="BX4" s="43">
        <v>352</v>
      </c>
      <c r="BY4" s="43">
        <v>353</v>
      </c>
      <c r="BZ4" s="43">
        <v>354</v>
      </c>
      <c r="CA4" s="43">
        <v>355</v>
      </c>
      <c r="CB4" s="43">
        <v>357</v>
      </c>
      <c r="CC4" s="43">
        <v>361.12</v>
      </c>
      <c r="CD4" s="43">
        <v>363.11</v>
      </c>
      <c r="CE4" s="43">
        <v>363.21</v>
      </c>
      <c r="CF4" s="43">
        <v>363.22</v>
      </c>
      <c r="CG4" s="43">
        <v>367</v>
      </c>
      <c r="CH4" s="43">
        <v>375</v>
      </c>
      <c r="CI4" s="43">
        <v>376.11</v>
      </c>
      <c r="CJ4" s="43">
        <v>376.12</v>
      </c>
      <c r="CK4" s="43">
        <v>378</v>
      </c>
      <c r="CL4" s="43">
        <v>390</v>
      </c>
      <c r="CM4" s="43">
        <v>391.2</v>
      </c>
      <c r="CN4" s="43">
        <v>397.2</v>
      </c>
      <c r="CO4" s="43">
        <v>397.3</v>
      </c>
      <c r="CP4" s="43"/>
      <c r="CR4" s="35">
        <v>303.10000000000002</v>
      </c>
      <c r="CS4" s="35">
        <v>303.7</v>
      </c>
      <c r="CT4" s="35" t="s">
        <v>134</v>
      </c>
      <c r="CU4" s="32">
        <v>352</v>
      </c>
      <c r="CV4" s="32">
        <v>353</v>
      </c>
      <c r="CW4" s="32">
        <v>354</v>
      </c>
      <c r="CX4" s="32">
        <v>355</v>
      </c>
      <c r="CY4" s="32">
        <v>357</v>
      </c>
      <c r="CZ4" s="32">
        <v>361.12</v>
      </c>
      <c r="DA4" s="32">
        <v>363.11</v>
      </c>
      <c r="DB4" s="32">
        <v>363.21</v>
      </c>
      <c r="DC4" s="32">
        <v>363.22</v>
      </c>
      <c r="DD4" s="32">
        <v>367</v>
      </c>
      <c r="DE4" s="32">
        <v>375</v>
      </c>
      <c r="DF4" s="32">
        <v>376.11</v>
      </c>
      <c r="DG4" s="32">
        <v>376.12</v>
      </c>
      <c r="DH4" s="32">
        <v>378</v>
      </c>
      <c r="DI4" s="32">
        <v>390</v>
      </c>
      <c r="DJ4" s="32">
        <v>391.2</v>
      </c>
      <c r="DK4" s="32">
        <v>397.2</v>
      </c>
      <c r="DL4" s="32">
        <v>397.3</v>
      </c>
      <c r="DM4" s="32" t="s">
        <v>43</v>
      </c>
      <c r="DO4" s="36">
        <v>303.10000000000002</v>
      </c>
      <c r="DP4" s="36">
        <v>303.7</v>
      </c>
      <c r="DQ4" s="36" t="s">
        <v>134</v>
      </c>
      <c r="DR4" s="37">
        <v>352</v>
      </c>
      <c r="DS4" s="37">
        <v>353</v>
      </c>
      <c r="DT4" s="37">
        <v>354</v>
      </c>
      <c r="DU4" s="37">
        <v>355</v>
      </c>
      <c r="DV4" s="37">
        <v>357</v>
      </c>
      <c r="DW4" s="37">
        <v>361.12</v>
      </c>
      <c r="DX4" s="37">
        <v>363.11</v>
      </c>
      <c r="DY4" s="37">
        <v>363.21</v>
      </c>
      <c r="DZ4" s="37">
        <v>363.22</v>
      </c>
      <c r="EA4" s="37">
        <v>367</v>
      </c>
      <c r="EB4" s="37">
        <v>375</v>
      </c>
      <c r="EC4" s="37">
        <v>376.11</v>
      </c>
      <c r="ED4" s="37">
        <v>376.12</v>
      </c>
      <c r="EE4" s="37">
        <v>378</v>
      </c>
      <c r="EF4" s="37">
        <v>390</v>
      </c>
      <c r="EG4" s="37">
        <v>391.2</v>
      </c>
      <c r="EH4" s="37">
        <v>397.2</v>
      </c>
      <c r="EI4" s="37">
        <v>397.3</v>
      </c>
      <c r="EJ4" s="37"/>
      <c r="EL4" s="196">
        <v>303.10000000000002</v>
      </c>
      <c r="EM4" s="196">
        <v>303.7</v>
      </c>
      <c r="EN4" s="196" t="s">
        <v>134</v>
      </c>
      <c r="EO4" s="197">
        <v>352</v>
      </c>
      <c r="EP4" s="197">
        <v>353</v>
      </c>
      <c r="EQ4" s="197">
        <v>354</v>
      </c>
      <c r="ER4" s="197">
        <v>355</v>
      </c>
      <c r="ES4" s="197">
        <v>357</v>
      </c>
      <c r="ET4" s="197">
        <v>361.12</v>
      </c>
      <c r="EU4" s="197">
        <v>363.11</v>
      </c>
      <c r="EV4" s="197">
        <v>363.21</v>
      </c>
      <c r="EW4" s="197">
        <v>363.22</v>
      </c>
      <c r="EX4" s="197">
        <v>367</v>
      </c>
      <c r="EY4" s="197">
        <v>375</v>
      </c>
      <c r="EZ4" s="197">
        <v>376.11</v>
      </c>
      <c r="FA4" s="197">
        <v>376.12</v>
      </c>
      <c r="FB4" s="197">
        <v>378.3</v>
      </c>
      <c r="FC4" s="197">
        <v>390</v>
      </c>
      <c r="FD4" s="197">
        <v>391.2</v>
      </c>
      <c r="FE4" s="197">
        <v>397.2</v>
      </c>
      <c r="FF4" s="197">
        <v>397.3</v>
      </c>
      <c r="FG4" s="197" t="s">
        <v>43</v>
      </c>
      <c r="FH4" s="207"/>
      <c r="FI4" s="415" t="s">
        <v>336</v>
      </c>
      <c r="FJ4" s="415" t="s">
        <v>337</v>
      </c>
      <c r="FK4" s="415" t="s">
        <v>341</v>
      </c>
      <c r="FL4" s="211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</row>
    <row r="5" spans="1:187" outlineLevel="1" x14ac:dyDescent="0.35">
      <c r="A5" s="6" t="s">
        <v>172</v>
      </c>
      <c r="B5" s="192" t="s">
        <v>331</v>
      </c>
      <c r="C5" s="6" t="s">
        <v>30</v>
      </c>
      <c r="D5" s="6" t="s">
        <v>31</v>
      </c>
      <c r="E5" s="6" t="s">
        <v>37</v>
      </c>
      <c r="F5" s="157" t="s">
        <v>323</v>
      </c>
      <c r="G5" s="165"/>
      <c r="H5" s="166"/>
      <c r="I5" s="167"/>
      <c r="J5" s="167"/>
      <c r="K5" s="167"/>
      <c r="L5" s="168"/>
      <c r="M5" s="166"/>
      <c r="N5" s="167"/>
      <c r="O5" s="167"/>
      <c r="P5" s="167"/>
      <c r="Q5" s="168"/>
      <c r="R5" s="166"/>
      <c r="S5" s="167"/>
      <c r="T5" s="167"/>
      <c r="U5" s="167"/>
      <c r="V5" s="167"/>
      <c r="W5" s="168"/>
      <c r="Y5" s="5"/>
      <c r="AV5" s="40"/>
      <c r="AZ5" s="18"/>
      <c r="BA5" s="18"/>
      <c r="BC5" s="18"/>
      <c r="BD5" s="18"/>
      <c r="BF5" s="18"/>
      <c r="BG5" s="18"/>
      <c r="BI5" s="18"/>
      <c r="BJ5" s="18"/>
      <c r="BL5" s="18"/>
      <c r="BM5" s="18"/>
      <c r="BO5" s="18"/>
      <c r="BS5" s="40"/>
      <c r="CP5" s="40"/>
      <c r="DM5" s="40"/>
      <c r="DO5" s="195"/>
      <c r="DP5" s="194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5"/>
      <c r="EI5" s="195"/>
      <c r="EL5" s="198"/>
      <c r="FI5" s="416"/>
      <c r="FJ5" s="416" t="s">
        <v>337</v>
      </c>
      <c r="FK5" s="416"/>
      <c r="FN5" s="85" t="s">
        <v>548</v>
      </c>
      <c r="FO5" s="85"/>
      <c r="FP5" s="85"/>
    </row>
    <row r="6" spans="1:187" outlineLevel="1" x14ac:dyDescent="0.35">
      <c r="D6" s="8"/>
      <c r="F6" s="158"/>
      <c r="G6" s="169"/>
      <c r="H6" s="170"/>
      <c r="I6" s="171"/>
      <c r="J6" s="171"/>
      <c r="K6" s="171"/>
      <c r="L6" s="172"/>
      <c r="M6" s="170"/>
      <c r="N6" s="171"/>
      <c r="O6" s="171"/>
      <c r="P6" s="171"/>
      <c r="Q6" s="172"/>
      <c r="R6" s="170"/>
      <c r="S6" s="171"/>
      <c r="T6" s="171"/>
      <c r="U6" s="171"/>
      <c r="V6" s="171"/>
      <c r="W6" s="172"/>
      <c r="X6" s="19"/>
      <c r="Y6" s="20"/>
      <c r="AA6" s="50"/>
      <c r="AB6" s="50"/>
      <c r="AC6" s="50"/>
      <c r="AD6" s="50"/>
      <c r="AE6" s="50"/>
      <c r="AF6" s="50"/>
      <c r="AG6" s="50"/>
      <c r="AH6" s="50"/>
      <c r="AI6" s="14"/>
      <c r="AJ6" s="14"/>
      <c r="AK6" s="14"/>
      <c r="AL6" s="14"/>
      <c r="AM6" s="14"/>
      <c r="AN6" s="14"/>
      <c r="AO6" s="50"/>
      <c r="AP6" s="50"/>
      <c r="AQ6" s="50"/>
      <c r="AR6" s="14"/>
      <c r="AS6" s="14"/>
      <c r="AT6" s="14"/>
      <c r="AU6" s="14"/>
      <c r="AV6" s="45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9"/>
      <c r="BT6" s="48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39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83"/>
      <c r="DO6" s="195"/>
      <c r="DP6" s="194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213"/>
      <c r="FJ6" s="219"/>
      <c r="FK6" s="214"/>
      <c r="FN6" s="85" t="s">
        <v>552</v>
      </c>
      <c r="FO6" s="85"/>
      <c r="FP6" s="85"/>
    </row>
    <row r="7" spans="1:187" outlineLevel="1" x14ac:dyDescent="0.35">
      <c r="B7" s="2" t="s">
        <v>330</v>
      </c>
      <c r="C7">
        <v>18</v>
      </c>
      <c r="D7" s="8">
        <v>0.26</v>
      </c>
      <c r="E7">
        <v>201758</v>
      </c>
      <c r="F7" s="158" t="s">
        <v>0</v>
      </c>
      <c r="G7" s="169">
        <v>44105</v>
      </c>
      <c r="H7" s="170">
        <f>IFERROR(VLOOKUP($E7,'Actuals (BI Report)'!$A$2:$H$35,4,FALSE),"")</f>
        <v>1007708.73</v>
      </c>
      <c r="I7" s="171">
        <f>IFERROR(VLOOKUP($E7,'Actuals (BI Report)'!$A$2:$H$35,7,FALSE),"")</f>
        <v>198570.5</v>
      </c>
      <c r="J7" s="171">
        <f>IFERROR(VLOOKUP($E7,'Actuals (BI Report)'!$A$2:$H$35,5,FALSE),"")</f>
        <v>20153.43</v>
      </c>
      <c r="K7" s="171">
        <f>IFERROR(VLOOKUP($E7,'Actuals (BI Report)'!$A$2:$H$35,6,FALSE),"")</f>
        <v>0</v>
      </c>
      <c r="L7" s="172">
        <f t="shared" ref="L7:L22" si="0">SUM(H7:K7)</f>
        <v>1226432.6599999999</v>
      </c>
      <c r="M7" s="170">
        <v>203957</v>
      </c>
      <c r="N7" s="171">
        <v>26938</v>
      </c>
      <c r="O7" s="171">
        <v>1578</v>
      </c>
      <c r="P7" s="171">
        <v>3030</v>
      </c>
      <c r="Q7" s="172">
        <f t="shared" ref="Q7:Q39" si="1">SUM(M7:P7)</f>
        <v>235503</v>
      </c>
      <c r="R7" s="170">
        <f t="shared" ref="R7:R37" si="2">IFERROR(H7+M7,"")</f>
        <v>1211665.73</v>
      </c>
      <c r="S7" s="171">
        <f t="shared" ref="S7:S37" si="3">IFERROR(I7+N7,"")</f>
        <v>225508.5</v>
      </c>
      <c r="T7" s="171">
        <f t="shared" ref="T7:T37" si="4">IFERROR(J7+O7,"")</f>
        <v>21731.43</v>
      </c>
      <c r="U7" s="171">
        <f t="shared" ref="U7:U37" si="5">IFERROR(K7+P7,"")</f>
        <v>3030</v>
      </c>
      <c r="V7" s="171"/>
      <c r="W7" s="172">
        <f t="shared" ref="W7:W22" si="6">SUM(R7:V7)</f>
        <v>1461935.66</v>
      </c>
      <c r="X7" s="19">
        <v>44105</v>
      </c>
      <c r="Y7" s="20">
        <v>235000</v>
      </c>
      <c r="AA7" s="50"/>
      <c r="AB7" s="50"/>
      <c r="AC7" s="50"/>
      <c r="AD7" s="50"/>
      <c r="AE7" s="50"/>
      <c r="AF7" s="50">
        <v>1</v>
      </c>
      <c r="AG7" s="50"/>
      <c r="AH7" s="50"/>
      <c r="AI7" s="14"/>
      <c r="AJ7" s="14"/>
      <c r="AK7" s="14"/>
      <c r="AL7" s="14"/>
      <c r="AM7" s="14"/>
      <c r="AN7" s="14"/>
      <c r="AO7" s="50"/>
      <c r="AP7" s="50"/>
      <c r="AQ7" s="50"/>
      <c r="AR7" s="14"/>
      <c r="AS7" s="14"/>
      <c r="AT7" s="14"/>
      <c r="AU7" s="14"/>
      <c r="AV7" s="45">
        <f>SUM(AA7:AU7)</f>
        <v>1</v>
      </c>
      <c r="AX7" s="38">
        <f t="shared" ref="AX7:AX20" si="7">AA7*$W7</f>
        <v>0</v>
      </c>
      <c r="AY7" s="38">
        <f t="shared" ref="AY7:AY22" si="8">AB7*$W7</f>
        <v>0</v>
      </c>
      <c r="AZ7" s="38">
        <f t="shared" ref="AZ7:AZ22" si="9">AC7*$W7</f>
        <v>0</v>
      </c>
      <c r="BA7" s="38">
        <f t="shared" ref="BA7:BA22" si="10">AD7*$W7</f>
        <v>0</v>
      </c>
      <c r="BB7" s="38">
        <f t="shared" ref="BB7:BB22" si="11">AE7*$W7</f>
        <v>0</v>
      </c>
      <c r="BC7" s="38">
        <f t="shared" ref="BC7:BC22" si="12">AF7*$W7</f>
        <v>1461935.66</v>
      </c>
      <c r="BD7" s="38">
        <f t="shared" ref="BD7:BD22" si="13">AG7*$W7</f>
        <v>0</v>
      </c>
      <c r="BE7" s="38">
        <f t="shared" ref="BE7:BE22" si="14">AH7*$W7</f>
        <v>0</v>
      </c>
      <c r="BF7" s="38">
        <f t="shared" ref="BF7:BF22" si="15">AI7*$W7</f>
        <v>0</v>
      </c>
      <c r="BG7" s="38">
        <f t="shared" ref="BG7:BG22" si="16">AJ7*$W7</f>
        <v>0</v>
      </c>
      <c r="BH7" s="38">
        <f t="shared" ref="BH7:BH22" si="17">AK7*$W7</f>
        <v>0</v>
      </c>
      <c r="BI7" s="38">
        <f t="shared" ref="BI7:BI22" si="18">AL7*$W7</f>
        <v>0</v>
      </c>
      <c r="BJ7" s="38">
        <f t="shared" ref="BJ7:BJ22" si="19">AM7*$W7</f>
        <v>0</v>
      </c>
      <c r="BK7" s="38">
        <f t="shared" ref="BK7:BK22" si="20">AN7*$W7</f>
        <v>0</v>
      </c>
      <c r="BL7" s="38">
        <f t="shared" ref="BL7:BL22" si="21">AO7*$W7</f>
        <v>0</v>
      </c>
      <c r="BM7" s="38">
        <f t="shared" ref="BM7:BM22" si="22">AP7*$W7</f>
        <v>0</v>
      </c>
      <c r="BN7" s="38">
        <f t="shared" ref="BN7:BN22" si="23">AQ7*$W7</f>
        <v>0</v>
      </c>
      <c r="BO7" s="38">
        <f t="shared" ref="BO7:BO22" si="24">AR7*$W7</f>
        <v>0</v>
      </c>
      <c r="BP7" s="38">
        <f t="shared" ref="BP7:BP22" si="25">AS7*$W7</f>
        <v>0</v>
      </c>
      <c r="BQ7" s="38">
        <f t="shared" ref="BQ7:BQ22" si="26">AT7*$W7</f>
        <v>0</v>
      </c>
      <c r="BR7" s="38">
        <f t="shared" ref="BR7:BR22" si="27">AU7*$W7</f>
        <v>0</v>
      </c>
      <c r="BS7" s="39">
        <f>SUM(AX7:BR7)</f>
        <v>1461935.66</v>
      </c>
      <c r="BT7" s="48">
        <f t="shared" ref="BT7:BT39" si="28">BS7-W7</f>
        <v>0</v>
      </c>
      <c r="BU7" s="193">
        <f>'[1]Primary and Summary'!$D$105</f>
        <v>0.11529999999999996</v>
      </c>
      <c r="BV7" s="193">
        <f>'[1]Primary and Summary'!$D$105</f>
        <v>0.11529999999999996</v>
      </c>
      <c r="BW7" s="193">
        <f>'[1]Primary and Summary'!$D$111</f>
        <v>0.10809999999999997</v>
      </c>
      <c r="BX7" s="193">
        <f>'[1]Primary and Summary'!$D$111</f>
        <v>0.10809999999999997</v>
      </c>
      <c r="BY7" s="193">
        <f>'[1]Primary and Summary'!$D$111</f>
        <v>0.10809999999999997</v>
      </c>
      <c r="BZ7" s="193">
        <f>'[1]Primary and Summary'!$D$111</f>
        <v>0.10809999999999997</v>
      </c>
      <c r="CA7" s="193">
        <f>'[1]Primary and Summary'!$D$111</f>
        <v>0.10809999999999997</v>
      </c>
      <c r="CB7" s="193">
        <f>'[1]Primary and Summary'!$D$111</f>
        <v>0.10809999999999997</v>
      </c>
      <c r="CC7" s="193">
        <f>'[1]Primary and Summary'!$D$111</f>
        <v>0.10809999999999997</v>
      </c>
      <c r="CD7" s="193">
        <f>'[1]Primary and Summary'!$D$111</f>
        <v>0.10809999999999997</v>
      </c>
      <c r="CE7" s="193">
        <f>'[1]Primary and Summary'!$D$111</f>
        <v>0.10809999999999997</v>
      </c>
      <c r="CF7" s="193">
        <f>'[1]Primary and Summary'!$D$111</f>
        <v>0.10809999999999997</v>
      </c>
      <c r="CG7" s="193">
        <f>'[1]Primary and Summary'!$D$120</f>
        <v>1</v>
      </c>
      <c r="CH7" s="193">
        <f>'[1]Primary and Summary'!$D$120</f>
        <v>1</v>
      </c>
      <c r="CI7" s="193">
        <f>'[1]Primary and Summary'!$D$120</f>
        <v>1</v>
      </c>
      <c r="CJ7" s="193">
        <f>'[1]Primary and Summary'!$D$120</f>
        <v>1</v>
      </c>
      <c r="CK7" s="193">
        <f>'[1]Primary and Summary'!$D$120</f>
        <v>1</v>
      </c>
      <c r="CL7" s="193">
        <f>'[1]Primary and Summary'!$D$120</f>
        <v>1</v>
      </c>
      <c r="CM7" s="193">
        <f>'[1]Primary and Summary'!$D$105</f>
        <v>0.11529999999999996</v>
      </c>
      <c r="CN7" s="193">
        <f>'[1]Primary and Summary'!$D$105</f>
        <v>0.11529999999999996</v>
      </c>
      <c r="CO7" s="193">
        <v>1</v>
      </c>
      <c r="CP7" s="39"/>
      <c r="CR7" s="38">
        <f>BU7*AX7</f>
        <v>0</v>
      </c>
      <c r="CS7" s="38">
        <f t="shared" ref="CS7:DL19" si="29">BV7*AY7</f>
        <v>0</v>
      </c>
      <c r="CT7" s="38">
        <f t="shared" si="29"/>
        <v>0</v>
      </c>
      <c r="CU7" s="38">
        <f t="shared" si="29"/>
        <v>0</v>
      </c>
      <c r="CV7" s="38">
        <f t="shared" si="29"/>
        <v>0</v>
      </c>
      <c r="CW7" s="38">
        <f t="shared" si="29"/>
        <v>158035.24484599996</v>
      </c>
      <c r="CX7" s="38">
        <f t="shared" si="29"/>
        <v>0</v>
      </c>
      <c r="CY7" s="38">
        <f t="shared" si="29"/>
        <v>0</v>
      </c>
      <c r="CZ7" s="38">
        <f t="shared" si="29"/>
        <v>0</v>
      </c>
      <c r="DA7" s="38">
        <f t="shared" si="29"/>
        <v>0</v>
      </c>
      <c r="DB7" s="38">
        <f t="shared" si="29"/>
        <v>0</v>
      </c>
      <c r="DC7" s="38">
        <f t="shared" si="29"/>
        <v>0</v>
      </c>
      <c r="DD7" s="38">
        <f t="shared" si="29"/>
        <v>0</v>
      </c>
      <c r="DE7" s="38">
        <f t="shared" si="29"/>
        <v>0</v>
      </c>
      <c r="DF7" s="38">
        <f t="shared" si="29"/>
        <v>0</v>
      </c>
      <c r="DG7" s="38">
        <f t="shared" si="29"/>
        <v>0</v>
      </c>
      <c r="DH7" s="38">
        <f t="shared" si="29"/>
        <v>0</v>
      </c>
      <c r="DI7" s="38">
        <f t="shared" si="29"/>
        <v>0</v>
      </c>
      <c r="DJ7" s="38">
        <f t="shared" si="29"/>
        <v>0</v>
      </c>
      <c r="DK7" s="38">
        <f t="shared" si="29"/>
        <v>0</v>
      </c>
      <c r="DL7" s="38">
        <f t="shared" si="29"/>
        <v>0</v>
      </c>
      <c r="DM7" s="83">
        <f>SUM(CR7:DL7)</f>
        <v>158035.24484599996</v>
      </c>
      <c r="DO7" s="195">
        <v>6.7799999999999999E-2</v>
      </c>
      <c r="DP7" s="194">
        <f t="shared" ref="DP7:DP47" si="30">1/10</f>
        <v>0.1</v>
      </c>
      <c r="DQ7" s="195">
        <v>1.4999999999999999E-2</v>
      </c>
      <c r="DR7" s="195">
        <v>1.4999999999999999E-2</v>
      </c>
      <c r="DS7" s="195">
        <v>2.06E-2</v>
      </c>
      <c r="DT7" s="195">
        <v>1.78E-2</v>
      </c>
      <c r="DU7" s="195">
        <v>2.2700000000000001E-2</v>
      </c>
      <c r="DV7" s="195">
        <v>2.1700000000000001E-2</v>
      </c>
      <c r="DW7" s="195">
        <v>4.3299999999999998E-2</v>
      </c>
      <c r="DX7" s="195">
        <v>1.3100000000000001E-2</v>
      </c>
      <c r="DY7" s="195">
        <v>4.7000000000000002E-3</v>
      </c>
      <c r="DZ7" s="195">
        <v>3.09E-2</v>
      </c>
      <c r="EA7" s="195">
        <v>1.8800000000000001E-2</v>
      </c>
      <c r="EB7" s="195">
        <v>1.4999999999999999E-2</v>
      </c>
      <c r="EC7" s="195">
        <v>2.5399999999999999E-2</v>
      </c>
      <c r="ED7" s="195">
        <v>2.3199999999999998E-2</v>
      </c>
      <c r="EE7" s="195">
        <v>2.18E-2</v>
      </c>
      <c r="EF7" s="195">
        <v>2.2700000000000001E-2</v>
      </c>
      <c r="EG7" s="195">
        <v>0.2</v>
      </c>
      <c r="EH7" s="195">
        <v>6.6699999999999995E-2</v>
      </c>
      <c r="EI7" s="195">
        <v>3.0200000000000001E-2</v>
      </c>
      <c r="EL7" s="107">
        <f t="shared" ref="EL7:EL47" si="31">CR7*DO7</f>
        <v>0</v>
      </c>
      <c r="EM7" s="107">
        <f t="shared" ref="EM7:EM47" si="32">CS7*DP7</f>
        <v>0</v>
      </c>
      <c r="EN7" s="107">
        <f t="shared" ref="EN7:EN47" si="33">CT7*DQ7</f>
        <v>0</v>
      </c>
      <c r="EO7" s="107">
        <f t="shared" ref="EO7:EO47" si="34">CU7*DR7</f>
        <v>0</v>
      </c>
      <c r="EP7" s="107">
        <f t="shared" ref="EP7:EP47" si="35">CV7*DS7</f>
        <v>0</v>
      </c>
      <c r="EQ7" s="107">
        <f>CW7*DT7</f>
        <v>2813.0273582587993</v>
      </c>
      <c r="ER7" s="107">
        <f t="shared" ref="ER7:ER47" si="36">CX7*DU7</f>
        <v>0</v>
      </c>
      <c r="ES7" s="107">
        <f t="shared" ref="ES7:ES47" si="37">CY7*DV7</f>
        <v>0</v>
      </c>
      <c r="ET7" s="107">
        <f t="shared" ref="ET7:ET47" si="38">CZ7*DW7</f>
        <v>0</v>
      </c>
      <c r="EU7" s="107">
        <f t="shared" ref="EU7:EU47" si="39">DA7*DX7</f>
        <v>0</v>
      </c>
      <c r="EV7" s="107">
        <f t="shared" ref="EV7:EV47" si="40">DB7*DY7</f>
        <v>0</v>
      </c>
      <c r="EW7" s="107">
        <f t="shared" ref="EW7:EW47" si="41">DC7*DZ7</f>
        <v>0</v>
      </c>
      <c r="EX7" s="107">
        <f t="shared" ref="EX7:EX47" si="42">DD7*EA7</f>
        <v>0</v>
      </c>
      <c r="EY7" s="107">
        <f t="shared" ref="EY7:EY47" si="43">DE7*EB7</f>
        <v>0</v>
      </c>
      <c r="EZ7" s="107">
        <f t="shared" ref="EZ7:EZ47" si="44">DF7*EC7</f>
        <v>0</v>
      </c>
      <c r="FA7" s="107">
        <f t="shared" ref="FA7:FA47" si="45">DG7*ED7</f>
        <v>0</v>
      </c>
      <c r="FB7" s="107">
        <f t="shared" ref="FB7:FB47" si="46">DH7*EE7</f>
        <v>0</v>
      </c>
      <c r="FC7" s="107">
        <f t="shared" ref="FC7:FC47" si="47">DI7*EF7</f>
        <v>0</v>
      </c>
      <c r="FD7" s="107">
        <f t="shared" ref="FD7:FD47" si="48">DJ7*EG7</f>
        <v>0</v>
      </c>
      <c r="FE7" s="107">
        <f t="shared" ref="FE7:FE47" si="49">DK7*EH7</f>
        <v>0</v>
      </c>
      <c r="FF7" s="107">
        <f t="shared" ref="FF7:FF47" si="50">DL7*EI7</f>
        <v>0</v>
      </c>
      <c r="FG7" s="107">
        <f>SUM(EL7:FF7)</f>
        <v>2813.0273582587993</v>
      </c>
      <c r="FH7" s="107"/>
      <c r="FI7" s="213">
        <v>12.5</v>
      </c>
      <c r="FJ7" s="223">
        <f>FG7/12*FI7</f>
        <v>2930.2368315195827</v>
      </c>
      <c r="FK7" s="224">
        <f>DM7-FJ7</f>
        <v>155105.00801448038</v>
      </c>
      <c r="FL7" s="226"/>
      <c r="FM7" s="225"/>
      <c r="FN7" s="85" t="s">
        <v>553</v>
      </c>
      <c r="FO7" s="85"/>
      <c r="FP7" s="85"/>
      <c r="FQ7" s="225"/>
      <c r="FR7" s="225"/>
      <c r="FS7" s="225"/>
    </row>
    <row r="8" spans="1:187" s="225" customFormat="1" outlineLevel="1" x14ac:dyDescent="0.35">
      <c r="B8" s="228" t="s">
        <v>330</v>
      </c>
      <c r="C8" s="225">
        <v>11</v>
      </c>
      <c r="D8" s="229">
        <v>0.26</v>
      </c>
      <c r="E8" s="225">
        <v>201425</v>
      </c>
      <c r="F8" s="158" t="s">
        <v>2</v>
      </c>
      <c r="G8" s="169">
        <v>44256</v>
      </c>
      <c r="H8" s="170">
        <f>IFERROR(VLOOKUP($E8,'Actuals (BI Report)'!$A$2:$H$35,4,FALSE),"")</f>
        <v>315670.20999999996</v>
      </c>
      <c r="I8" s="171">
        <f>IFERROR(VLOOKUP($E8,'Actuals (BI Report)'!$A$2:$H$35,7,FALSE),"")</f>
        <v>27165.88</v>
      </c>
      <c r="J8" s="171">
        <f>IFERROR(VLOOKUP($E8,'Actuals (BI Report)'!$A$2:$H$35,5,FALSE),"")</f>
        <v>26077.279999999999</v>
      </c>
      <c r="K8" s="171">
        <f>IFERROR(VLOOKUP($E8,'Actuals (BI Report)'!$A$2:$H$35,6,FALSE),"")</f>
        <v>0</v>
      </c>
      <c r="L8" s="172">
        <f t="shared" si="0"/>
        <v>368913.37</v>
      </c>
      <c r="M8" s="170">
        <v>305788</v>
      </c>
      <c r="N8" s="171">
        <v>71062</v>
      </c>
      <c r="O8" s="171">
        <v>2156</v>
      </c>
      <c r="P8" s="171">
        <v>4682</v>
      </c>
      <c r="Q8" s="172">
        <f t="shared" si="1"/>
        <v>383688</v>
      </c>
      <c r="R8" s="170">
        <f t="shared" si="2"/>
        <v>621458.21</v>
      </c>
      <c r="S8" s="171">
        <f t="shared" si="3"/>
        <v>98227.88</v>
      </c>
      <c r="T8" s="171">
        <f t="shared" si="4"/>
        <v>28233.279999999999</v>
      </c>
      <c r="U8" s="171">
        <f t="shared" si="5"/>
        <v>4682</v>
      </c>
      <c r="V8" s="171"/>
      <c r="W8" s="172">
        <f t="shared" si="6"/>
        <v>752601.37</v>
      </c>
      <c r="X8" s="228" t="s">
        <v>3</v>
      </c>
      <c r="Y8" s="230">
        <v>192000</v>
      </c>
      <c r="AA8" s="229"/>
      <c r="AB8" s="229"/>
      <c r="AC8" s="229"/>
      <c r="AD8" s="229"/>
      <c r="AE8" s="229"/>
      <c r="AF8" s="229"/>
      <c r="AG8" s="229"/>
      <c r="AH8" s="229"/>
      <c r="AI8" s="229"/>
      <c r="AJ8" s="231"/>
      <c r="AK8" s="231"/>
      <c r="AL8" s="229"/>
      <c r="AM8" s="229"/>
      <c r="AN8" s="229">
        <v>0.63900000000000001</v>
      </c>
      <c r="AO8" s="231"/>
      <c r="AP8" s="231">
        <v>4.2999999999999997E-2</v>
      </c>
      <c r="AQ8" s="231">
        <v>0.28199999999999997</v>
      </c>
      <c r="AR8" s="229"/>
      <c r="AS8" s="229"/>
      <c r="AT8" s="229"/>
      <c r="AU8" s="229">
        <v>3.5999999999999997E-2</v>
      </c>
      <c r="AV8" s="232">
        <f t="shared" ref="AV8:AV47" si="51">SUM(AA8:AU8)</f>
        <v>1</v>
      </c>
      <c r="AX8" s="233">
        <f t="shared" si="7"/>
        <v>0</v>
      </c>
      <c r="AY8" s="233">
        <f t="shared" si="8"/>
        <v>0</v>
      </c>
      <c r="AZ8" s="233">
        <f t="shared" si="9"/>
        <v>0</v>
      </c>
      <c r="BA8" s="233">
        <f t="shared" si="10"/>
        <v>0</v>
      </c>
      <c r="BB8" s="233">
        <f t="shared" si="11"/>
        <v>0</v>
      </c>
      <c r="BC8" s="233">
        <f t="shared" si="12"/>
        <v>0</v>
      </c>
      <c r="BD8" s="233">
        <f t="shared" si="13"/>
        <v>0</v>
      </c>
      <c r="BE8" s="233">
        <f t="shared" si="14"/>
        <v>0</v>
      </c>
      <c r="BF8" s="233">
        <f t="shared" si="15"/>
        <v>0</v>
      </c>
      <c r="BG8" s="233">
        <f t="shared" si="16"/>
        <v>0</v>
      </c>
      <c r="BH8" s="233">
        <f t="shared" si="17"/>
        <v>0</v>
      </c>
      <c r="BI8" s="233">
        <f t="shared" si="18"/>
        <v>0</v>
      </c>
      <c r="BJ8" s="233">
        <f t="shared" si="19"/>
        <v>0</v>
      </c>
      <c r="BK8" s="233">
        <f t="shared" si="20"/>
        <v>480912.27542999998</v>
      </c>
      <c r="BL8" s="233">
        <f t="shared" si="21"/>
        <v>0</v>
      </c>
      <c r="BM8" s="233">
        <f t="shared" si="22"/>
        <v>32361.858909999999</v>
      </c>
      <c r="BN8" s="233">
        <f t="shared" si="23"/>
        <v>212233.58633999998</v>
      </c>
      <c r="BO8" s="233">
        <f t="shared" si="24"/>
        <v>0</v>
      </c>
      <c r="BP8" s="233">
        <f t="shared" si="25"/>
        <v>0</v>
      </c>
      <c r="BQ8" s="233">
        <f t="shared" si="26"/>
        <v>0</v>
      </c>
      <c r="BR8" s="233">
        <f t="shared" si="27"/>
        <v>27093.649319999997</v>
      </c>
      <c r="BS8" s="234">
        <f t="shared" ref="BS8:BS47" si="52">SUM(AX8:BR8)</f>
        <v>752601.37</v>
      </c>
      <c r="BT8" s="235">
        <f t="shared" si="28"/>
        <v>0</v>
      </c>
      <c r="BU8" s="236">
        <f>'[1]Primary and Summary'!$D$105</f>
        <v>0.11529999999999996</v>
      </c>
      <c r="BV8" s="236">
        <f>'[1]Primary and Summary'!$D$105</f>
        <v>0.11529999999999996</v>
      </c>
      <c r="BW8" s="236">
        <f>'[1]Primary and Summary'!$D$111</f>
        <v>0.10809999999999997</v>
      </c>
      <c r="BX8" s="236">
        <f>'[1]Primary and Summary'!$D$111</f>
        <v>0.10809999999999997</v>
      </c>
      <c r="BY8" s="236">
        <f>'[1]Primary and Summary'!$D$111</f>
        <v>0.10809999999999997</v>
      </c>
      <c r="BZ8" s="236">
        <f>'[1]Primary and Summary'!$D$111</f>
        <v>0.10809999999999997</v>
      </c>
      <c r="CA8" s="236">
        <f>'[1]Primary and Summary'!$D$111</f>
        <v>0.10809999999999997</v>
      </c>
      <c r="CB8" s="236">
        <f>'[1]Primary and Summary'!$D$111</f>
        <v>0.10809999999999997</v>
      </c>
      <c r="CC8" s="236">
        <f>'[1]Primary and Summary'!$D$111</f>
        <v>0.10809999999999997</v>
      </c>
      <c r="CD8" s="236">
        <f>'[1]Primary and Summary'!$D$111</f>
        <v>0.10809999999999997</v>
      </c>
      <c r="CE8" s="236">
        <f>'[1]Primary and Summary'!$D$111</f>
        <v>0.10809999999999997</v>
      </c>
      <c r="CF8" s="236">
        <f>'[1]Primary and Summary'!$D$111</f>
        <v>0.10809999999999997</v>
      </c>
      <c r="CG8" s="236">
        <f>'[1]Primary and Summary'!$D$120</f>
        <v>1</v>
      </c>
      <c r="CH8" s="236">
        <f>'[1]Primary and Summary'!$D$120</f>
        <v>1</v>
      </c>
      <c r="CI8" s="236">
        <f>'[1]Primary and Summary'!$D$120</f>
        <v>1</v>
      </c>
      <c r="CJ8" s="236">
        <f>'[1]Primary and Summary'!$D$120</f>
        <v>1</v>
      </c>
      <c r="CK8" s="236">
        <f>'[1]Primary and Summary'!$D$120</f>
        <v>1</v>
      </c>
      <c r="CL8" s="236">
        <f>'[1]Primary and Summary'!$D$120</f>
        <v>1</v>
      </c>
      <c r="CM8" s="236">
        <f>'[1]Primary and Summary'!$D$105</f>
        <v>0.11529999999999996</v>
      </c>
      <c r="CN8" s="236">
        <f>'[1]Primary and Summary'!$D$105</f>
        <v>0.11529999999999996</v>
      </c>
      <c r="CO8" s="236">
        <v>1</v>
      </c>
      <c r="CP8" s="234"/>
      <c r="CR8" s="233">
        <f>BU8*AX8</f>
        <v>0</v>
      </c>
      <c r="CS8" s="233">
        <f t="shared" si="29"/>
        <v>0</v>
      </c>
      <c r="CT8" s="233">
        <f t="shared" si="29"/>
        <v>0</v>
      </c>
      <c r="CU8" s="233">
        <f t="shared" si="29"/>
        <v>0</v>
      </c>
      <c r="CV8" s="233">
        <f t="shared" si="29"/>
        <v>0</v>
      </c>
      <c r="CW8" s="233">
        <f t="shared" si="29"/>
        <v>0</v>
      </c>
      <c r="CX8" s="233">
        <f t="shared" si="29"/>
        <v>0</v>
      </c>
      <c r="CY8" s="233">
        <f t="shared" si="29"/>
        <v>0</v>
      </c>
      <c r="CZ8" s="233">
        <f t="shared" si="29"/>
        <v>0</v>
      </c>
      <c r="DA8" s="233">
        <f t="shared" si="29"/>
        <v>0</v>
      </c>
      <c r="DB8" s="233">
        <f t="shared" si="29"/>
        <v>0</v>
      </c>
      <c r="DC8" s="233">
        <f t="shared" si="29"/>
        <v>0</v>
      </c>
      <c r="DD8" s="233">
        <f t="shared" si="29"/>
        <v>0</v>
      </c>
      <c r="DE8" s="233">
        <f t="shared" si="29"/>
        <v>480912.27542999998</v>
      </c>
      <c r="DF8" s="233">
        <f t="shared" si="29"/>
        <v>0</v>
      </c>
      <c r="DG8" s="233">
        <f t="shared" si="29"/>
        <v>32361.858909999999</v>
      </c>
      <c r="DH8" s="233">
        <f t="shared" si="29"/>
        <v>212233.58633999998</v>
      </c>
      <c r="DI8" s="233">
        <f t="shared" si="29"/>
        <v>0</v>
      </c>
      <c r="DJ8" s="233">
        <f t="shared" si="29"/>
        <v>0</v>
      </c>
      <c r="DK8" s="233">
        <f t="shared" si="29"/>
        <v>0</v>
      </c>
      <c r="DL8" s="233">
        <f>CO8*BR8</f>
        <v>27093.649319999997</v>
      </c>
      <c r="DM8" s="234">
        <f t="shared" ref="DM8:DM47" si="53">SUM(CR8:DL8)</f>
        <v>752601.37</v>
      </c>
      <c r="DO8" s="237">
        <v>6.7799999999999999E-2</v>
      </c>
      <c r="DP8" s="238">
        <f t="shared" si="30"/>
        <v>0.1</v>
      </c>
      <c r="DQ8" s="237">
        <v>1.4999999999999999E-2</v>
      </c>
      <c r="DR8" s="237">
        <v>1.4999999999999999E-2</v>
      </c>
      <c r="DS8" s="237">
        <v>2.06E-2</v>
      </c>
      <c r="DT8" s="237">
        <v>1.78E-2</v>
      </c>
      <c r="DU8" s="237">
        <v>2.2700000000000001E-2</v>
      </c>
      <c r="DV8" s="237">
        <v>2.1700000000000001E-2</v>
      </c>
      <c r="DW8" s="237">
        <v>4.3299999999999998E-2</v>
      </c>
      <c r="DX8" s="237">
        <v>1.3100000000000001E-2</v>
      </c>
      <c r="DY8" s="195">
        <v>4.7000000000000002E-3</v>
      </c>
      <c r="DZ8" s="237">
        <v>3.09E-2</v>
      </c>
      <c r="EA8" s="237">
        <v>1.8800000000000001E-2</v>
      </c>
      <c r="EB8" s="237">
        <v>1.4999999999999999E-2</v>
      </c>
      <c r="EC8" s="237">
        <v>2.5399999999999999E-2</v>
      </c>
      <c r="ED8" s="237">
        <v>2.3199999999999998E-2</v>
      </c>
      <c r="EE8" s="237">
        <v>2.18E-2</v>
      </c>
      <c r="EF8" s="237">
        <v>2.2700000000000001E-2</v>
      </c>
      <c r="EG8" s="237">
        <v>0.2</v>
      </c>
      <c r="EH8" s="237">
        <v>6.6699999999999995E-2</v>
      </c>
      <c r="EI8" s="237">
        <v>3.0200000000000001E-2</v>
      </c>
      <c r="EL8" s="239">
        <f t="shared" si="31"/>
        <v>0</v>
      </c>
      <c r="EM8" s="239">
        <f t="shared" si="32"/>
        <v>0</v>
      </c>
      <c r="EN8" s="239">
        <f t="shared" si="33"/>
        <v>0</v>
      </c>
      <c r="EO8" s="239">
        <f t="shared" si="34"/>
        <v>0</v>
      </c>
      <c r="EP8" s="239">
        <f t="shared" si="35"/>
        <v>0</v>
      </c>
      <c r="EQ8" s="239">
        <f t="shared" ref="EQ8:EQ47" si="54">CW8*DT8</f>
        <v>0</v>
      </c>
      <c r="ER8" s="239">
        <f t="shared" si="36"/>
        <v>0</v>
      </c>
      <c r="ES8" s="239">
        <f t="shared" si="37"/>
        <v>0</v>
      </c>
      <c r="ET8" s="239">
        <f t="shared" si="38"/>
        <v>0</v>
      </c>
      <c r="EU8" s="239">
        <f t="shared" si="39"/>
        <v>0</v>
      </c>
      <c r="EV8" s="239">
        <f t="shared" si="40"/>
        <v>0</v>
      </c>
      <c r="EW8" s="239">
        <f t="shared" si="41"/>
        <v>0</v>
      </c>
      <c r="EX8" s="239">
        <f t="shared" si="42"/>
        <v>0</v>
      </c>
      <c r="EY8" s="239">
        <f t="shared" si="43"/>
        <v>7213.6841314499998</v>
      </c>
      <c r="EZ8" s="239">
        <f t="shared" si="44"/>
        <v>0</v>
      </c>
      <c r="FA8" s="239">
        <f t="shared" si="45"/>
        <v>750.79512671199996</v>
      </c>
      <c r="FB8" s="239">
        <f t="shared" si="46"/>
        <v>4626.6921822119994</v>
      </c>
      <c r="FC8" s="239">
        <f t="shared" si="47"/>
        <v>0</v>
      </c>
      <c r="FD8" s="239">
        <f t="shared" si="48"/>
        <v>0</v>
      </c>
      <c r="FE8" s="239">
        <f t="shared" si="49"/>
        <v>0</v>
      </c>
      <c r="FF8" s="239">
        <f>DL8*EI8</f>
        <v>818.22820946399997</v>
      </c>
      <c r="FG8" s="239">
        <f t="shared" ref="FG8:FG47" si="55">SUM(EL8:FF8)</f>
        <v>13409.399649837998</v>
      </c>
      <c r="FH8" s="239"/>
      <c r="FI8" s="240">
        <v>7.5</v>
      </c>
      <c r="FJ8" s="223">
        <f t="shared" ref="FJ8:FJ46" si="56">FG8/12*FI8</f>
        <v>8380.8747811487483</v>
      </c>
      <c r="FK8" s="224">
        <f t="shared" ref="FK8:FK47" si="57">DM8-FJ8</f>
        <v>744220.49521885125</v>
      </c>
      <c r="FN8" s="409" t="s">
        <v>549</v>
      </c>
      <c r="FO8" s="409"/>
      <c r="FP8" s="409"/>
      <c r="FR8" s="228"/>
      <c r="FS8" s="228"/>
    </row>
    <row r="9" spans="1:187" outlineLevel="1" x14ac:dyDescent="0.35">
      <c r="B9" s="2" t="s">
        <v>330</v>
      </c>
      <c r="C9">
        <v>114</v>
      </c>
      <c r="D9" s="8">
        <v>0.59</v>
      </c>
      <c r="E9">
        <v>202129</v>
      </c>
      <c r="F9" s="158" t="s">
        <v>15</v>
      </c>
      <c r="G9" s="173">
        <v>44166</v>
      </c>
      <c r="H9" s="170">
        <f>IFERROR(VLOOKUP($E9,'Actuals (BI Report)'!$A$2:$H$35,4,FALSE),"")</f>
        <v>155820.07</v>
      </c>
      <c r="I9" s="171">
        <f>IFERROR(VLOOKUP($E9,'Actuals (BI Report)'!$A$2:$H$35,7,FALSE),"")</f>
        <v>61564.58</v>
      </c>
      <c r="J9" s="171">
        <f>IFERROR(VLOOKUP($E9,'Actuals (BI Report)'!$A$2:$H$35,5,FALSE),"")</f>
        <v>1246.04</v>
      </c>
      <c r="K9" s="171">
        <f>IFERROR(VLOOKUP($E9,'Actuals (BI Report)'!$A$2:$H$35,6,FALSE),"")</f>
        <v>0</v>
      </c>
      <c r="L9" s="172">
        <f t="shared" si="0"/>
        <v>218630.69000000003</v>
      </c>
      <c r="M9" s="170">
        <v>1416725</v>
      </c>
      <c r="N9" s="171">
        <v>789844</v>
      </c>
      <c r="O9" s="171">
        <v>1542</v>
      </c>
      <c r="P9" s="171">
        <v>2961</v>
      </c>
      <c r="Q9" s="172">
        <f t="shared" si="1"/>
        <v>2211072</v>
      </c>
      <c r="R9" s="170">
        <f t="shared" si="2"/>
        <v>1572545.07</v>
      </c>
      <c r="S9" s="171">
        <f t="shared" si="3"/>
        <v>851408.58</v>
      </c>
      <c r="T9" s="171">
        <f t="shared" si="4"/>
        <v>2788.04</v>
      </c>
      <c r="U9" s="171">
        <f t="shared" si="5"/>
        <v>2961</v>
      </c>
      <c r="V9" s="174"/>
      <c r="W9" s="172">
        <f t="shared" si="6"/>
        <v>2429702.69</v>
      </c>
      <c r="X9" s="19">
        <v>44166</v>
      </c>
      <c r="Y9" s="20">
        <v>1400000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50">
        <v>0.2</v>
      </c>
      <c r="AN9" s="50"/>
      <c r="AO9" s="50">
        <v>0.42</v>
      </c>
      <c r="AP9" s="50">
        <v>0.38</v>
      </c>
      <c r="AQ9" s="50"/>
      <c r="AR9" s="14"/>
      <c r="AS9" s="14"/>
      <c r="AT9" s="14"/>
      <c r="AU9" s="14"/>
      <c r="AV9" s="45">
        <f t="shared" si="51"/>
        <v>1</v>
      </c>
      <c r="AX9" s="38">
        <f t="shared" si="7"/>
        <v>0</v>
      </c>
      <c r="AY9" s="38">
        <f t="shared" si="8"/>
        <v>0</v>
      </c>
      <c r="AZ9" s="38">
        <f t="shared" si="9"/>
        <v>0</v>
      </c>
      <c r="BA9" s="38">
        <f t="shared" si="10"/>
        <v>0</v>
      </c>
      <c r="BB9" s="38">
        <f t="shared" si="11"/>
        <v>0</v>
      </c>
      <c r="BC9" s="38">
        <f t="shared" si="12"/>
        <v>0</v>
      </c>
      <c r="BD9" s="38">
        <f t="shared" si="13"/>
        <v>0</v>
      </c>
      <c r="BE9" s="38">
        <f t="shared" si="14"/>
        <v>0</v>
      </c>
      <c r="BF9" s="38">
        <f t="shared" si="15"/>
        <v>0</v>
      </c>
      <c r="BG9" s="38">
        <f t="shared" si="16"/>
        <v>0</v>
      </c>
      <c r="BH9" s="38">
        <f t="shared" si="17"/>
        <v>0</v>
      </c>
      <c r="BI9" s="38">
        <f t="shared" si="18"/>
        <v>0</v>
      </c>
      <c r="BJ9" s="38">
        <f t="shared" si="19"/>
        <v>485940.538</v>
      </c>
      <c r="BK9" s="38">
        <f t="shared" si="20"/>
        <v>0</v>
      </c>
      <c r="BL9" s="38">
        <f t="shared" si="21"/>
        <v>1020475.1298</v>
      </c>
      <c r="BM9" s="38">
        <f t="shared" si="22"/>
        <v>923287.02220000001</v>
      </c>
      <c r="BN9" s="38">
        <f t="shared" si="23"/>
        <v>0</v>
      </c>
      <c r="BO9" s="38">
        <f t="shared" si="24"/>
        <v>0</v>
      </c>
      <c r="BP9" s="38">
        <f t="shared" si="25"/>
        <v>0</v>
      </c>
      <c r="BQ9" s="38">
        <f t="shared" si="26"/>
        <v>0</v>
      </c>
      <c r="BR9" s="38">
        <f t="shared" si="27"/>
        <v>0</v>
      </c>
      <c r="BS9" s="39">
        <f t="shared" si="52"/>
        <v>2429702.69</v>
      </c>
      <c r="BT9" s="48">
        <f t="shared" si="28"/>
        <v>0</v>
      </c>
      <c r="BU9" s="193">
        <f>'[1]Primary and Summary'!$D$105</f>
        <v>0.11529999999999996</v>
      </c>
      <c r="BV9" s="193">
        <f>'[1]Primary and Summary'!$D$105</f>
        <v>0.11529999999999996</v>
      </c>
      <c r="BW9" s="193">
        <f>'[1]Primary and Summary'!$D$111</f>
        <v>0.10809999999999997</v>
      </c>
      <c r="BX9" s="193">
        <f>'[1]Primary and Summary'!$D$111</f>
        <v>0.10809999999999997</v>
      </c>
      <c r="BY9" s="193">
        <f>'[1]Primary and Summary'!$D$111</f>
        <v>0.10809999999999997</v>
      </c>
      <c r="BZ9" s="193">
        <f>'[1]Primary and Summary'!$D$111</f>
        <v>0.10809999999999997</v>
      </c>
      <c r="CA9" s="193">
        <f>'[1]Primary and Summary'!$D$111</f>
        <v>0.10809999999999997</v>
      </c>
      <c r="CB9" s="193">
        <f>'[1]Primary and Summary'!$D$111</f>
        <v>0.10809999999999997</v>
      </c>
      <c r="CC9" s="193">
        <f>'[1]Primary and Summary'!$D$111</f>
        <v>0.10809999999999997</v>
      </c>
      <c r="CD9" s="193">
        <f>'[1]Primary and Summary'!$D$111</f>
        <v>0.10809999999999997</v>
      </c>
      <c r="CE9" s="193">
        <f>'[1]Primary and Summary'!$D$111</f>
        <v>0.10809999999999997</v>
      </c>
      <c r="CF9" s="193">
        <f>'[1]Primary and Summary'!$D$111</f>
        <v>0.10809999999999997</v>
      </c>
      <c r="CG9" s="193">
        <f>'[1]Primary and Summary'!$D$120</f>
        <v>1</v>
      </c>
      <c r="CH9" s="193">
        <f>'[1]Primary and Summary'!$D$120</f>
        <v>1</v>
      </c>
      <c r="CI9" s="193">
        <f>'[1]Primary and Summary'!$D$120</f>
        <v>1</v>
      </c>
      <c r="CJ9" s="193">
        <f>'[1]Primary and Summary'!$D$120</f>
        <v>1</v>
      </c>
      <c r="CK9" s="193">
        <f>'[1]Primary and Summary'!$D$120</f>
        <v>1</v>
      </c>
      <c r="CL9" s="193">
        <f>'[1]Primary and Summary'!$D$120</f>
        <v>1</v>
      </c>
      <c r="CM9" s="193">
        <f>'[1]Primary and Summary'!$D$105</f>
        <v>0.11529999999999996</v>
      </c>
      <c r="CN9" s="193">
        <f>'[1]Primary and Summary'!$D$105</f>
        <v>0.11529999999999996</v>
      </c>
      <c r="CO9" s="193">
        <v>1</v>
      </c>
      <c r="CP9" s="39"/>
      <c r="CR9" s="38">
        <f>BU9*AX9</f>
        <v>0</v>
      </c>
      <c r="CS9" s="38">
        <f t="shared" si="29"/>
        <v>0</v>
      </c>
      <c r="CT9" s="38">
        <f t="shared" si="29"/>
        <v>0</v>
      </c>
      <c r="CU9" s="38">
        <f t="shared" si="29"/>
        <v>0</v>
      </c>
      <c r="CV9" s="38">
        <f t="shared" si="29"/>
        <v>0</v>
      </c>
      <c r="CW9" s="38">
        <f t="shared" si="29"/>
        <v>0</v>
      </c>
      <c r="CX9" s="38">
        <f t="shared" si="29"/>
        <v>0</v>
      </c>
      <c r="CY9" s="38">
        <f t="shared" si="29"/>
        <v>0</v>
      </c>
      <c r="CZ9" s="38">
        <f t="shared" si="29"/>
        <v>0</v>
      </c>
      <c r="DA9" s="38">
        <f t="shared" si="29"/>
        <v>0</v>
      </c>
      <c r="DB9" s="38">
        <f t="shared" si="29"/>
        <v>0</v>
      </c>
      <c r="DC9" s="38">
        <f t="shared" si="29"/>
        <v>0</v>
      </c>
      <c r="DD9" s="38">
        <f t="shared" si="29"/>
        <v>485940.538</v>
      </c>
      <c r="DE9" s="38">
        <f t="shared" si="29"/>
        <v>0</v>
      </c>
      <c r="DF9" s="38">
        <f t="shared" si="29"/>
        <v>1020475.1298</v>
      </c>
      <c r="DG9" s="38">
        <f t="shared" si="29"/>
        <v>923287.02220000001</v>
      </c>
      <c r="DH9" s="38">
        <f t="shared" si="29"/>
        <v>0</v>
      </c>
      <c r="DI9" s="38">
        <f t="shared" si="29"/>
        <v>0</v>
      </c>
      <c r="DJ9" s="38">
        <f t="shared" si="29"/>
        <v>0</v>
      </c>
      <c r="DK9" s="38">
        <f t="shared" si="29"/>
        <v>0</v>
      </c>
      <c r="DL9" s="38">
        <f t="shared" si="29"/>
        <v>0</v>
      </c>
      <c r="DM9" s="83">
        <f t="shared" si="53"/>
        <v>2429702.69</v>
      </c>
      <c r="DO9" s="195">
        <v>6.7799999999999999E-2</v>
      </c>
      <c r="DP9" s="194">
        <f t="shared" si="30"/>
        <v>0.1</v>
      </c>
      <c r="DQ9" s="195">
        <v>1.4999999999999999E-2</v>
      </c>
      <c r="DR9" s="195">
        <v>1.4999999999999999E-2</v>
      </c>
      <c r="DS9" s="195">
        <v>2.06E-2</v>
      </c>
      <c r="DT9" s="195">
        <v>1.78E-2</v>
      </c>
      <c r="DU9" s="195">
        <v>2.2700000000000001E-2</v>
      </c>
      <c r="DV9" s="195">
        <v>2.1700000000000001E-2</v>
      </c>
      <c r="DW9" s="195">
        <v>4.3299999999999998E-2</v>
      </c>
      <c r="DX9" s="195">
        <v>1.3100000000000001E-2</v>
      </c>
      <c r="DY9" s="195">
        <v>4.7000000000000002E-3</v>
      </c>
      <c r="DZ9" s="195">
        <v>3.09E-2</v>
      </c>
      <c r="EA9" s="195">
        <v>1.8800000000000001E-2</v>
      </c>
      <c r="EB9" s="195">
        <v>1.4999999999999999E-2</v>
      </c>
      <c r="EC9" s="195">
        <v>2.5399999999999999E-2</v>
      </c>
      <c r="ED9" s="195">
        <v>2.3199999999999998E-2</v>
      </c>
      <c r="EE9" s="195">
        <v>2.18E-2</v>
      </c>
      <c r="EF9" s="195">
        <v>2.2700000000000001E-2</v>
      </c>
      <c r="EG9" s="195">
        <v>0.2</v>
      </c>
      <c r="EH9" s="195">
        <v>6.6699999999999995E-2</v>
      </c>
      <c r="EI9" s="195">
        <v>3.0200000000000001E-2</v>
      </c>
      <c r="EL9" s="107">
        <f t="shared" si="31"/>
        <v>0</v>
      </c>
      <c r="EM9" s="107">
        <f t="shared" si="32"/>
        <v>0</v>
      </c>
      <c r="EN9" s="107">
        <f t="shared" si="33"/>
        <v>0</v>
      </c>
      <c r="EO9" s="107">
        <f t="shared" si="34"/>
        <v>0</v>
      </c>
      <c r="EP9" s="107">
        <f t="shared" si="35"/>
        <v>0</v>
      </c>
      <c r="EQ9" s="107">
        <f t="shared" si="54"/>
        <v>0</v>
      </c>
      <c r="ER9" s="107">
        <f t="shared" si="36"/>
        <v>0</v>
      </c>
      <c r="ES9" s="107">
        <f t="shared" si="37"/>
        <v>0</v>
      </c>
      <c r="ET9" s="107">
        <f t="shared" si="38"/>
        <v>0</v>
      </c>
      <c r="EU9" s="107">
        <f t="shared" si="39"/>
        <v>0</v>
      </c>
      <c r="EV9" s="107">
        <f t="shared" si="40"/>
        <v>0</v>
      </c>
      <c r="EW9" s="107">
        <f t="shared" si="41"/>
        <v>0</v>
      </c>
      <c r="EX9" s="107">
        <f t="shared" si="42"/>
        <v>9135.6821144000005</v>
      </c>
      <c r="EY9" s="107">
        <f t="shared" si="43"/>
        <v>0</v>
      </c>
      <c r="EZ9" s="107">
        <f t="shared" si="44"/>
        <v>25920.068296919999</v>
      </c>
      <c r="FA9" s="107">
        <f t="shared" si="45"/>
        <v>21420.258915039998</v>
      </c>
      <c r="FB9" s="107">
        <f t="shared" si="46"/>
        <v>0</v>
      </c>
      <c r="FC9" s="107">
        <f t="shared" si="47"/>
        <v>0</v>
      </c>
      <c r="FD9" s="107">
        <f t="shared" si="48"/>
        <v>0</v>
      </c>
      <c r="FE9" s="107">
        <f t="shared" si="49"/>
        <v>0</v>
      </c>
      <c r="FF9" s="107">
        <f t="shared" si="50"/>
        <v>0</v>
      </c>
      <c r="FG9" s="107">
        <f t="shared" si="55"/>
        <v>56476.009326359999</v>
      </c>
      <c r="FH9" s="107"/>
      <c r="FI9" s="213">
        <v>10.5</v>
      </c>
      <c r="FJ9" s="223">
        <f t="shared" si="56"/>
        <v>49416.508160564998</v>
      </c>
      <c r="FK9" s="224">
        <f t="shared" si="57"/>
        <v>2380286.1818394349</v>
      </c>
      <c r="FL9" s="225"/>
      <c r="FM9" s="225"/>
      <c r="FN9" s="386"/>
      <c r="FO9" s="386"/>
      <c r="FP9" s="386"/>
      <c r="FQ9" s="386"/>
      <c r="FR9" s="387" t="s">
        <v>539</v>
      </c>
      <c r="FS9" s="387"/>
      <c r="FT9" s="388"/>
      <c r="FU9" s="389"/>
      <c r="FV9" s="389"/>
      <c r="FW9" s="389"/>
      <c r="FX9" s="389"/>
    </row>
    <row r="10" spans="1:187" ht="26.5" outlineLevel="1" x14ac:dyDescent="0.35">
      <c r="B10" s="2" t="s">
        <v>329</v>
      </c>
      <c r="C10" s="61">
        <v>114</v>
      </c>
      <c r="D10" s="63">
        <v>0.59</v>
      </c>
      <c r="E10" s="61" t="s">
        <v>131</v>
      </c>
      <c r="F10" s="158" t="s">
        <v>14</v>
      </c>
      <c r="G10" s="173">
        <v>44470</v>
      </c>
      <c r="H10" s="170">
        <v>0</v>
      </c>
      <c r="I10" s="171">
        <v>0</v>
      </c>
      <c r="J10" s="171">
        <v>0</v>
      </c>
      <c r="K10" s="171">
        <v>0</v>
      </c>
      <c r="L10" s="172">
        <f t="shared" si="0"/>
        <v>0</v>
      </c>
      <c r="M10" s="170">
        <v>1500375</v>
      </c>
      <c r="N10" s="171">
        <v>752719</v>
      </c>
      <c r="O10" s="171">
        <v>2854</v>
      </c>
      <c r="P10" s="171">
        <v>6882</v>
      </c>
      <c r="Q10" s="172">
        <f>SUM(M10:P10)</f>
        <v>2262830</v>
      </c>
      <c r="R10" s="170">
        <f t="shared" si="2"/>
        <v>1500375</v>
      </c>
      <c r="S10" s="171">
        <f t="shared" si="3"/>
        <v>752719</v>
      </c>
      <c r="T10" s="171">
        <f t="shared" si="4"/>
        <v>2854</v>
      </c>
      <c r="U10" s="171">
        <f t="shared" si="5"/>
        <v>6882</v>
      </c>
      <c r="V10" s="174"/>
      <c r="W10" s="172">
        <f t="shared" si="6"/>
        <v>2262830</v>
      </c>
      <c r="X10" s="19">
        <v>44440</v>
      </c>
      <c r="Y10" s="20">
        <v>2000000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50">
        <v>0.2</v>
      </c>
      <c r="AN10" s="50"/>
      <c r="AO10" s="50">
        <v>0.42</v>
      </c>
      <c r="AP10" s="50">
        <v>0.38</v>
      </c>
      <c r="AQ10" s="50"/>
      <c r="AR10" s="14"/>
      <c r="AS10" s="14"/>
      <c r="AT10" s="14"/>
      <c r="AU10" s="14"/>
      <c r="AV10" s="45">
        <f t="shared" si="51"/>
        <v>1</v>
      </c>
      <c r="AX10" s="38">
        <f t="shared" si="7"/>
        <v>0</v>
      </c>
      <c r="AY10" s="38">
        <f t="shared" si="8"/>
        <v>0</v>
      </c>
      <c r="AZ10" s="38">
        <f t="shared" si="9"/>
        <v>0</v>
      </c>
      <c r="BA10" s="38">
        <f t="shared" si="10"/>
        <v>0</v>
      </c>
      <c r="BB10" s="38">
        <f t="shared" si="11"/>
        <v>0</v>
      </c>
      <c r="BC10" s="38">
        <f t="shared" si="12"/>
        <v>0</v>
      </c>
      <c r="BD10" s="38">
        <f t="shared" si="13"/>
        <v>0</v>
      </c>
      <c r="BE10" s="38">
        <f t="shared" si="14"/>
        <v>0</v>
      </c>
      <c r="BF10" s="38">
        <f t="shared" si="15"/>
        <v>0</v>
      </c>
      <c r="BG10" s="38">
        <f t="shared" si="16"/>
        <v>0</v>
      </c>
      <c r="BH10" s="38">
        <f t="shared" si="17"/>
        <v>0</v>
      </c>
      <c r="BI10" s="38">
        <f t="shared" si="18"/>
        <v>0</v>
      </c>
      <c r="BJ10" s="38">
        <f t="shared" si="19"/>
        <v>452566</v>
      </c>
      <c r="BK10" s="38">
        <f t="shared" si="20"/>
        <v>0</v>
      </c>
      <c r="BL10" s="38">
        <f t="shared" si="21"/>
        <v>950388.6</v>
      </c>
      <c r="BM10" s="38">
        <f t="shared" si="22"/>
        <v>859875.4</v>
      </c>
      <c r="BN10" s="38">
        <f t="shared" si="23"/>
        <v>0</v>
      </c>
      <c r="BO10" s="38">
        <f t="shared" si="24"/>
        <v>0</v>
      </c>
      <c r="BP10" s="38">
        <f t="shared" si="25"/>
        <v>0</v>
      </c>
      <c r="BQ10" s="38">
        <f t="shared" si="26"/>
        <v>0</v>
      </c>
      <c r="BR10" s="38">
        <f t="shared" si="27"/>
        <v>0</v>
      </c>
      <c r="BS10" s="39">
        <f t="shared" si="52"/>
        <v>2262830</v>
      </c>
      <c r="BT10" s="48">
        <f t="shared" si="28"/>
        <v>0</v>
      </c>
      <c r="BU10" s="193">
        <f>'[1]Primary and Summary'!$D$105</f>
        <v>0.11529999999999996</v>
      </c>
      <c r="BV10" s="193">
        <f>'[1]Primary and Summary'!$D$105</f>
        <v>0.11529999999999996</v>
      </c>
      <c r="BW10" s="193">
        <f>'[1]Primary and Summary'!$D$111</f>
        <v>0.10809999999999997</v>
      </c>
      <c r="BX10" s="193">
        <f>'[1]Primary and Summary'!$D$111</f>
        <v>0.10809999999999997</v>
      </c>
      <c r="BY10" s="193">
        <f>'[1]Primary and Summary'!$D$111</f>
        <v>0.10809999999999997</v>
      </c>
      <c r="BZ10" s="193">
        <f>'[1]Primary and Summary'!$D$111</f>
        <v>0.10809999999999997</v>
      </c>
      <c r="CA10" s="193">
        <f>'[1]Primary and Summary'!$D$111</f>
        <v>0.10809999999999997</v>
      </c>
      <c r="CB10" s="193">
        <f>'[1]Primary and Summary'!$D$111</f>
        <v>0.10809999999999997</v>
      </c>
      <c r="CC10" s="193">
        <f>'[1]Primary and Summary'!$D$111</f>
        <v>0.10809999999999997</v>
      </c>
      <c r="CD10" s="193">
        <f>'[1]Primary and Summary'!$D$111</f>
        <v>0.10809999999999997</v>
      </c>
      <c r="CE10" s="193">
        <f>'[1]Primary and Summary'!$D$111</f>
        <v>0.10809999999999997</v>
      </c>
      <c r="CF10" s="193">
        <f>'[1]Primary and Summary'!$D$111</f>
        <v>0.10809999999999997</v>
      </c>
      <c r="CG10" s="193">
        <f>'[1]Primary and Summary'!$D$120</f>
        <v>1</v>
      </c>
      <c r="CH10" s="193">
        <f>'[1]Primary and Summary'!$D$120</f>
        <v>1</v>
      </c>
      <c r="CI10" s="193">
        <f>'[1]Primary and Summary'!$D$120</f>
        <v>1</v>
      </c>
      <c r="CJ10" s="193">
        <f>'[1]Primary and Summary'!$D$120</f>
        <v>1</v>
      </c>
      <c r="CK10" s="193">
        <f>'[1]Primary and Summary'!$D$120</f>
        <v>1</v>
      </c>
      <c r="CL10" s="193">
        <f>'[1]Primary and Summary'!$D$120</f>
        <v>1</v>
      </c>
      <c r="CM10" s="193">
        <f>'[1]Primary and Summary'!$D$105</f>
        <v>0.11529999999999996</v>
      </c>
      <c r="CN10" s="193">
        <f>'[1]Primary and Summary'!$D$105</f>
        <v>0.11529999999999996</v>
      </c>
      <c r="CO10" s="193">
        <v>1</v>
      </c>
      <c r="CP10" s="39"/>
      <c r="CR10" s="38">
        <f>BU10*AX10</f>
        <v>0</v>
      </c>
      <c r="CS10" s="38">
        <f t="shared" si="29"/>
        <v>0</v>
      </c>
      <c r="CT10" s="38">
        <f t="shared" si="29"/>
        <v>0</v>
      </c>
      <c r="CU10" s="38">
        <f t="shared" si="29"/>
        <v>0</v>
      </c>
      <c r="CV10" s="38">
        <f t="shared" si="29"/>
        <v>0</v>
      </c>
      <c r="CW10" s="38">
        <f t="shared" si="29"/>
        <v>0</v>
      </c>
      <c r="CX10" s="38">
        <f t="shared" si="29"/>
        <v>0</v>
      </c>
      <c r="CY10" s="38">
        <f t="shared" si="29"/>
        <v>0</v>
      </c>
      <c r="CZ10" s="38">
        <f t="shared" si="29"/>
        <v>0</v>
      </c>
      <c r="DA10" s="38">
        <f t="shared" si="29"/>
        <v>0</v>
      </c>
      <c r="DB10" s="38">
        <f t="shared" si="29"/>
        <v>0</v>
      </c>
      <c r="DC10" s="38">
        <f t="shared" si="29"/>
        <v>0</v>
      </c>
      <c r="DD10" s="38">
        <f t="shared" si="29"/>
        <v>452566</v>
      </c>
      <c r="DE10" s="38">
        <f t="shared" si="29"/>
        <v>0</v>
      </c>
      <c r="DF10" s="38">
        <f t="shared" si="29"/>
        <v>950388.6</v>
      </c>
      <c r="DG10" s="38">
        <f t="shared" si="29"/>
        <v>859875.4</v>
      </c>
      <c r="DH10" s="38">
        <f t="shared" si="29"/>
        <v>0</v>
      </c>
      <c r="DI10" s="38">
        <f t="shared" si="29"/>
        <v>0</v>
      </c>
      <c r="DJ10" s="38">
        <f t="shared" si="29"/>
        <v>0</v>
      </c>
      <c r="DK10" s="38">
        <f t="shared" si="29"/>
        <v>0</v>
      </c>
      <c r="DL10" s="38">
        <f t="shared" si="29"/>
        <v>0</v>
      </c>
      <c r="DM10" s="83">
        <f t="shared" si="53"/>
        <v>2262830</v>
      </c>
      <c r="DO10" s="195">
        <v>6.7799999999999999E-2</v>
      </c>
      <c r="DP10" s="194">
        <f t="shared" si="30"/>
        <v>0.1</v>
      </c>
      <c r="DQ10" s="195">
        <v>1.4999999999999999E-2</v>
      </c>
      <c r="DR10" s="195">
        <v>1.4999999999999999E-2</v>
      </c>
      <c r="DS10" s="195">
        <v>2.06E-2</v>
      </c>
      <c r="DT10" s="195">
        <v>1.78E-2</v>
      </c>
      <c r="DU10" s="195">
        <v>2.2700000000000001E-2</v>
      </c>
      <c r="DV10" s="195">
        <v>2.1700000000000001E-2</v>
      </c>
      <c r="DW10" s="195">
        <v>4.3299999999999998E-2</v>
      </c>
      <c r="DX10" s="195">
        <v>1.3100000000000001E-2</v>
      </c>
      <c r="DY10" s="195">
        <v>4.7000000000000002E-3</v>
      </c>
      <c r="DZ10" s="195">
        <v>3.09E-2</v>
      </c>
      <c r="EA10" s="195">
        <v>1.8800000000000001E-2</v>
      </c>
      <c r="EB10" s="195">
        <v>1.4999999999999999E-2</v>
      </c>
      <c r="EC10" s="195">
        <v>2.5399999999999999E-2</v>
      </c>
      <c r="ED10" s="195">
        <v>2.3199999999999998E-2</v>
      </c>
      <c r="EE10" s="195">
        <v>2.18E-2</v>
      </c>
      <c r="EF10" s="195">
        <v>2.2700000000000001E-2</v>
      </c>
      <c r="EG10" s="195">
        <v>0.2</v>
      </c>
      <c r="EH10" s="195">
        <v>6.6699999999999995E-2</v>
      </c>
      <c r="EI10" s="195">
        <v>3.0200000000000001E-2</v>
      </c>
      <c r="EL10" s="107">
        <f t="shared" si="31"/>
        <v>0</v>
      </c>
      <c r="EM10" s="107">
        <f t="shared" si="32"/>
        <v>0</v>
      </c>
      <c r="EN10" s="107">
        <f t="shared" si="33"/>
        <v>0</v>
      </c>
      <c r="EO10" s="107">
        <f t="shared" si="34"/>
        <v>0</v>
      </c>
      <c r="EP10" s="107">
        <f t="shared" si="35"/>
        <v>0</v>
      </c>
      <c r="EQ10" s="107">
        <f t="shared" si="54"/>
        <v>0</v>
      </c>
      <c r="ER10" s="107">
        <f t="shared" si="36"/>
        <v>0</v>
      </c>
      <c r="ES10" s="107">
        <f t="shared" si="37"/>
        <v>0</v>
      </c>
      <c r="ET10" s="107">
        <f t="shared" si="38"/>
        <v>0</v>
      </c>
      <c r="EU10" s="107">
        <f t="shared" si="39"/>
        <v>0</v>
      </c>
      <c r="EV10" s="107">
        <f t="shared" si="40"/>
        <v>0</v>
      </c>
      <c r="EW10" s="107">
        <f t="shared" si="41"/>
        <v>0</v>
      </c>
      <c r="EX10" s="107">
        <f t="shared" si="42"/>
        <v>8508.2407999999996</v>
      </c>
      <c r="EY10" s="107">
        <f t="shared" si="43"/>
        <v>0</v>
      </c>
      <c r="EZ10" s="107">
        <f t="shared" si="44"/>
        <v>24139.870439999999</v>
      </c>
      <c r="FA10" s="107">
        <f t="shared" si="45"/>
        <v>19949.109280000001</v>
      </c>
      <c r="FB10" s="107">
        <f t="shared" si="46"/>
        <v>0</v>
      </c>
      <c r="FC10" s="107">
        <f t="shared" si="47"/>
        <v>0</v>
      </c>
      <c r="FD10" s="107">
        <f t="shared" si="48"/>
        <v>0</v>
      </c>
      <c r="FE10" s="107">
        <f t="shared" si="49"/>
        <v>0</v>
      </c>
      <c r="FF10" s="107">
        <f t="shared" si="50"/>
        <v>0</v>
      </c>
      <c r="FG10" s="107">
        <f t="shared" si="55"/>
        <v>52597.220520000003</v>
      </c>
      <c r="FH10" s="107"/>
      <c r="FI10" s="213">
        <v>12.5</v>
      </c>
      <c r="FJ10" s="223">
        <f t="shared" si="56"/>
        <v>54788.771374999997</v>
      </c>
      <c r="FK10" s="224">
        <f t="shared" si="57"/>
        <v>2208041.228625</v>
      </c>
      <c r="FL10" s="226"/>
      <c r="FM10" s="225"/>
      <c r="FN10" s="386"/>
      <c r="FO10" s="386"/>
      <c r="FP10" s="386"/>
      <c r="FQ10" s="386" t="s">
        <v>208</v>
      </c>
      <c r="FR10" s="390" t="s">
        <v>540</v>
      </c>
      <c r="FS10" s="413" t="s">
        <v>558</v>
      </c>
      <c r="FT10" s="390" t="s">
        <v>550</v>
      </c>
      <c r="FU10" s="389"/>
      <c r="FV10" s="390" t="s">
        <v>541</v>
      </c>
      <c r="FW10" s="389"/>
      <c r="FX10" s="390" t="s">
        <v>542</v>
      </c>
    </row>
    <row r="11" spans="1:187" outlineLevel="1" x14ac:dyDescent="0.35">
      <c r="B11" s="2" t="s">
        <v>329</v>
      </c>
      <c r="C11" s="61">
        <v>115</v>
      </c>
      <c r="D11" s="63">
        <v>0.59</v>
      </c>
      <c r="E11" s="61">
        <v>202110</v>
      </c>
      <c r="F11" s="158" t="s">
        <v>23</v>
      </c>
      <c r="G11" s="173">
        <v>44470</v>
      </c>
      <c r="H11" s="170">
        <f>IFERROR(VLOOKUP($E11,'Actuals (BI Report)'!$A$2:$H$35,4,FALSE),"")</f>
        <v>23290.519999999997</v>
      </c>
      <c r="I11" s="171">
        <f>IFERROR(VLOOKUP($E11,'Actuals (BI Report)'!$A$2:$H$35,7,FALSE),"")</f>
        <v>9960.58</v>
      </c>
      <c r="J11" s="171">
        <f>IFERROR(VLOOKUP($E11,'Actuals (BI Report)'!$A$2:$H$35,5,FALSE),"")</f>
        <v>375.65</v>
      </c>
      <c r="K11" s="171">
        <f>IFERROR(VLOOKUP($E11,'Actuals (BI Report)'!$A$2:$H$35,6,FALSE),"")</f>
        <v>0</v>
      </c>
      <c r="L11" s="172">
        <f t="shared" si="0"/>
        <v>33626.75</v>
      </c>
      <c r="M11" s="170">
        <v>1735088</v>
      </c>
      <c r="N11" s="171">
        <v>871104</v>
      </c>
      <c r="O11" s="171">
        <v>3421</v>
      </c>
      <c r="P11" s="171">
        <v>8244</v>
      </c>
      <c r="Q11" s="172">
        <f t="shared" si="1"/>
        <v>2617857</v>
      </c>
      <c r="R11" s="170">
        <f t="shared" si="2"/>
        <v>1758378.52</v>
      </c>
      <c r="S11" s="171">
        <f t="shared" si="3"/>
        <v>881064.58</v>
      </c>
      <c r="T11" s="171">
        <f t="shared" si="4"/>
        <v>3796.65</v>
      </c>
      <c r="U11" s="171">
        <f t="shared" si="5"/>
        <v>8244</v>
      </c>
      <c r="V11" s="174"/>
      <c r="W11" s="172">
        <f t="shared" si="6"/>
        <v>2651483.75</v>
      </c>
      <c r="X11" s="19">
        <v>44470</v>
      </c>
      <c r="Y11" s="20">
        <v>1500000</v>
      </c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50">
        <v>0.85</v>
      </c>
      <c r="AN11" s="50"/>
      <c r="AO11" s="50">
        <v>0.05</v>
      </c>
      <c r="AP11" s="50">
        <v>0.1</v>
      </c>
      <c r="AQ11" s="50"/>
      <c r="AR11" s="14"/>
      <c r="AS11" s="14"/>
      <c r="AT11" s="14"/>
      <c r="AU11" s="14"/>
      <c r="AV11" s="45">
        <f t="shared" si="51"/>
        <v>1</v>
      </c>
      <c r="AX11" s="38">
        <f t="shared" si="7"/>
        <v>0</v>
      </c>
      <c r="AY11" s="38">
        <f t="shared" si="8"/>
        <v>0</v>
      </c>
      <c r="AZ11" s="38">
        <f t="shared" si="9"/>
        <v>0</v>
      </c>
      <c r="BA11" s="38">
        <f t="shared" si="10"/>
        <v>0</v>
      </c>
      <c r="BB11" s="38">
        <f t="shared" si="11"/>
        <v>0</v>
      </c>
      <c r="BC11" s="38">
        <f t="shared" si="12"/>
        <v>0</v>
      </c>
      <c r="BD11" s="38">
        <f t="shared" si="13"/>
        <v>0</v>
      </c>
      <c r="BE11" s="38">
        <f t="shared" si="14"/>
        <v>0</v>
      </c>
      <c r="BF11" s="38">
        <f t="shared" si="15"/>
        <v>0</v>
      </c>
      <c r="BG11" s="38">
        <f t="shared" si="16"/>
        <v>0</v>
      </c>
      <c r="BH11" s="38">
        <f t="shared" si="17"/>
        <v>0</v>
      </c>
      <c r="BI11" s="38">
        <f t="shared" si="18"/>
        <v>0</v>
      </c>
      <c r="BJ11" s="38">
        <f t="shared" si="19"/>
        <v>2253761.1875</v>
      </c>
      <c r="BK11" s="38">
        <f t="shared" si="20"/>
        <v>0</v>
      </c>
      <c r="BL11" s="38">
        <f t="shared" si="21"/>
        <v>132574.1875</v>
      </c>
      <c r="BM11" s="38">
        <f t="shared" si="22"/>
        <v>265148.375</v>
      </c>
      <c r="BN11" s="38">
        <f t="shared" si="23"/>
        <v>0</v>
      </c>
      <c r="BO11" s="38">
        <f t="shared" si="24"/>
        <v>0</v>
      </c>
      <c r="BP11" s="38">
        <f t="shared" si="25"/>
        <v>0</v>
      </c>
      <c r="BQ11" s="38">
        <f t="shared" si="26"/>
        <v>0</v>
      </c>
      <c r="BR11" s="38">
        <f t="shared" si="27"/>
        <v>0</v>
      </c>
      <c r="BS11" s="39">
        <f t="shared" si="52"/>
        <v>2651483.75</v>
      </c>
      <c r="BT11" s="48">
        <f t="shared" si="28"/>
        <v>0</v>
      </c>
      <c r="BU11" s="193">
        <f>'[1]Primary and Summary'!$D$105</f>
        <v>0.11529999999999996</v>
      </c>
      <c r="BV11" s="193">
        <f>'[1]Primary and Summary'!$D$105</f>
        <v>0.11529999999999996</v>
      </c>
      <c r="BW11" s="193">
        <f>'[1]Primary and Summary'!$D$111</f>
        <v>0.10809999999999997</v>
      </c>
      <c r="BX11" s="193">
        <f>'[1]Primary and Summary'!$D$111</f>
        <v>0.10809999999999997</v>
      </c>
      <c r="BY11" s="193">
        <f>'[1]Primary and Summary'!$D$111</f>
        <v>0.10809999999999997</v>
      </c>
      <c r="BZ11" s="193">
        <f>'[1]Primary and Summary'!$D$111</f>
        <v>0.10809999999999997</v>
      </c>
      <c r="CA11" s="193">
        <f>'[1]Primary and Summary'!$D$111</f>
        <v>0.10809999999999997</v>
      </c>
      <c r="CB11" s="193">
        <f>'[1]Primary and Summary'!$D$111</f>
        <v>0.10809999999999997</v>
      </c>
      <c r="CC11" s="193">
        <f>'[1]Primary and Summary'!$D$111</f>
        <v>0.10809999999999997</v>
      </c>
      <c r="CD11" s="193">
        <f>'[1]Primary and Summary'!$D$111</f>
        <v>0.10809999999999997</v>
      </c>
      <c r="CE11" s="193">
        <f>'[1]Primary and Summary'!$D$111</f>
        <v>0.10809999999999997</v>
      </c>
      <c r="CF11" s="193">
        <f>'[1]Primary and Summary'!$D$111</f>
        <v>0.10809999999999997</v>
      </c>
      <c r="CG11" s="193">
        <f>'[1]Primary and Summary'!$D$120</f>
        <v>1</v>
      </c>
      <c r="CH11" s="193">
        <f>'[1]Primary and Summary'!$D$120</f>
        <v>1</v>
      </c>
      <c r="CI11" s="193">
        <f>'[1]Primary and Summary'!$D$120</f>
        <v>1</v>
      </c>
      <c r="CJ11" s="193">
        <f>'[1]Primary and Summary'!$D$120</f>
        <v>1</v>
      </c>
      <c r="CK11" s="193">
        <f>'[1]Primary and Summary'!$D$120</f>
        <v>1</v>
      </c>
      <c r="CL11" s="193">
        <f>'[1]Primary and Summary'!$D$120</f>
        <v>1</v>
      </c>
      <c r="CM11" s="193">
        <f>'[1]Primary and Summary'!$D$105</f>
        <v>0.11529999999999996</v>
      </c>
      <c r="CN11" s="193">
        <f>'[1]Primary and Summary'!$D$105</f>
        <v>0.11529999999999996</v>
      </c>
      <c r="CO11" s="193">
        <v>1</v>
      </c>
      <c r="CP11" s="39"/>
      <c r="CR11" s="38">
        <f>BU11*AX11</f>
        <v>0</v>
      </c>
      <c r="CS11" s="38">
        <f t="shared" si="29"/>
        <v>0</v>
      </c>
      <c r="CT11" s="38">
        <f t="shared" si="29"/>
        <v>0</v>
      </c>
      <c r="CU11" s="38">
        <f t="shared" si="29"/>
        <v>0</v>
      </c>
      <c r="CV11" s="38">
        <f t="shared" si="29"/>
        <v>0</v>
      </c>
      <c r="CW11" s="38">
        <f t="shared" si="29"/>
        <v>0</v>
      </c>
      <c r="CX11" s="38">
        <f t="shared" si="29"/>
        <v>0</v>
      </c>
      <c r="CY11" s="38">
        <f t="shared" si="29"/>
        <v>0</v>
      </c>
      <c r="CZ11" s="38">
        <f t="shared" si="29"/>
        <v>0</v>
      </c>
      <c r="DA11" s="38">
        <f t="shared" si="29"/>
        <v>0</v>
      </c>
      <c r="DB11" s="38">
        <f t="shared" si="29"/>
        <v>0</v>
      </c>
      <c r="DC11" s="38">
        <f t="shared" si="29"/>
        <v>0</v>
      </c>
      <c r="DD11" s="38">
        <f t="shared" si="29"/>
        <v>2253761.1875</v>
      </c>
      <c r="DE11" s="38">
        <f t="shared" si="29"/>
        <v>0</v>
      </c>
      <c r="DF11" s="38">
        <f t="shared" si="29"/>
        <v>132574.1875</v>
      </c>
      <c r="DG11" s="38">
        <f t="shared" si="29"/>
        <v>265148.375</v>
      </c>
      <c r="DH11" s="38">
        <f t="shared" si="29"/>
        <v>0</v>
      </c>
      <c r="DI11" s="38">
        <f t="shared" si="29"/>
        <v>0</v>
      </c>
      <c r="DJ11" s="38">
        <f t="shared" si="29"/>
        <v>0</v>
      </c>
      <c r="DK11" s="38">
        <f t="shared" si="29"/>
        <v>0</v>
      </c>
      <c r="DL11" s="38">
        <f t="shared" si="29"/>
        <v>0</v>
      </c>
      <c r="DM11" s="83">
        <f t="shared" si="53"/>
        <v>2651483.75</v>
      </c>
      <c r="DO11" s="195">
        <v>6.7799999999999999E-2</v>
      </c>
      <c r="DP11" s="194">
        <f t="shared" si="30"/>
        <v>0.1</v>
      </c>
      <c r="DQ11" s="195">
        <v>1.4999999999999999E-2</v>
      </c>
      <c r="DR11" s="195">
        <v>1.4999999999999999E-2</v>
      </c>
      <c r="DS11" s="195">
        <v>2.06E-2</v>
      </c>
      <c r="DT11" s="195">
        <v>1.78E-2</v>
      </c>
      <c r="DU11" s="195">
        <v>2.2700000000000001E-2</v>
      </c>
      <c r="DV11" s="195">
        <v>2.1700000000000001E-2</v>
      </c>
      <c r="DW11" s="195">
        <v>4.3299999999999998E-2</v>
      </c>
      <c r="DX11" s="195">
        <v>1.3100000000000001E-2</v>
      </c>
      <c r="DY11" s="195">
        <v>4.7000000000000002E-3</v>
      </c>
      <c r="DZ11" s="195">
        <v>3.09E-2</v>
      </c>
      <c r="EA11" s="195">
        <v>1.8800000000000001E-2</v>
      </c>
      <c r="EB11" s="195">
        <v>1.4999999999999999E-2</v>
      </c>
      <c r="EC11" s="195">
        <v>2.5399999999999999E-2</v>
      </c>
      <c r="ED11" s="195">
        <v>2.3199999999999998E-2</v>
      </c>
      <c r="EE11" s="195">
        <v>2.18E-2</v>
      </c>
      <c r="EF11" s="195">
        <v>2.2700000000000001E-2</v>
      </c>
      <c r="EG11" s="195">
        <v>0.2</v>
      </c>
      <c r="EH11" s="195">
        <v>6.6699999999999995E-2</v>
      </c>
      <c r="EI11" s="195">
        <v>3.0200000000000001E-2</v>
      </c>
      <c r="EL11" s="107">
        <f t="shared" si="31"/>
        <v>0</v>
      </c>
      <c r="EM11" s="107">
        <f t="shared" si="32"/>
        <v>0</v>
      </c>
      <c r="EN11" s="107">
        <f t="shared" si="33"/>
        <v>0</v>
      </c>
      <c r="EO11" s="107">
        <f t="shared" si="34"/>
        <v>0</v>
      </c>
      <c r="EP11" s="107">
        <f t="shared" si="35"/>
        <v>0</v>
      </c>
      <c r="EQ11" s="107">
        <f t="shared" si="54"/>
        <v>0</v>
      </c>
      <c r="ER11" s="107">
        <f t="shared" si="36"/>
        <v>0</v>
      </c>
      <c r="ES11" s="107">
        <f t="shared" si="37"/>
        <v>0</v>
      </c>
      <c r="ET11" s="107">
        <f t="shared" si="38"/>
        <v>0</v>
      </c>
      <c r="EU11" s="107">
        <f t="shared" si="39"/>
        <v>0</v>
      </c>
      <c r="EV11" s="107">
        <f t="shared" si="40"/>
        <v>0</v>
      </c>
      <c r="EW11" s="107">
        <f t="shared" si="41"/>
        <v>0</v>
      </c>
      <c r="EX11" s="107">
        <f t="shared" si="42"/>
        <v>42370.710325</v>
      </c>
      <c r="EY11" s="107">
        <f t="shared" si="43"/>
        <v>0</v>
      </c>
      <c r="EZ11" s="107">
        <f t="shared" si="44"/>
        <v>3367.3843625</v>
      </c>
      <c r="FA11" s="107">
        <f t="shared" si="45"/>
        <v>6151.4422999999997</v>
      </c>
      <c r="FB11" s="107">
        <f t="shared" si="46"/>
        <v>0</v>
      </c>
      <c r="FC11" s="107">
        <f t="shared" si="47"/>
        <v>0</v>
      </c>
      <c r="FD11" s="107">
        <f t="shared" si="48"/>
        <v>0</v>
      </c>
      <c r="FE11" s="107">
        <f t="shared" si="49"/>
        <v>0</v>
      </c>
      <c r="FF11" s="107">
        <f t="shared" si="50"/>
        <v>0</v>
      </c>
      <c r="FG11" s="107">
        <f t="shared" si="55"/>
        <v>51889.536987500003</v>
      </c>
      <c r="FH11" s="107"/>
      <c r="FI11" s="213">
        <v>12.5</v>
      </c>
      <c r="FJ11" s="223">
        <f t="shared" si="56"/>
        <v>54051.601028645833</v>
      </c>
      <c r="FK11" s="224">
        <f t="shared" si="57"/>
        <v>2597432.1489713541</v>
      </c>
      <c r="FL11" s="226"/>
      <c r="FM11" s="225"/>
      <c r="FN11" s="386" t="s">
        <v>14</v>
      </c>
      <c r="FO11" s="386"/>
      <c r="FP11" s="386"/>
      <c r="FQ11" s="386"/>
      <c r="FR11" s="391">
        <f>FG10</f>
        <v>52597.220520000003</v>
      </c>
      <c r="FS11" s="391">
        <f>FK10</f>
        <v>2208041.228625</v>
      </c>
      <c r="FT11" s="391">
        <v>242346.98080415744</v>
      </c>
      <c r="FU11" s="389"/>
      <c r="FV11" s="391">
        <f>FT11</f>
        <v>242346.98080415744</v>
      </c>
      <c r="FW11" s="389"/>
      <c r="FX11" s="391">
        <f t="shared" ref="FX11:FX17" si="58">FT11*1.1</f>
        <v>266581.67888457322</v>
      </c>
    </row>
    <row r="12" spans="1:187" s="225" customFormat="1" outlineLevel="1" x14ac:dyDescent="0.35">
      <c r="B12" s="228" t="s">
        <v>329</v>
      </c>
      <c r="C12" s="225">
        <v>11</v>
      </c>
      <c r="D12" s="229">
        <v>0.26</v>
      </c>
      <c r="E12" s="225" t="s">
        <v>131</v>
      </c>
      <c r="F12" s="158" t="s">
        <v>44</v>
      </c>
      <c r="G12" s="173">
        <v>44470</v>
      </c>
      <c r="H12" s="170">
        <v>0</v>
      </c>
      <c r="I12" s="171">
        <v>0</v>
      </c>
      <c r="J12" s="171">
        <v>0</v>
      </c>
      <c r="K12" s="171">
        <v>0</v>
      </c>
      <c r="L12" s="172">
        <f t="shared" si="0"/>
        <v>0</v>
      </c>
      <c r="M12" s="170">
        <v>1165000</v>
      </c>
      <c r="N12" s="171">
        <v>198678</v>
      </c>
      <c r="O12" s="171">
        <v>1589</v>
      </c>
      <c r="P12" s="171">
        <v>3849</v>
      </c>
      <c r="Q12" s="172">
        <f t="shared" si="1"/>
        <v>1369116</v>
      </c>
      <c r="R12" s="170">
        <f t="shared" si="2"/>
        <v>1165000</v>
      </c>
      <c r="S12" s="171">
        <f t="shared" si="3"/>
        <v>198678</v>
      </c>
      <c r="T12" s="171">
        <f t="shared" si="4"/>
        <v>1589</v>
      </c>
      <c r="U12" s="171">
        <f t="shared" si="5"/>
        <v>3849</v>
      </c>
      <c r="V12" s="174"/>
      <c r="W12" s="172">
        <f t="shared" si="6"/>
        <v>1369116</v>
      </c>
      <c r="X12" s="241">
        <v>44470</v>
      </c>
      <c r="Y12" s="230"/>
      <c r="AA12" s="229"/>
      <c r="AB12" s="229"/>
      <c r="AC12" s="229"/>
      <c r="AD12" s="229"/>
      <c r="AE12" s="229"/>
      <c r="AF12" s="229"/>
      <c r="AG12" s="229"/>
      <c r="AH12" s="229"/>
      <c r="AI12" s="229"/>
      <c r="AJ12" s="231"/>
      <c r="AK12" s="231"/>
      <c r="AL12" s="229"/>
      <c r="AM12" s="229"/>
      <c r="AN12" s="229">
        <v>0.63900000000000001</v>
      </c>
      <c r="AO12" s="231"/>
      <c r="AP12" s="231">
        <v>4.2999999999999997E-2</v>
      </c>
      <c r="AQ12" s="231">
        <v>0.28199999999999997</v>
      </c>
      <c r="AR12" s="229"/>
      <c r="AS12" s="229"/>
      <c r="AT12" s="229"/>
      <c r="AU12" s="229">
        <v>3.5999999999999997E-2</v>
      </c>
      <c r="AV12" s="232">
        <f t="shared" si="51"/>
        <v>1</v>
      </c>
      <c r="AX12" s="233">
        <f t="shared" si="7"/>
        <v>0</v>
      </c>
      <c r="AY12" s="233">
        <f t="shared" si="8"/>
        <v>0</v>
      </c>
      <c r="AZ12" s="233">
        <f t="shared" si="9"/>
        <v>0</v>
      </c>
      <c r="BA12" s="233">
        <f t="shared" si="10"/>
        <v>0</v>
      </c>
      <c r="BB12" s="233">
        <f t="shared" si="11"/>
        <v>0</v>
      </c>
      <c r="BC12" s="233">
        <f t="shared" si="12"/>
        <v>0</v>
      </c>
      <c r="BD12" s="233">
        <f t="shared" si="13"/>
        <v>0</v>
      </c>
      <c r="BE12" s="233">
        <f t="shared" si="14"/>
        <v>0</v>
      </c>
      <c r="BF12" s="233">
        <f t="shared" si="15"/>
        <v>0</v>
      </c>
      <c r="BG12" s="233">
        <f t="shared" si="16"/>
        <v>0</v>
      </c>
      <c r="BH12" s="233">
        <f t="shared" si="17"/>
        <v>0</v>
      </c>
      <c r="BI12" s="233">
        <f t="shared" si="18"/>
        <v>0</v>
      </c>
      <c r="BJ12" s="233">
        <f t="shared" si="19"/>
        <v>0</v>
      </c>
      <c r="BK12" s="233">
        <f t="shared" si="20"/>
        <v>874865.12400000007</v>
      </c>
      <c r="BL12" s="233">
        <f t="shared" si="21"/>
        <v>0</v>
      </c>
      <c r="BM12" s="233">
        <f t="shared" si="22"/>
        <v>58871.987999999998</v>
      </c>
      <c r="BN12" s="233">
        <f t="shared" si="23"/>
        <v>386090.71199999994</v>
      </c>
      <c r="BO12" s="233">
        <f t="shared" si="24"/>
        <v>0</v>
      </c>
      <c r="BP12" s="233">
        <f t="shared" si="25"/>
        <v>0</v>
      </c>
      <c r="BQ12" s="233">
        <f t="shared" si="26"/>
        <v>0</v>
      </c>
      <c r="BR12" s="233">
        <f t="shared" si="27"/>
        <v>49288.175999999999</v>
      </c>
      <c r="BS12" s="234">
        <f t="shared" si="52"/>
        <v>1369116</v>
      </c>
      <c r="BT12" s="235">
        <f t="shared" si="28"/>
        <v>0</v>
      </c>
      <c r="BU12" s="236">
        <f>'[1]Primary and Summary'!$D$105</f>
        <v>0.11529999999999996</v>
      </c>
      <c r="BV12" s="236">
        <f>'[1]Primary and Summary'!$D$105</f>
        <v>0.11529999999999996</v>
      </c>
      <c r="BW12" s="236">
        <f>'[1]Primary and Summary'!$D$111</f>
        <v>0.10809999999999997</v>
      </c>
      <c r="BX12" s="236">
        <f>'[1]Primary and Summary'!$D$111</f>
        <v>0.10809999999999997</v>
      </c>
      <c r="BY12" s="236">
        <f>'[1]Primary and Summary'!$D$111</f>
        <v>0.10809999999999997</v>
      </c>
      <c r="BZ12" s="236">
        <f>'[1]Primary and Summary'!$D$111</f>
        <v>0.10809999999999997</v>
      </c>
      <c r="CA12" s="236">
        <f>'[1]Primary and Summary'!$D$111</f>
        <v>0.10809999999999997</v>
      </c>
      <c r="CB12" s="236">
        <f>'[1]Primary and Summary'!$D$111</f>
        <v>0.10809999999999997</v>
      </c>
      <c r="CC12" s="236">
        <f>'[1]Primary and Summary'!$D$111</f>
        <v>0.10809999999999997</v>
      </c>
      <c r="CD12" s="236">
        <f>'[1]Primary and Summary'!$D$111</f>
        <v>0.10809999999999997</v>
      </c>
      <c r="CE12" s="236">
        <f>'[1]Primary and Summary'!$D$111</f>
        <v>0.10809999999999997</v>
      </c>
      <c r="CF12" s="236">
        <f>'[1]Primary and Summary'!$D$111</f>
        <v>0.10809999999999997</v>
      </c>
      <c r="CG12" s="236">
        <f>'[1]Primary and Summary'!$D$120</f>
        <v>1</v>
      </c>
      <c r="CH12" s="236">
        <f>'[1]Primary and Summary'!$D$120</f>
        <v>1</v>
      </c>
      <c r="CI12" s="236">
        <f>'[1]Primary and Summary'!$D$120</f>
        <v>1</v>
      </c>
      <c r="CJ12" s="236">
        <f>'[1]Primary and Summary'!$D$120</f>
        <v>1</v>
      </c>
      <c r="CK12" s="236">
        <f>'[1]Primary and Summary'!$D$120</f>
        <v>1</v>
      </c>
      <c r="CL12" s="236">
        <f>'[1]Primary and Summary'!$D$120</f>
        <v>1</v>
      </c>
      <c r="CM12" s="236">
        <f>'[1]Primary and Summary'!$D$105</f>
        <v>0.11529999999999996</v>
      </c>
      <c r="CN12" s="236">
        <f>'[1]Primary and Summary'!$D$105</f>
        <v>0.11529999999999996</v>
      </c>
      <c r="CO12" s="236">
        <v>1</v>
      </c>
      <c r="CP12" s="234"/>
      <c r="CR12" s="233">
        <f t="shared" ref="CR12:CR22" si="59">BU12*AX12</f>
        <v>0</v>
      </c>
      <c r="CS12" s="233">
        <f t="shared" si="29"/>
        <v>0</v>
      </c>
      <c r="CT12" s="233">
        <f t="shared" si="29"/>
        <v>0</v>
      </c>
      <c r="CU12" s="233">
        <f t="shared" si="29"/>
        <v>0</v>
      </c>
      <c r="CV12" s="233">
        <f t="shared" si="29"/>
        <v>0</v>
      </c>
      <c r="CW12" s="233">
        <f t="shared" si="29"/>
        <v>0</v>
      </c>
      <c r="CX12" s="233">
        <f t="shared" si="29"/>
        <v>0</v>
      </c>
      <c r="CY12" s="233">
        <f t="shared" si="29"/>
        <v>0</v>
      </c>
      <c r="CZ12" s="233">
        <f t="shared" si="29"/>
        <v>0</v>
      </c>
      <c r="DA12" s="233">
        <f t="shared" si="29"/>
        <v>0</v>
      </c>
      <c r="DB12" s="233">
        <f t="shared" si="29"/>
        <v>0</v>
      </c>
      <c r="DC12" s="233">
        <f t="shared" si="29"/>
        <v>0</v>
      </c>
      <c r="DD12" s="233">
        <f t="shared" si="29"/>
        <v>0</v>
      </c>
      <c r="DE12" s="233">
        <f t="shared" si="29"/>
        <v>874865.12400000007</v>
      </c>
      <c r="DF12" s="233">
        <f t="shared" si="29"/>
        <v>0</v>
      </c>
      <c r="DG12" s="233">
        <f t="shared" si="29"/>
        <v>58871.987999999998</v>
      </c>
      <c r="DH12" s="233">
        <f t="shared" si="29"/>
        <v>386090.71199999994</v>
      </c>
      <c r="DI12" s="233">
        <f t="shared" si="29"/>
        <v>0</v>
      </c>
      <c r="DJ12" s="233">
        <f t="shared" si="29"/>
        <v>0</v>
      </c>
      <c r="DK12" s="233">
        <f t="shared" si="29"/>
        <v>0</v>
      </c>
      <c r="DL12" s="233">
        <f t="shared" si="29"/>
        <v>49288.175999999999</v>
      </c>
      <c r="DM12" s="234">
        <f t="shared" si="53"/>
        <v>1369116</v>
      </c>
      <c r="DO12" s="237">
        <v>6.7799999999999999E-2</v>
      </c>
      <c r="DP12" s="238">
        <f t="shared" si="30"/>
        <v>0.1</v>
      </c>
      <c r="DQ12" s="237">
        <v>1.4999999999999999E-2</v>
      </c>
      <c r="DR12" s="237">
        <v>1.4999999999999999E-2</v>
      </c>
      <c r="DS12" s="237">
        <v>2.06E-2</v>
      </c>
      <c r="DT12" s="237">
        <v>1.78E-2</v>
      </c>
      <c r="DU12" s="237">
        <v>2.2700000000000001E-2</v>
      </c>
      <c r="DV12" s="237">
        <v>2.1700000000000001E-2</v>
      </c>
      <c r="DW12" s="237">
        <v>4.3299999999999998E-2</v>
      </c>
      <c r="DX12" s="237">
        <v>1.3100000000000001E-2</v>
      </c>
      <c r="DY12" s="195">
        <v>4.7000000000000002E-3</v>
      </c>
      <c r="DZ12" s="237">
        <v>3.09E-2</v>
      </c>
      <c r="EA12" s="237">
        <v>1.8800000000000001E-2</v>
      </c>
      <c r="EB12" s="237">
        <v>1.4999999999999999E-2</v>
      </c>
      <c r="EC12" s="237">
        <v>2.5399999999999999E-2</v>
      </c>
      <c r="ED12" s="237">
        <v>2.3199999999999998E-2</v>
      </c>
      <c r="EE12" s="237">
        <v>2.18E-2</v>
      </c>
      <c r="EF12" s="237">
        <v>2.2700000000000001E-2</v>
      </c>
      <c r="EG12" s="237">
        <v>0.2</v>
      </c>
      <c r="EH12" s="237">
        <v>6.6699999999999995E-2</v>
      </c>
      <c r="EI12" s="237">
        <v>3.0200000000000001E-2</v>
      </c>
      <c r="EL12" s="239">
        <f t="shared" si="31"/>
        <v>0</v>
      </c>
      <c r="EM12" s="239">
        <f t="shared" si="32"/>
        <v>0</v>
      </c>
      <c r="EN12" s="239">
        <f t="shared" si="33"/>
        <v>0</v>
      </c>
      <c r="EO12" s="239">
        <f t="shared" si="34"/>
        <v>0</v>
      </c>
      <c r="EP12" s="239">
        <f t="shared" si="35"/>
        <v>0</v>
      </c>
      <c r="EQ12" s="239">
        <f t="shared" si="54"/>
        <v>0</v>
      </c>
      <c r="ER12" s="239">
        <f t="shared" si="36"/>
        <v>0</v>
      </c>
      <c r="ES12" s="239">
        <f t="shared" si="37"/>
        <v>0</v>
      </c>
      <c r="ET12" s="239">
        <f t="shared" si="38"/>
        <v>0</v>
      </c>
      <c r="EU12" s="239">
        <f t="shared" si="39"/>
        <v>0</v>
      </c>
      <c r="EV12" s="239">
        <f t="shared" si="40"/>
        <v>0</v>
      </c>
      <c r="EW12" s="239">
        <f t="shared" si="41"/>
        <v>0</v>
      </c>
      <c r="EX12" s="239">
        <f t="shared" si="42"/>
        <v>0</v>
      </c>
      <c r="EY12" s="239">
        <f t="shared" si="43"/>
        <v>13122.976860000001</v>
      </c>
      <c r="EZ12" s="239">
        <f t="shared" si="44"/>
        <v>0</v>
      </c>
      <c r="FA12" s="239">
        <f t="shared" si="45"/>
        <v>1365.8301215999998</v>
      </c>
      <c r="FB12" s="239">
        <f t="shared" si="46"/>
        <v>8416.7775215999991</v>
      </c>
      <c r="FC12" s="239">
        <f t="shared" si="47"/>
        <v>0</v>
      </c>
      <c r="FD12" s="239">
        <f t="shared" si="48"/>
        <v>0</v>
      </c>
      <c r="FE12" s="239">
        <f t="shared" si="49"/>
        <v>0</v>
      </c>
      <c r="FF12" s="239">
        <f t="shared" si="50"/>
        <v>1488.5029152</v>
      </c>
      <c r="FG12" s="239">
        <f t="shared" si="55"/>
        <v>24394.087418399999</v>
      </c>
      <c r="FH12" s="239"/>
      <c r="FI12" s="240">
        <v>12.5</v>
      </c>
      <c r="FJ12" s="223">
        <f t="shared" si="56"/>
        <v>25410.5077275</v>
      </c>
      <c r="FK12" s="224">
        <f t="shared" si="57"/>
        <v>1343705.4922724999</v>
      </c>
      <c r="FL12" s="226"/>
      <c r="FN12" s="386" t="s">
        <v>23</v>
      </c>
      <c r="FO12" s="386"/>
      <c r="FP12" s="386"/>
      <c r="FQ12" s="386"/>
      <c r="FR12" s="391">
        <f>FG11</f>
        <v>51889.536987500003</v>
      </c>
      <c r="FS12" s="391">
        <f>FK11</f>
        <v>2597432.1489713541</v>
      </c>
      <c r="FT12" s="391">
        <v>274670.16426411876</v>
      </c>
      <c r="FU12" s="389"/>
      <c r="FV12" s="391">
        <f t="shared" ref="FV12:FV17" si="60">FT12</f>
        <v>274670.16426411876</v>
      </c>
      <c r="FW12" s="389"/>
      <c r="FX12" s="391">
        <f t="shared" si="58"/>
        <v>302137.18069053069</v>
      </c>
    </row>
    <row r="13" spans="1:187" s="225" customFormat="1" outlineLevel="1" x14ac:dyDescent="0.35">
      <c r="B13" s="228" t="s">
        <v>329</v>
      </c>
      <c r="C13" s="225">
        <v>11</v>
      </c>
      <c r="D13" s="229">
        <v>0.26</v>
      </c>
      <c r="E13" s="225" t="s">
        <v>131</v>
      </c>
      <c r="F13" s="158" t="s">
        <v>45</v>
      </c>
      <c r="G13" s="173">
        <v>44470</v>
      </c>
      <c r="H13" s="170">
        <v>0</v>
      </c>
      <c r="I13" s="171">
        <v>0</v>
      </c>
      <c r="J13" s="171">
        <v>0</v>
      </c>
      <c r="K13" s="171">
        <v>0</v>
      </c>
      <c r="L13" s="172">
        <f t="shared" si="0"/>
        <v>0</v>
      </c>
      <c r="M13" s="170">
        <v>1329500</v>
      </c>
      <c r="N13" s="171">
        <v>246333</v>
      </c>
      <c r="O13" s="171">
        <v>2763</v>
      </c>
      <c r="P13" s="171">
        <v>6695</v>
      </c>
      <c r="Q13" s="172">
        <f>SUM(M13:P13)</f>
        <v>1585291</v>
      </c>
      <c r="R13" s="170">
        <f t="shared" si="2"/>
        <v>1329500</v>
      </c>
      <c r="S13" s="171">
        <v>327451</v>
      </c>
      <c r="T13" s="171">
        <v>2813</v>
      </c>
      <c r="U13" s="171">
        <v>6811</v>
      </c>
      <c r="V13" s="174"/>
      <c r="W13" s="172">
        <f t="shared" si="6"/>
        <v>1666575</v>
      </c>
      <c r="X13" s="241">
        <v>44470</v>
      </c>
      <c r="Y13" s="230">
        <v>800000</v>
      </c>
      <c r="AA13" s="229"/>
      <c r="AB13" s="229"/>
      <c r="AC13" s="229"/>
      <c r="AD13" s="229"/>
      <c r="AE13" s="229"/>
      <c r="AF13" s="229"/>
      <c r="AG13" s="229"/>
      <c r="AH13" s="229"/>
      <c r="AI13" s="229"/>
      <c r="AJ13" s="231"/>
      <c r="AK13" s="231"/>
      <c r="AL13" s="229"/>
      <c r="AM13" s="229"/>
      <c r="AN13" s="229">
        <v>0.63900000000000001</v>
      </c>
      <c r="AO13" s="231"/>
      <c r="AP13" s="231">
        <v>4.2999999999999997E-2</v>
      </c>
      <c r="AQ13" s="231">
        <v>0.28199999999999997</v>
      </c>
      <c r="AR13" s="229"/>
      <c r="AS13" s="229"/>
      <c r="AT13" s="229"/>
      <c r="AU13" s="229">
        <v>3.5999999999999997E-2</v>
      </c>
      <c r="AV13" s="232">
        <f t="shared" si="51"/>
        <v>1</v>
      </c>
      <c r="AX13" s="233">
        <f t="shared" si="7"/>
        <v>0</v>
      </c>
      <c r="AY13" s="233">
        <f t="shared" si="8"/>
        <v>0</v>
      </c>
      <c r="AZ13" s="233">
        <f t="shared" si="9"/>
        <v>0</v>
      </c>
      <c r="BA13" s="233">
        <f t="shared" si="10"/>
        <v>0</v>
      </c>
      <c r="BB13" s="233">
        <f t="shared" si="11"/>
        <v>0</v>
      </c>
      <c r="BC13" s="233">
        <f t="shared" si="12"/>
        <v>0</v>
      </c>
      <c r="BD13" s="233">
        <f t="shared" si="13"/>
        <v>0</v>
      </c>
      <c r="BE13" s="233">
        <f t="shared" si="14"/>
        <v>0</v>
      </c>
      <c r="BF13" s="233">
        <f t="shared" si="15"/>
        <v>0</v>
      </c>
      <c r="BG13" s="233">
        <f t="shared" si="16"/>
        <v>0</v>
      </c>
      <c r="BH13" s="233">
        <f t="shared" si="17"/>
        <v>0</v>
      </c>
      <c r="BI13" s="233">
        <f t="shared" si="18"/>
        <v>0</v>
      </c>
      <c r="BJ13" s="233">
        <f t="shared" si="19"/>
        <v>0</v>
      </c>
      <c r="BK13" s="233">
        <f t="shared" si="20"/>
        <v>1064941.425</v>
      </c>
      <c r="BL13" s="233">
        <f t="shared" si="21"/>
        <v>0</v>
      </c>
      <c r="BM13" s="233">
        <f t="shared" si="22"/>
        <v>71662.724999999991</v>
      </c>
      <c r="BN13" s="233">
        <f t="shared" si="23"/>
        <v>469974.14999999997</v>
      </c>
      <c r="BO13" s="233">
        <f t="shared" si="24"/>
        <v>0</v>
      </c>
      <c r="BP13" s="233">
        <f t="shared" si="25"/>
        <v>0</v>
      </c>
      <c r="BQ13" s="233">
        <f t="shared" si="26"/>
        <v>0</v>
      </c>
      <c r="BR13" s="233">
        <f t="shared" si="27"/>
        <v>59996.7</v>
      </c>
      <c r="BS13" s="234">
        <f t="shared" si="52"/>
        <v>1666575</v>
      </c>
      <c r="BT13" s="235">
        <f t="shared" si="28"/>
        <v>0</v>
      </c>
      <c r="BU13" s="236">
        <f>'[1]Primary and Summary'!$D$105</f>
        <v>0.11529999999999996</v>
      </c>
      <c r="BV13" s="236">
        <f>'[1]Primary and Summary'!$D$105</f>
        <v>0.11529999999999996</v>
      </c>
      <c r="BW13" s="236">
        <f>'[1]Primary and Summary'!$D$111</f>
        <v>0.10809999999999997</v>
      </c>
      <c r="BX13" s="236">
        <f>'[1]Primary and Summary'!$D$111</f>
        <v>0.10809999999999997</v>
      </c>
      <c r="BY13" s="236">
        <f>'[1]Primary and Summary'!$D$111</f>
        <v>0.10809999999999997</v>
      </c>
      <c r="BZ13" s="236">
        <f>'[1]Primary and Summary'!$D$111</f>
        <v>0.10809999999999997</v>
      </c>
      <c r="CA13" s="236">
        <f>'[1]Primary and Summary'!$D$111</f>
        <v>0.10809999999999997</v>
      </c>
      <c r="CB13" s="236">
        <f>'[1]Primary and Summary'!$D$111</f>
        <v>0.10809999999999997</v>
      </c>
      <c r="CC13" s="236">
        <f>'[1]Primary and Summary'!$D$111</f>
        <v>0.10809999999999997</v>
      </c>
      <c r="CD13" s="236">
        <f>'[1]Primary and Summary'!$D$111</f>
        <v>0.10809999999999997</v>
      </c>
      <c r="CE13" s="236">
        <f>'[1]Primary and Summary'!$D$111</f>
        <v>0.10809999999999997</v>
      </c>
      <c r="CF13" s="236">
        <f>'[1]Primary and Summary'!$D$111</f>
        <v>0.10809999999999997</v>
      </c>
      <c r="CG13" s="236">
        <f>'[1]Primary and Summary'!$D$120</f>
        <v>1</v>
      </c>
      <c r="CH13" s="236">
        <f>'[1]Primary and Summary'!$D$120</f>
        <v>1</v>
      </c>
      <c r="CI13" s="236">
        <f>'[1]Primary and Summary'!$D$120</f>
        <v>1</v>
      </c>
      <c r="CJ13" s="236">
        <f>'[1]Primary and Summary'!$D$120</f>
        <v>1</v>
      </c>
      <c r="CK13" s="236">
        <f>'[1]Primary and Summary'!$D$120</f>
        <v>1</v>
      </c>
      <c r="CL13" s="236">
        <f>'[1]Primary and Summary'!$D$120</f>
        <v>1</v>
      </c>
      <c r="CM13" s="236">
        <f>'[1]Primary and Summary'!$D$105</f>
        <v>0.11529999999999996</v>
      </c>
      <c r="CN13" s="236">
        <f>'[1]Primary and Summary'!$D$105</f>
        <v>0.11529999999999996</v>
      </c>
      <c r="CO13" s="236">
        <v>1</v>
      </c>
      <c r="CP13" s="234"/>
      <c r="CR13" s="233">
        <f t="shared" si="59"/>
        <v>0</v>
      </c>
      <c r="CS13" s="233">
        <f t="shared" si="29"/>
        <v>0</v>
      </c>
      <c r="CT13" s="233">
        <f t="shared" si="29"/>
        <v>0</v>
      </c>
      <c r="CU13" s="233">
        <f t="shared" si="29"/>
        <v>0</v>
      </c>
      <c r="CV13" s="233">
        <f t="shared" si="29"/>
        <v>0</v>
      </c>
      <c r="CW13" s="233">
        <f t="shared" si="29"/>
        <v>0</v>
      </c>
      <c r="CX13" s="233">
        <f t="shared" si="29"/>
        <v>0</v>
      </c>
      <c r="CY13" s="233">
        <f t="shared" si="29"/>
        <v>0</v>
      </c>
      <c r="CZ13" s="233">
        <f t="shared" si="29"/>
        <v>0</v>
      </c>
      <c r="DA13" s="233">
        <f t="shared" si="29"/>
        <v>0</v>
      </c>
      <c r="DB13" s="233">
        <f t="shared" si="29"/>
        <v>0</v>
      </c>
      <c r="DC13" s="233">
        <f t="shared" si="29"/>
        <v>0</v>
      </c>
      <c r="DD13" s="233">
        <f t="shared" si="29"/>
        <v>0</v>
      </c>
      <c r="DE13" s="233">
        <f t="shared" si="29"/>
        <v>1064941.425</v>
      </c>
      <c r="DF13" s="233">
        <f t="shared" si="29"/>
        <v>0</v>
      </c>
      <c r="DG13" s="233">
        <f t="shared" si="29"/>
        <v>71662.724999999991</v>
      </c>
      <c r="DH13" s="233">
        <f t="shared" si="29"/>
        <v>469974.14999999997</v>
      </c>
      <c r="DI13" s="233">
        <f t="shared" si="29"/>
        <v>0</v>
      </c>
      <c r="DJ13" s="233">
        <f t="shared" si="29"/>
        <v>0</v>
      </c>
      <c r="DK13" s="233">
        <f t="shared" si="29"/>
        <v>0</v>
      </c>
      <c r="DL13" s="233">
        <f t="shared" si="29"/>
        <v>59996.7</v>
      </c>
      <c r="DM13" s="234">
        <f t="shared" si="53"/>
        <v>1666575</v>
      </c>
      <c r="DO13" s="237">
        <v>6.7799999999999999E-2</v>
      </c>
      <c r="DP13" s="238">
        <f t="shared" si="30"/>
        <v>0.1</v>
      </c>
      <c r="DQ13" s="237">
        <v>1.4999999999999999E-2</v>
      </c>
      <c r="DR13" s="237">
        <v>1.4999999999999999E-2</v>
      </c>
      <c r="DS13" s="237">
        <v>2.06E-2</v>
      </c>
      <c r="DT13" s="237">
        <v>1.78E-2</v>
      </c>
      <c r="DU13" s="237">
        <v>2.2700000000000001E-2</v>
      </c>
      <c r="DV13" s="237">
        <v>2.1700000000000001E-2</v>
      </c>
      <c r="DW13" s="237">
        <v>4.3299999999999998E-2</v>
      </c>
      <c r="DX13" s="237">
        <v>1.3100000000000001E-2</v>
      </c>
      <c r="DY13" s="195">
        <v>4.7000000000000002E-3</v>
      </c>
      <c r="DZ13" s="237">
        <v>3.09E-2</v>
      </c>
      <c r="EA13" s="237">
        <v>1.8800000000000001E-2</v>
      </c>
      <c r="EB13" s="237">
        <v>1.4999999999999999E-2</v>
      </c>
      <c r="EC13" s="237">
        <v>2.5399999999999999E-2</v>
      </c>
      <c r="ED13" s="237">
        <v>2.3199999999999998E-2</v>
      </c>
      <c r="EE13" s="237">
        <v>2.18E-2</v>
      </c>
      <c r="EF13" s="237">
        <v>2.2700000000000001E-2</v>
      </c>
      <c r="EG13" s="237">
        <v>0.2</v>
      </c>
      <c r="EH13" s="237">
        <v>6.6699999999999995E-2</v>
      </c>
      <c r="EI13" s="237">
        <v>3.0200000000000001E-2</v>
      </c>
      <c r="EL13" s="239">
        <f t="shared" si="31"/>
        <v>0</v>
      </c>
      <c r="EM13" s="239">
        <f t="shared" si="32"/>
        <v>0</v>
      </c>
      <c r="EN13" s="239">
        <f t="shared" si="33"/>
        <v>0</v>
      </c>
      <c r="EO13" s="239">
        <f t="shared" si="34"/>
        <v>0</v>
      </c>
      <c r="EP13" s="239">
        <f t="shared" si="35"/>
        <v>0</v>
      </c>
      <c r="EQ13" s="239">
        <f t="shared" si="54"/>
        <v>0</v>
      </c>
      <c r="ER13" s="239">
        <f t="shared" si="36"/>
        <v>0</v>
      </c>
      <c r="ES13" s="239">
        <f t="shared" si="37"/>
        <v>0</v>
      </c>
      <c r="ET13" s="239">
        <f t="shared" si="38"/>
        <v>0</v>
      </c>
      <c r="EU13" s="239">
        <f t="shared" si="39"/>
        <v>0</v>
      </c>
      <c r="EV13" s="239">
        <f t="shared" si="40"/>
        <v>0</v>
      </c>
      <c r="EW13" s="239">
        <f t="shared" si="41"/>
        <v>0</v>
      </c>
      <c r="EX13" s="239">
        <f t="shared" si="42"/>
        <v>0</v>
      </c>
      <c r="EY13" s="239">
        <f t="shared" si="43"/>
        <v>15974.121375000001</v>
      </c>
      <c r="EZ13" s="239">
        <f t="shared" si="44"/>
        <v>0</v>
      </c>
      <c r="FA13" s="239">
        <f t="shared" si="45"/>
        <v>1662.5752199999997</v>
      </c>
      <c r="FB13" s="239">
        <f t="shared" si="46"/>
        <v>10245.436469999999</v>
      </c>
      <c r="FC13" s="239">
        <f t="shared" si="47"/>
        <v>0</v>
      </c>
      <c r="FD13" s="239">
        <f t="shared" si="48"/>
        <v>0</v>
      </c>
      <c r="FE13" s="239">
        <f t="shared" si="49"/>
        <v>0</v>
      </c>
      <c r="FF13" s="239">
        <f t="shared" si="50"/>
        <v>1811.9003399999999</v>
      </c>
      <c r="FG13" s="239">
        <f t="shared" si="55"/>
        <v>29694.033405000002</v>
      </c>
      <c r="FH13" s="239"/>
      <c r="FI13" s="240">
        <v>12.5</v>
      </c>
      <c r="FJ13" s="223">
        <f t="shared" si="56"/>
        <v>30931.284796875003</v>
      </c>
      <c r="FK13" s="224">
        <f t="shared" si="57"/>
        <v>1635643.715203125</v>
      </c>
      <c r="FL13" s="226"/>
      <c r="FN13" s="386" t="s">
        <v>44</v>
      </c>
      <c r="FO13" s="386"/>
      <c r="FP13" s="386"/>
      <c r="FQ13" s="386"/>
      <c r="FR13" s="391">
        <f>FG12</f>
        <v>24394.087418399999</v>
      </c>
      <c r="FS13" s="391">
        <f>FK12</f>
        <v>1343705.4922724999</v>
      </c>
      <c r="FT13" s="391">
        <v>139535.97807366448</v>
      </c>
      <c r="FU13" s="389"/>
      <c r="FV13" s="391">
        <f t="shared" si="60"/>
        <v>139535.97807366448</v>
      </c>
      <c r="FW13" s="389"/>
      <c r="FX13" s="391">
        <f t="shared" si="58"/>
        <v>153489.57588103093</v>
      </c>
    </row>
    <row r="14" spans="1:187" outlineLevel="1" x14ac:dyDescent="0.35">
      <c r="B14" s="2" t="s">
        <v>330</v>
      </c>
      <c r="C14" s="61">
        <v>18</v>
      </c>
      <c r="D14" s="63">
        <v>0.01</v>
      </c>
      <c r="E14" s="61">
        <v>201663</v>
      </c>
      <c r="F14" s="158" t="s">
        <v>7</v>
      </c>
      <c r="G14" s="173">
        <v>44105</v>
      </c>
      <c r="H14" s="170">
        <f>IFERROR(VLOOKUP($E14,'Actuals (BI Report)'!$A$2:$H$35,4,FALSE),"")</f>
        <v>23970423.140000004</v>
      </c>
      <c r="I14" s="171">
        <f>IFERROR(VLOOKUP($E14,'Actuals (BI Report)'!$A$2:$H$35,7,FALSE),"")</f>
        <v>204483.74</v>
      </c>
      <c r="J14" s="171">
        <f>IFERROR(VLOOKUP($E14,'Actuals (BI Report)'!$A$2:$H$35,5,FALSE),"")</f>
        <v>345813.47</v>
      </c>
      <c r="K14" s="171">
        <f>IFERROR(VLOOKUP($E14,'Actuals (BI Report)'!$A$2:$H$35,6,FALSE),"")</f>
        <v>0</v>
      </c>
      <c r="L14" s="172">
        <f>SUM(H14:K14)</f>
        <v>24520720.350000001</v>
      </c>
      <c r="M14" s="170">
        <v>3369909</v>
      </c>
      <c r="N14" s="171">
        <v>33699</v>
      </c>
      <c r="O14" s="171">
        <v>32106</v>
      </c>
      <c r="P14" s="171">
        <v>61624</v>
      </c>
      <c r="Q14" s="172">
        <f t="shared" si="1"/>
        <v>3497338</v>
      </c>
      <c r="R14" s="170">
        <f t="shared" si="2"/>
        <v>27340332.140000004</v>
      </c>
      <c r="S14" s="171">
        <f t="shared" si="3"/>
        <v>238182.74</v>
      </c>
      <c r="T14" s="171">
        <f t="shared" si="4"/>
        <v>377919.47</v>
      </c>
      <c r="U14" s="171">
        <f t="shared" si="5"/>
        <v>61624</v>
      </c>
      <c r="V14" s="175"/>
      <c r="W14" s="172">
        <f t="shared" si="6"/>
        <v>28018058.350000001</v>
      </c>
      <c r="X14" s="19">
        <v>44105</v>
      </c>
      <c r="Y14" s="20">
        <v>3400000</v>
      </c>
      <c r="AA14" s="50"/>
      <c r="AB14" s="50"/>
      <c r="AC14" s="50">
        <v>0.09</v>
      </c>
      <c r="AD14" s="50">
        <v>0.23</v>
      </c>
      <c r="AE14" s="50"/>
      <c r="AF14" s="50">
        <v>0.23</v>
      </c>
      <c r="AG14" s="50">
        <v>0.45</v>
      </c>
      <c r="AH14" s="50"/>
      <c r="AI14" s="14"/>
      <c r="AJ14" s="14"/>
      <c r="AK14" s="14"/>
      <c r="AL14" s="14"/>
      <c r="AM14" s="14"/>
      <c r="AN14" s="14"/>
      <c r="AO14" s="50"/>
      <c r="AP14" s="50"/>
      <c r="AQ14" s="50"/>
      <c r="AR14" s="14"/>
      <c r="AS14" s="14"/>
      <c r="AT14" s="14"/>
      <c r="AU14" s="14"/>
      <c r="AV14" s="45">
        <f t="shared" si="51"/>
        <v>1</v>
      </c>
      <c r="AX14" s="38">
        <f t="shared" si="7"/>
        <v>0</v>
      </c>
      <c r="AY14" s="38">
        <f t="shared" si="8"/>
        <v>0</v>
      </c>
      <c r="AZ14" s="38">
        <f t="shared" si="9"/>
        <v>2521625.2515000002</v>
      </c>
      <c r="BA14" s="38">
        <f t="shared" si="10"/>
        <v>6444153.4205000009</v>
      </c>
      <c r="BB14" s="38">
        <f t="shared" si="11"/>
        <v>0</v>
      </c>
      <c r="BC14" s="38">
        <f t="shared" si="12"/>
        <v>6444153.4205000009</v>
      </c>
      <c r="BD14" s="38">
        <f t="shared" si="13"/>
        <v>12608126.2575</v>
      </c>
      <c r="BE14" s="38">
        <f t="shared" si="14"/>
        <v>0</v>
      </c>
      <c r="BF14" s="38">
        <f t="shared" si="15"/>
        <v>0</v>
      </c>
      <c r="BG14" s="38">
        <f t="shared" si="16"/>
        <v>0</v>
      </c>
      <c r="BH14" s="38">
        <f t="shared" si="17"/>
        <v>0</v>
      </c>
      <c r="BI14" s="38">
        <f t="shared" si="18"/>
        <v>0</v>
      </c>
      <c r="BJ14" s="38">
        <f t="shared" si="19"/>
        <v>0</v>
      </c>
      <c r="BK14" s="38">
        <f t="shared" si="20"/>
        <v>0</v>
      </c>
      <c r="BL14" s="38">
        <f t="shared" si="21"/>
        <v>0</v>
      </c>
      <c r="BM14" s="38">
        <f t="shared" si="22"/>
        <v>0</v>
      </c>
      <c r="BN14" s="38">
        <f t="shared" si="23"/>
        <v>0</v>
      </c>
      <c r="BO14" s="38">
        <f t="shared" si="24"/>
        <v>0</v>
      </c>
      <c r="BP14" s="38">
        <f t="shared" si="25"/>
        <v>0</v>
      </c>
      <c r="BQ14" s="38">
        <f t="shared" si="26"/>
        <v>0</v>
      </c>
      <c r="BR14" s="38">
        <f t="shared" si="27"/>
        <v>0</v>
      </c>
      <c r="BS14" s="39">
        <f t="shared" si="52"/>
        <v>28018058.350000001</v>
      </c>
      <c r="BT14" s="48">
        <f t="shared" si="28"/>
        <v>0</v>
      </c>
      <c r="BU14" s="193">
        <f>'[1]Primary and Summary'!$D$105</f>
        <v>0.11529999999999996</v>
      </c>
      <c r="BV14" s="193">
        <f>'[1]Primary and Summary'!$D$105</f>
        <v>0.11529999999999996</v>
      </c>
      <c r="BW14" s="193">
        <f>'[1]Primary and Summary'!$D$111</f>
        <v>0.10809999999999997</v>
      </c>
      <c r="BX14" s="193">
        <f>'[1]Primary and Summary'!$D$111</f>
        <v>0.10809999999999997</v>
      </c>
      <c r="BY14" s="193">
        <f>'[1]Primary and Summary'!$D$111</f>
        <v>0.10809999999999997</v>
      </c>
      <c r="BZ14" s="193">
        <f>'[1]Primary and Summary'!$D$111</f>
        <v>0.10809999999999997</v>
      </c>
      <c r="CA14" s="193">
        <f>'[1]Primary and Summary'!$D$111</f>
        <v>0.10809999999999997</v>
      </c>
      <c r="CB14" s="193">
        <f>'[1]Primary and Summary'!$D$111</f>
        <v>0.10809999999999997</v>
      </c>
      <c r="CC14" s="193">
        <f>'[1]Primary and Summary'!$D$111</f>
        <v>0.10809999999999997</v>
      </c>
      <c r="CD14" s="193">
        <f>'[1]Primary and Summary'!$D$111</f>
        <v>0.10809999999999997</v>
      </c>
      <c r="CE14" s="193">
        <f>'[1]Primary and Summary'!$D$111</f>
        <v>0.10809999999999997</v>
      </c>
      <c r="CF14" s="193">
        <f>'[1]Primary and Summary'!$D$111</f>
        <v>0.10809999999999997</v>
      </c>
      <c r="CG14" s="193">
        <f>'[1]Primary and Summary'!$D$120</f>
        <v>1</v>
      </c>
      <c r="CH14" s="193">
        <f>'[1]Primary and Summary'!$D$120</f>
        <v>1</v>
      </c>
      <c r="CI14" s="193">
        <f>'[1]Primary and Summary'!$D$120</f>
        <v>1</v>
      </c>
      <c r="CJ14" s="193">
        <f>'[1]Primary and Summary'!$D$120</f>
        <v>1</v>
      </c>
      <c r="CK14" s="193">
        <f>'[1]Primary and Summary'!$D$120</f>
        <v>1</v>
      </c>
      <c r="CL14" s="193">
        <f>'[1]Primary and Summary'!$D$120</f>
        <v>1</v>
      </c>
      <c r="CM14" s="193">
        <f>'[1]Primary and Summary'!$D$105</f>
        <v>0.11529999999999996</v>
      </c>
      <c r="CN14" s="193">
        <f>'[1]Primary and Summary'!$D$105</f>
        <v>0.11529999999999996</v>
      </c>
      <c r="CO14" s="193">
        <v>1</v>
      </c>
      <c r="CP14" s="39"/>
      <c r="CR14" s="38">
        <f t="shared" si="59"/>
        <v>0</v>
      </c>
      <c r="CS14" s="38">
        <f t="shared" si="29"/>
        <v>0</v>
      </c>
      <c r="CT14" s="38">
        <f t="shared" si="29"/>
        <v>272587.68968714995</v>
      </c>
      <c r="CU14" s="38">
        <f t="shared" si="29"/>
        <v>696612.98475604993</v>
      </c>
      <c r="CV14" s="38">
        <f t="shared" si="29"/>
        <v>0</v>
      </c>
      <c r="CW14" s="38">
        <f t="shared" si="29"/>
        <v>696612.98475604993</v>
      </c>
      <c r="CX14" s="38">
        <f t="shared" si="29"/>
        <v>1362938.4484357496</v>
      </c>
      <c r="CY14" s="38">
        <f t="shared" si="29"/>
        <v>0</v>
      </c>
      <c r="CZ14" s="38">
        <f t="shared" si="29"/>
        <v>0</v>
      </c>
      <c r="DA14" s="38">
        <f t="shared" si="29"/>
        <v>0</v>
      </c>
      <c r="DB14" s="38">
        <f t="shared" si="29"/>
        <v>0</v>
      </c>
      <c r="DC14" s="38">
        <f t="shared" si="29"/>
        <v>0</v>
      </c>
      <c r="DD14" s="38">
        <f t="shared" si="29"/>
        <v>0</v>
      </c>
      <c r="DE14" s="38">
        <f t="shared" si="29"/>
        <v>0</v>
      </c>
      <c r="DF14" s="38">
        <f t="shared" si="29"/>
        <v>0</v>
      </c>
      <c r="DG14" s="38">
        <f t="shared" si="29"/>
        <v>0</v>
      </c>
      <c r="DH14" s="38">
        <f t="shared" si="29"/>
        <v>0</v>
      </c>
      <c r="DI14" s="38">
        <f t="shared" si="29"/>
        <v>0</v>
      </c>
      <c r="DJ14" s="38">
        <f t="shared" si="29"/>
        <v>0</v>
      </c>
      <c r="DK14" s="38">
        <f t="shared" si="29"/>
        <v>0</v>
      </c>
      <c r="DL14" s="38">
        <f t="shared" si="29"/>
        <v>0</v>
      </c>
      <c r="DM14" s="83">
        <f t="shared" si="53"/>
        <v>3028752.1076349998</v>
      </c>
      <c r="DO14" s="195">
        <v>6.7799999999999999E-2</v>
      </c>
      <c r="DP14" s="194">
        <f t="shared" si="30"/>
        <v>0.1</v>
      </c>
      <c r="DQ14" s="195">
        <v>1.4999999999999999E-2</v>
      </c>
      <c r="DR14" s="195">
        <v>1.4999999999999999E-2</v>
      </c>
      <c r="DS14" s="195">
        <v>2.06E-2</v>
      </c>
      <c r="DT14" s="195">
        <v>1.78E-2</v>
      </c>
      <c r="DU14" s="195">
        <v>2.2700000000000001E-2</v>
      </c>
      <c r="DV14" s="195">
        <v>2.1700000000000001E-2</v>
      </c>
      <c r="DW14" s="195">
        <v>4.3299999999999998E-2</v>
      </c>
      <c r="DX14" s="195">
        <v>1.3100000000000001E-2</v>
      </c>
      <c r="DY14" s="195">
        <v>4.7000000000000002E-3</v>
      </c>
      <c r="DZ14" s="195">
        <v>3.09E-2</v>
      </c>
      <c r="EA14" s="195">
        <v>1.8800000000000001E-2</v>
      </c>
      <c r="EB14" s="195">
        <v>1.4999999999999999E-2</v>
      </c>
      <c r="EC14" s="195">
        <v>2.5399999999999999E-2</v>
      </c>
      <c r="ED14" s="195">
        <v>2.3199999999999998E-2</v>
      </c>
      <c r="EE14" s="195">
        <v>2.18E-2</v>
      </c>
      <c r="EF14" s="195">
        <v>2.2700000000000001E-2</v>
      </c>
      <c r="EG14" s="195">
        <v>0.2</v>
      </c>
      <c r="EH14" s="195">
        <v>6.6699999999999995E-2</v>
      </c>
      <c r="EI14" s="195">
        <v>3.0200000000000001E-2</v>
      </c>
      <c r="EL14" s="107">
        <f t="shared" si="31"/>
        <v>0</v>
      </c>
      <c r="EM14" s="107">
        <f t="shared" si="32"/>
        <v>0</v>
      </c>
      <c r="EN14" s="107">
        <f t="shared" si="33"/>
        <v>4088.8153453072491</v>
      </c>
      <c r="EO14" s="107">
        <f t="shared" si="34"/>
        <v>10449.194771340748</v>
      </c>
      <c r="EP14" s="107">
        <f t="shared" si="35"/>
        <v>0</v>
      </c>
      <c r="EQ14" s="107">
        <f t="shared" si="54"/>
        <v>12399.711128657689</v>
      </c>
      <c r="ER14" s="107">
        <f t="shared" si="36"/>
        <v>30938.702779491519</v>
      </c>
      <c r="ES14" s="107">
        <f t="shared" si="37"/>
        <v>0</v>
      </c>
      <c r="ET14" s="107">
        <f t="shared" si="38"/>
        <v>0</v>
      </c>
      <c r="EU14" s="107">
        <f t="shared" si="39"/>
        <v>0</v>
      </c>
      <c r="EV14" s="107">
        <f t="shared" si="40"/>
        <v>0</v>
      </c>
      <c r="EW14" s="107">
        <f t="shared" si="41"/>
        <v>0</v>
      </c>
      <c r="EX14" s="107">
        <f t="shared" si="42"/>
        <v>0</v>
      </c>
      <c r="EY14" s="107">
        <f t="shared" si="43"/>
        <v>0</v>
      </c>
      <c r="EZ14" s="107">
        <f t="shared" si="44"/>
        <v>0</v>
      </c>
      <c r="FA14" s="107">
        <f t="shared" si="45"/>
        <v>0</v>
      </c>
      <c r="FB14" s="107">
        <f t="shared" si="46"/>
        <v>0</v>
      </c>
      <c r="FC14" s="107">
        <f t="shared" si="47"/>
        <v>0</v>
      </c>
      <c r="FD14" s="107">
        <f t="shared" si="48"/>
        <v>0</v>
      </c>
      <c r="FE14" s="107">
        <f t="shared" si="49"/>
        <v>0</v>
      </c>
      <c r="FF14" s="107">
        <f t="shared" si="50"/>
        <v>0</v>
      </c>
      <c r="FG14" s="107">
        <f t="shared" si="55"/>
        <v>57876.424024797205</v>
      </c>
      <c r="FH14" s="107"/>
      <c r="FI14" s="213">
        <v>12.5</v>
      </c>
      <c r="FJ14" s="223">
        <f t="shared" si="56"/>
        <v>60287.941692497086</v>
      </c>
      <c r="FK14" s="224">
        <f t="shared" si="57"/>
        <v>2968464.1659425027</v>
      </c>
      <c r="FL14" s="226"/>
      <c r="FM14" s="225"/>
      <c r="FN14" s="386" t="s">
        <v>45</v>
      </c>
      <c r="FO14" s="386"/>
      <c r="FP14" s="386"/>
      <c r="FQ14" s="386"/>
      <c r="FR14" s="391">
        <f>FG13</f>
        <v>29694.033405000002</v>
      </c>
      <c r="FS14" s="391">
        <f>FK13</f>
        <v>1635643.715203125</v>
      </c>
      <c r="FT14" s="391">
        <v>169852.62405699398</v>
      </c>
      <c r="FU14" s="389"/>
      <c r="FV14" s="391">
        <f t="shared" si="60"/>
        <v>169852.62405699398</v>
      </c>
      <c r="FW14" s="389"/>
      <c r="FX14" s="391">
        <f t="shared" si="58"/>
        <v>186837.88646269339</v>
      </c>
    </row>
    <row r="15" spans="1:187" outlineLevel="1" x14ac:dyDescent="0.35">
      <c r="B15" s="2" t="s">
        <v>330</v>
      </c>
      <c r="C15" s="61">
        <v>18</v>
      </c>
      <c r="D15" s="63">
        <v>0.26</v>
      </c>
      <c r="E15" s="61">
        <v>202068</v>
      </c>
      <c r="F15" s="158" t="s">
        <v>8</v>
      </c>
      <c r="G15" s="173">
        <v>44105</v>
      </c>
      <c r="H15" s="170">
        <f>IFERROR(VLOOKUP($E15,'Actuals (BI Report)'!$A$2:$H$35,4,FALSE),"")</f>
        <v>750127.1100000001</v>
      </c>
      <c r="I15" s="171">
        <f>IFERROR(VLOOKUP($E15,'Actuals (BI Report)'!$A$2:$H$35,7,FALSE),"")</f>
        <v>96975.34</v>
      </c>
      <c r="J15" s="171">
        <f>IFERROR(VLOOKUP($E15,'Actuals (BI Report)'!$A$2:$H$35,5,FALSE),"")</f>
        <v>5215.82</v>
      </c>
      <c r="K15" s="171">
        <f>IFERROR(VLOOKUP($E15,'Actuals (BI Report)'!$A$2:$H$35,6,FALSE),"")</f>
        <v>0</v>
      </c>
      <c r="L15" s="172">
        <f t="shared" si="0"/>
        <v>852318.27</v>
      </c>
      <c r="M15" s="170">
        <v>148110</v>
      </c>
      <c r="N15" s="171">
        <v>25607</v>
      </c>
      <c r="O15" s="171">
        <v>1080</v>
      </c>
      <c r="P15" s="171">
        <v>2072</v>
      </c>
      <c r="Q15" s="172">
        <f t="shared" si="1"/>
        <v>176869</v>
      </c>
      <c r="R15" s="170">
        <f t="shared" si="2"/>
        <v>898237.1100000001</v>
      </c>
      <c r="S15" s="171">
        <f t="shared" si="3"/>
        <v>122582.34</v>
      </c>
      <c r="T15" s="171">
        <f t="shared" si="4"/>
        <v>6295.82</v>
      </c>
      <c r="U15" s="171">
        <f t="shared" si="5"/>
        <v>2072</v>
      </c>
      <c r="V15" s="174"/>
      <c r="W15" s="172">
        <f t="shared" si="6"/>
        <v>1029187.27</v>
      </c>
      <c r="X15" s="19">
        <v>44105</v>
      </c>
      <c r="Y15" s="20">
        <v>32000000</v>
      </c>
      <c r="AA15" s="50"/>
      <c r="AB15" s="50"/>
      <c r="AC15" s="50">
        <v>0.09</v>
      </c>
      <c r="AD15" s="50">
        <v>0.23</v>
      </c>
      <c r="AE15" s="50"/>
      <c r="AF15" s="50">
        <v>0.23</v>
      </c>
      <c r="AG15" s="50">
        <v>0.45</v>
      </c>
      <c r="AH15" s="50"/>
      <c r="AI15" s="14"/>
      <c r="AJ15" s="14"/>
      <c r="AK15" s="14"/>
      <c r="AL15" s="14"/>
      <c r="AM15" s="14"/>
      <c r="AN15" s="14"/>
      <c r="AO15" s="50"/>
      <c r="AP15" s="50"/>
      <c r="AQ15" s="50"/>
      <c r="AR15" s="14"/>
      <c r="AS15" s="14"/>
      <c r="AT15" s="14"/>
      <c r="AU15" s="14"/>
      <c r="AV15" s="45">
        <f t="shared" si="51"/>
        <v>1</v>
      </c>
      <c r="AX15" s="38">
        <f t="shared" si="7"/>
        <v>0</v>
      </c>
      <c r="AY15" s="38">
        <f t="shared" si="8"/>
        <v>0</v>
      </c>
      <c r="AZ15" s="38">
        <f t="shared" si="9"/>
        <v>92626.854299999992</v>
      </c>
      <c r="BA15" s="38">
        <f t="shared" si="10"/>
        <v>236713.07210000002</v>
      </c>
      <c r="BB15" s="38">
        <f t="shared" si="11"/>
        <v>0</v>
      </c>
      <c r="BC15" s="38">
        <f t="shared" si="12"/>
        <v>236713.07210000002</v>
      </c>
      <c r="BD15" s="38">
        <f t="shared" si="13"/>
        <v>463134.27150000003</v>
      </c>
      <c r="BE15" s="38">
        <f t="shared" si="14"/>
        <v>0</v>
      </c>
      <c r="BF15" s="38">
        <f t="shared" si="15"/>
        <v>0</v>
      </c>
      <c r="BG15" s="38">
        <f t="shared" si="16"/>
        <v>0</v>
      </c>
      <c r="BH15" s="38">
        <f t="shared" si="17"/>
        <v>0</v>
      </c>
      <c r="BI15" s="38">
        <f t="shared" si="18"/>
        <v>0</v>
      </c>
      <c r="BJ15" s="38">
        <f t="shared" si="19"/>
        <v>0</v>
      </c>
      <c r="BK15" s="38">
        <f t="shared" si="20"/>
        <v>0</v>
      </c>
      <c r="BL15" s="38">
        <f t="shared" si="21"/>
        <v>0</v>
      </c>
      <c r="BM15" s="38">
        <f t="shared" si="22"/>
        <v>0</v>
      </c>
      <c r="BN15" s="38">
        <f t="shared" si="23"/>
        <v>0</v>
      </c>
      <c r="BO15" s="38">
        <f t="shared" si="24"/>
        <v>0</v>
      </c>
      <c r="BP15" s="38">
        <f t="shared" si="25"/>
        <v>0</v>
      </c>
      <c r="BQ15" s="38">
        <f t="shared" si="26"/>
        <v>0</v>
      </c>
      <c r="BR15" s="38">
        <f t="shared" si="27"/>
        <v>0</v>
      </c>
      <c r="BS15" s="39">
        <f t="shared" si="52"/>
        <v>1029187.27</v>
      </c>
      <c r="BT15" s="48">
        <f t="shared" si="28"/>
        <v>0</v>
      </c>
      <c r="BU15" s="193">
        <f>'[1]Primary and Summary'!$D$105</f>
        <v>0.11529999999999996</v>
      </c>
      <c r="BV15" s="193">
        <f>'[1]Primary and Summary'!$D$105</f>
        <v>0.11529999999999996</v>
      </c>
      <c r="BW15" s="193">
        <f>'[1]Primary and Summary'!$D$111</f>
        <v>0.10809999999999997</v>
      </c>
      <c r="BX15" s="193">
        <f>'[1]Primary and Summary'!$D$111</f>
        <v>0.10809999999999997</v>
      </c>
      <c r="BY15" s="193">
        <f>'[1]Primary and Summary'!$D$111</f>
        <v>0.10809999999999997</v>
      </c>
      <c r="BZ15" s="193">
        <f>'[1]Primary and Summary'!$D$111</f>
        <v>0.10809999999999997</v>
      </c>
      <c r="CA15" s="193">
        <f>'[1]Primary and Summary'!$D$111</f>
        <v>0.10809999999999997</v>
      </c>
      <c r="CB15" s="193">
        <f>'[1]Primary and Summary'!$D$111</f>
        <v>0.10809999999999997</v>
      </c>
      <c r="CC15" s="193">
        <f>'[1]Primary and Summary'!$D$111</f>
        <v>0.10809999999999997</v>
      </c>
      <c r="CD15" s="193">
        <f>'[1]Primary and Summary'!$D$111</f>
        <v>0.10809999999999997</v>
      </c>
      <c r="CE15" s="193">
        <f>'[1]Primary and Summary'!$D$111</f>
        <v>0.10809999999999997</v>
      </c>
      <c r="CF15" s="193">
        <f>'[1]Primary and Summary'!$D$111</f>
        <v>0.10809999999999997</v>
      </c>
      <c r="CG15" s="193">
        <f>'[1]Primary and Summary'!$D$120</f>
        <v>1</v>
      </c>
      <c r="CH15" s="193">
        <f>'[1]Primary and Summary'!$D$120</f>
        <v>1</v>
      </c>
      <c r="CI15" s="193">
        <f>'[1]Primary and Summary'!$D$120</f>
        <v>1</v>
      </c>
      <c r="CJ15" s="193">
        <f>'[1]Primary and Summary'!$D$120</f>
        <v>1</v>
      </c>
      <c r="CK15" s="193">
        <f>'[1]Primary and Summary'!$D$120</f>
        <v>1</v>
      </c>
      <c r="CL15" s="193">
        <f>'[1]Primary and Summary'!$D$120</f>
        <v>1</v>
      </c>
      <c r="CM15" s="193">
        <f>'[1]Primary and Summary'!$D$105</f>
        <v>0.11529999999999996</v>
      </c>
      <c r="CN15" s="193">
        <f>'[1]Primary and Summary'!$D$105</f>
        <v>0.11529999999999996</v>
      </c>
      <c r="CO15" s="193">
        <v>1</v>
      </c>
      <c r="CP15" s="39"/>
      <c r="CR15" s="38">
        <f t="shared" si="59"/>
        <v>0</v>
      </c>
      <c r="CS15" s="38">
        <f t="shared" si="29"/>
        <v>0</v>
      </c>
      <c r="CT15" s="38">
        <f t="shared" si="29"/>
        <v>10012.962949829996</v>
      </c>
      <c r="CU15" s="38">
        <f t="shared" si="29"/>
        <v>25588.683094009997</v>
      </c>
      <c r="CV15" s="38">
        <f t="shared" si="29"/>
        <v>0</v>
      </c>
      <c r="CW15" s="38">
        <f t="shared" si="29"/>
        <v>25588.683094009997</v>
      </c>
      <c r="CX15" s="38">
        <f t="shared" si="29"/>
        <v>50064.814749149991</v>
      </c>
      <c r="CY15" s="38">
        <f t="shared" si="29"/>
        <v>0</v>
      </c>
      <c r="CZ15" s="38">
        <f t="shared" si="29"/>
        <v>0</v>
      </c>
      <c r="DA15" s="38">
        <f t="shared" si="29"/>
        <v>0</v>
      </c>
      <c r="DB15" s="38">
        <f t="shared" si="29"/>
        <v>0</v>
      </c>
      <c r="DC15" s="38">
        <f t="shared" si="29"/>
        <v>0</v>
      </c>
      <c r="DD15" s="38">
        <f t="shared" si="29"/>
        <v>0</v>
      </c>
      <c r="DE15" s="38">
        <f t="shared" si="29"/>
        <v>0</v>
      </c>
      <c r="DF15" s="38">
        <f t="shared" si="29"/>
        <v>0</v>
      </c>
      <c r="DG15" s="38">
        <f t="shared" si="29"/>
        <v>0</v>
      </c>
      <c r="DH15" s="38">
        <f t="shared" si="29"/>
        <v>0</v>
      </c>
      <c r="DI15" s="38">
        <f t="shared" si="29"/>
        <v>0</v>
      </c>
      <c r="DJ15" s="38">
        <f t="shared" si="29"/>
        <v>0</v>
      </c>
      <c r="DK15" s="38">
        <f t="shared" si="29"/>
        <v>0</v>
      </c>
      <c r="DL15" s="38">
        <f t="shared" si="29"/>
        <v>0</v>
      </c>
      <c r="DM15" s="83">
        <f t="shared" si="53"/>
        <v>111255.14388699998</v>
      </c>
      <c r="DO15" s="195">
        <v>6.7799999999999999E-2</v>
      </c>
      <c r="DP15" s="194">
        <f t="shared" si="30"/>
        <v>0.1</v>
      </c>
      <c r="DQ15" s="195">
        <v>1.4999999999999999E-2</v>
      </c>
      <c r="DR15" s="195">
        <v>1.4999999999999999E-2</v>
      </c>
      <c r="DS15" s="195">
        <v>2.06E-2</v>
      </c>
      <c r="DT15" s="195">
        <v>1.78E-2</v>
      </c>
      <c r="DU15" s="195">
        <v>2.2700000000000001E-2</v>
      </c>
      <c r="DV15" s="195">
        <v>2.1700000000000001E-2</v>
      </c>
      <c r="DW15" s="195">
        <v>4.3299999999999998E-2</v>
      </c>
      <c r="DX15" s="195">
        <v>1.3100000000000001E-2</v>
      </c>
      <c r="DY15" s="195">
        <v>4.7000000000000002E-3</v>
      </c>
      <c r="DZ15" s="195">
        <v>3.09E-2</v>
      </c>
      <c r="EA15" s="195">
        <v>1.8800000000000001E-2</v>
      </c>
      <c r="EB15" s="195">
        <v>1.4999999999999999E-2</v>
      </c>
      <c r="EC15" s="195">
        <v>2.5399999999999999E-2</v>
      </c>
      <c r="ED15" s="195">
        <v>2.3199999999999998E-2</v>
      </c>
      <c r="EE15" s="195">
        <v>2.18E-2</v>
      </c>
      <c r="EF15" s="195">
        <v>2.2700000000000001E-2</v>
      </c>
      <c r="EG15" s="195">
        <v>0.2</v>
      </c>
      <c r="EH15" s="195">
        <v>6.6699999999999995E-2</v>
      </c>
      <c r="EI15" s="195">
        <v>3.0200000000000001E-2</v>
      </c>
      <c r="EL15" s="107">
        <f t="shared" si="31"/>
        <v>0</v>
      </c>
      <c r="EM15" s="107">
        <f t="shared" si="32"/>
        <v>0</v>
      </c>
      <c r="EN15" s="107">
        <f t="shared" si="33"/>
        <v>150.19444424744995</v>
      </c>
      <c r="EO15" s="107">
        <f t="shared" si="34"/>
        <v>383.83024641014993</v>
      </c>
      <c r="EP15" s="107">
        <f t="shared" si="35"/>
        <v>0</v>
      </c>
      <c r="EQ15" s="107">
        <f t="shared" si="54"/>
        <v>455.47855907337794</v>
      </c>
      <c r="ER15" s="107">
        <f t="shared" si="36"/>
        <v>1136.4712948057049</v>
      </c>
      <c r="ES15" s="107">
        <f t="shared" si="37"/>
        <v>0</v>
      </c>
      <c r="ET15" s="107">
        <f t="shared" si="38"/>
        <v>0</v>
      </c>
      <c r="EU15" s="107">
        <f t="shared" si="39"/>
        <v>0</v>
      </c>
      <c r="EV15" s="107">
        <f t="shared" si="40"/>
        <v>0</v>
      </c>
      <c r="EW15" s="107">
        <f t="shared" si="41"/>
        <v>0</v>
      </c>
      <c r="EX15" s="107">
        <f t="shared" si="42"/>
        <v>0</v>
      </c>
      <c r="EY15" s="107">
        <f t="shared" si="43"/>
        <v>0</v>
      </c>
      <c r="EZ15" s="107">
        <f t="shared" si="44"/>
        <v>0</v>
      </c>
      <c r="FA15" s="107">
        <f t="shared" si="45"/>
        <v>0</v>
      </c>
      <c r="FB15" s="107">
        <f t="shared" si="46"/>
        <v>0</v>
      </c>
      <c r="FC15" s="107">
        <f t="shared" si="47"/>
        <v>0</v>
      </c>
      <c r="FD15" s="107">
        <f t="shared" si="48"/>
        <v>0</v>
      </c>
      <c r="FE15" s="107">
        <f t="shared" si="49"/>
        <v>0</v>
      </c>
      <c r="FF15" s="107">
        <f t="shared" si="50"/>
        <v>0</v>
      </c>
      <c r="FG15" s="107">
        <f t="shared" si="55"/>
        <v>2125.9745445366825</v>
      </c>
      <c r="FH15" s="107"/>
      <c r="FI15" s="213">
        <v>12.5</v>
      </c>
      <c r="FJ15" s="223">
        <f t="shared" si="56"/>
        <v>2214.5568172257113</v>
      </c>
      <c r="FK15" s="224">
        <f t="shared" si="57"/>
        <v>109040.58706977428</v>
      </c>
      <c r="FL15" s="226"/>
      <c r="FM15" s="225"/>
      <c r="FN15" s="386" t="s">
        <v>11</v>
      </c>
      <c r="FO15" s="386"/>
      <c r="FP15" s="386"/>
      <c r="FQ15" s="386"/>
      <c r="FR15" s="391">
        <f>FG18</f>
        <v>5429.5522124999979</v>
      </c>
      <c r="FS15" s="391">
        <f>FK18</f>
        <v>356314.36394531239</v>
      </c>
      <c r="FT15" s="391">
        <v>35917.723079802934</v>
      </c>
      <c r="FU15" s="389"/>
      <c r="FV15" s="391">
        <f t="shared" si="60"/>
        <v>35917.723079802934</v>
      </c>
      <c r="FW15" s="389"/>
      <c r="FX15" s="391">
        <f t="shared" si="58"/>
        <v>39509.49538778323</v>
      </c>
    </row>
    <row r="16" spans="1:187" s="62" customFormat="1" outlineLevel="1" x14ac:dyDescent="0.35">
      <c r="B16" s="2" t="s">
        <v>330</v>
      </c>
      <c r="C16" s="61">
        <v>18</v>
      </c>
      <c r="D16" s="63">
        <v>0.26</v>
      </c>
      <c r="E16" s="61" t="s">
        <v>131</v>
      </c>
      <c r="F16" s="158" t="s">
        <v>9</v>
      </c>
      <c r="G16" s="173">
        <v>44287</v>
      </c>
      <c r="H16" s="170">
        <v>0</v>
      </c>
      <c r="I16" s="171">
        <v>0</v>
      </c>
      <c r="J16" s="171">
        <v>0</v>
      </c>
      <c r="K16" s="171">
        <v>0</v>
      </c>
      <c r="L16" s="172">
        <f t="shared" si="0"/>
        <v>0</v>
      </c>
      <c r="M16" s="170">
        <v>2017031</v>
      </c>
      <c r="N16" s="171">
        <v>382564</v>
      </c>
      <c r="O16" s="171">
        <v>5218</v>
      </c>
      <c r="P16" s="171">
        <v>11888</v>
      </c>
      <c r="Q16" s="172">
        <f t="shared" si="1"/>
        <v>2416701</v>
      </c>
      <c r="R16" s="170">
        <f t="shared" si="2"/>
        <v>2017031</v>
      </c>
      <c r="S16" s="171">
        <f t="shared" si="3"/>
        <v>382564</v>
      </c>
      <c r="T16" s="171">
        <f t="shared" si="4"/>
        <v>5218</v>
      </c>
      <c r="U16" s="171">
        <f t="shared" si="5"/>
        <v>11888</v>
      </c>
      <c r="V16" s="174"/>
      <c r="W16" s="172">
        <f t="shared" si="6"/>
        <v>2416701</v>
      </c>
      <c r="X16" s="17">
        <v>44166</v>
      </c>
      <c r="Y16" s="81"/>
      <c r="AA16" s="50"/>
      <c r="AB16" s="50"/>
      <c r="AC16" s="50">
        <v>0.09</v>
      </c>
      <c r="AD16" s="50">
        <v>0.23</v>
      </c>
      <c r="AE16" s="50"/>
      <c r="AF16" s="50">
        <v>0.23</v>
      </c>
      <c r="AG16" s="50">
        <v>0.45</v>
      </c>
      <c r="AH16" s="50"/>
      <c r="AI16" s="14"/>
      <c r="AJ16" s="14"/>
      <c r="AK16" s="14"/>
      <c r="AL16" s="14"/>
      <c r="AM16" s="14"/>
      <c r="AN16" s="14"/>
      <c r="AO16" s="50"/>
      <c r="AP16" s="50"/>
      <c r="AQ16" s="50"/>
      <c r="AR16" s="14"/>
      <c r="AS16" s="14"/>
      <c r="AT16" s="14"/>
      <c r="AU16" s="14"/>
      <c r="AV16" s="45">
        <f t="shared" si="51"/>
        <v>1</v>
      </c>
      <c r="AX16" s="82">
        <f t="shared" si="7"/>
        <v>0</v>
      </c>
      <c r="AY16" s="82">
        <f t="shared" si="8"/>
        <v>0</v>
      </c>
      <c r="AZ16" s="82">
        <f t="shared" si="9"/>
        <v>217503.09</v>
      </c>
      <c r="BA16" s="82">
        <f t="shared" si="10"/>
        <v>555841.23</v>
      </c>
      <c r="BB16" s="82">
        <f t="shared" si="11"/>
        <v>0</v>
      </c>
      <c r="BC16" s="82">
        <f t="shared" si="12"/>
        <v>555841.23</v>
      </c>
      <c r="BD16" s="82">
        <f t="shared" si="13"/>
        <v>1087515.45</v>
      </c>
      <c r="BE16" s="82">
        <f t="shared" si="14"/>
        <v>0</v>
      </c>
      <c r="BF16" s="82">
        <f t="shared" si="15"/>
        <v>0</v>
      </c>
      <c r="BG16" s="82">
        <f t="shared" si="16"/>
        <v>0</v>
      </c>
      <c r="BH16" s="82">
        <f t="shared" si="17"/>
        <v>0</v>
      </c>
      <c r="BI16" s="82">
        <f t="shared" si="18"/>
        <v>0</v>
      </c>
      <c r="BJ16" s="82">
        <f t="shared" si="19"/>
        <v>0</v>
      </c>
      <c r="BK16" s="82">
        <f t="shared" si="20"/>
        <v>0</v>
      </c>
      <c r="BL16" s="82">
        <f t="shared" si="21"/>
        <v>0</v>
      </c>
      <c r="BM16" s="82">
        <f t="shared" si="22"/>
        <v>0</v>
      </c>
      <c r="BN16" s="82">
        <f t="shared" si="23"/>
        <v>0</v>
      </c>
      <c r="BO16" s="82">
        <f t="shared" si="24"/>
        <v>0</v>
      </c>
      <c r="BP16" s="82">
        <f t="shared" si="25"/>
        <v>0</v>
      </c>
      <c r="BQ16" s="82">
        <f t="shared" si="26"/>
        <v>0</v>
      </c>
      <c r="BR16" s="82">
        <f t="shared" si="27"/>
        <v>0</v>
      </c>
      <c r="BS16" s="39">
        <f t="shared" si="52"/>
        <v>2416701</v>
      </c>
      <c r="BT16" s="84">
        <f t="shared" si="28"/>
        <v>0</v>
      </c>
      <c r="BU16" s="193">
        <f>'[1]Primary and Summary'!$D$105</f>
        <v>0.11529999999999996</v>
      </c>
      <c r="BV16" s="193">
        <f>'[1]Primary and Summary'!$D$105</f>
        <v>0.11529999999999996</v>
      </c>
      <c r="BW16" s="193">
        <f>'[1]Primary and Summary'!$D$111</f>
        <v>0.10809999999999997</v>
      </c>
      <c r="BX16" s="193">
        <f>'[1]Primary and Summary'!$D$111</f>
        <v>0.10809999999999997</v>
      </c>
      <c r="BY16" s="193">
        <f>'[1]Primary and Summary'!$D$111</f>
        <v>0.10809999999999997</v>
      </c>
      <c r="BZ16" s="193">
        <f>'[1]Primary and Summary'!$D$111</f>
        <v>0.10809999999999997</v>
      </c>
      <c r="CA16" s="193">
        <f>'[1]Primary and Summary'!$D$111</f>
        <v>0.10809999999999997</v>
      </c>
      <c r="CB16" s="193">
        <f>'[1]Primary and Summary'!$D$111</f>
        <v>0.10809999999999997</v>
      </c>
      <c r="CC16" s="193">
        <f>'[1]Primary and Summary'!$D$111</f>
        <v>0.10809999999999997</v>
      </c>
      <c r="CD16" s="193">
        <f>'[1]Primary and Summary'!$D$111</f>
        <v>0.10809999999999997</v>
      </c>
      <c r="CE16" s="193">
        <f>'[1]Primary and Summary'!$D$111</f>
        <v>0.10809999999999997</v>
      </c>
      <c r="CF16" s="193">
        <f>'[1]Primary and Summary'!$D$111</f>
        <v>0.10809999999999997</v>
      </c>
      <c r="CG16" s="193">
        <f>'[1]Primary and Summary'!$D$120</f>
        <v>1</v>
      </c>
      <c r="CH16" s="193">
        <f>'[1]Primary and Summary'!$D$120</f>
        <v>1</v>
      </c>
      <c r="CI16" s="193">
        <f>'[1]Primary and Summary'!$D$120</f>
        <v>1</v>
      </c>
      <c r="CJ16" s="193">
        <f>'[1]Primary and Summary'!$D$120</f>
        <v>1</v>
      </c>
      <c r="CK16" s="193">
        <f>'[1]Primary and Summary'!$D$120</f>
        <v>1</v>
      </c>
      <c r="CL16" s="193">
        <f>'[1]Primary and Summary'!$D$120</f>
        <v>1</v>
      </c>
      <c r="CM16" s="193">
        <f>'[1]Primary and Summary'!$D$105</f>
        <v>0.11529999999999996</v>
      </c>
      <c r="CN16" s="193">
        <f>'[1]Primary and Summary'!$D$105</f>
        <v>0.11529999999999996</v>
      </c>
      <c r="CO16" s="193">
        <v>1</v>
      </c>
      <c r="CP16" s="83"/>
      <c r="CR16" s="82">
        <f t="shared" si="59"/>
        <v>0</v>
      </c>
      <c r="CS16" s="82">
        <f t="shared" si="29"/>
        <v>0</v>
      </c>
      <c r="CT16" s="82">
        <f t="shared" si="29"/>
        <v>23512.084028999994</v>
      </c>
      <c r="CU16" s="82">
        <f t="shared" si="29"/>
        <v>60086.436962999986</v>
      </c>
      <c r="CV16" s="82">
        <f t="shared" si="29"/>
        <v>0</v>
      </c>
      <c r="CW16" s="82">
        <f t="shared" si="29"/>
        <v>60086.436962999986</v>
      </c>
      <c r="CX16" s="82">
        <f t="shared" si="29"/>
        <v>117560.42014499997</v>
      </c>
      <c r="CY16" s="82">
        <f t="shared" si="29"/>
        <v>0</v>
      </c>
      <c r="CZ16" s="82">
        <f t="shared" si="29"/>
        <v>0</v>
      </c>
      <c r="DA16" s="82">
        <f t="shared" si="29"/>
        <v>0</v>
      </c>
      <c r="DB16" s="82">
        <f t="shared" si="29"/>
        <v>0</v>
      </c>
      <c r="DC16" s="82">
        <f t="shared" si="29"/>
        <v>0</v>
      </c>
      <c r="DD16" s="82">
        <f t="shared" si="29"/>
        <v>0</v>
      </c>
      <c r="DE16" s="82">
        <f t="shared" si="29"/>
        <v>0</v>
      </c>
      <c r="DF16" s="82">
        <f t="shared" si="29"/>
        <v>0</v>
      </c>
      <c r="DG16" s="82">
        <f t="shared" si="29"/>
        <v>0</v>
      </c>
      <c r="DH16" s="82">
        <f t="shared" si="29"/>
        <v>0</v>
      </c>
      <c r="DI16" s="82">
        <f t="shared" si="29"/>
        <v>0</v>
      </c>
      <c r="DJ16" s="82">
        <f t="shared" si="29"/>
        <v>0</v>
      </c>
      <c r="DK16" s="82">
        <f t="shared" si="29"/>
        <v>0</v>
      </c>
      <c r="DL16" s="82">
        <f t="shared" si="29"/>
        <v>0</v>
      </c>
      <c r="DM16" s="83">
        <f t="shared" si="53"/>
        <v>261245.37809999991</v>
      </c>
      <c r="DO16" s="195">
        <v>6.7799999999999999E-2</v>
      </c>
      <c r="DP16" s="194">
        <f t="shared" si="30"/>
        <v>0.1</v>
      </c>
      <c r="DQ16" s="195">
        <v>1.4999999999999999E-2</v>
      </c>
      <c r="DR16" s="195">
        <v>1.4999999999999999E-2</v>
      </c>
      <c r="DS16" s="195">
        <v>2.06E-2</v>
      </c>
      <c r="DT16" s="195">
        <v>1.78E-2</v>
      </c>
      <c r="DU16" s="195">
        <v>2.2700000000000001E-2</v>
      </c>
      <c r="DV16" s="195">
        <v>2.1700000000000001E-2</v>
      </c>
      <c r="DW16" s="195">
        <v>4.3299999999999998E-2</v>
      </c>
      <c r="DX16" s="195">
        <v>1.3100000000000001E-2</v>
      </c>
      <c r="DY16" s="195">
        <v>4.7000000000000002E-3</v>
      </c>
      <c r="DZ16" s="195">
        <v>3.09E-2</v>
      </c>
      <c r="EA16" s="195">
        <v>1.8800000000000001E-2</v>
      </c>
      <c r="EB16" s="195">
        <v>1.4999999999999999E-2</v>
      </c>
      <c r="EC16" s="195">
        <v>2.5399999999999999E-2</v>
      </c>
      <c r="ED16" s="195">
        <v>2.3199999999999998E-2</v>
      </c>
      <c r="EE16" s="195">
        <v>2.18E-2</v>
      </c>
      <c r="EF16" s="195">
        <v>2.2700000000000001E-2</v>
      </c>
      <c r="EG16" s="195">
        <v>0.2</v>
      </c>
      <c r="EH16" s="195">
        <v>6.6699999999999995E-2</v>
      </c>
      <c r="EI16" s="195">
        <v>3.0200000000000001E-2</v>
      </c>
      <c r="EL16" s="107">
        <f t="shared" si="31"/>
        <v>0</v>
      </c>
      <c r="EM16" s="107">
        <f t="shared" si="32"/>
        <v>0</v>
      </c>
      <c r="EN16" s="107">
        <f t="shared" si="33"/>
        <v>352.6812604349999</v>
      </c>
      <c r="EO16" s="107">
        <f t="shared" si="34"/>
        <v>901.29655444499974</v>
      </c>
      <c r="EP16" s="107">
        <f t="shared" si="35"/>
        <v>0</v>
      </c>
      <c r="EQ16" s="107">
        <f t="shared" si="54"/>
        <v>1069.5385779413998</v>
      </c>
      <c r="ER16" s="107">
        <f t="shared" si="36"/>
        <v>2668.6215372914994</v>
      </c>
      <c r="ES16" s="107">
        <f t="shared" si="37"/>
        <v>0</v>
      </c>
      <c r="ET16" s="107">
        <f t="shared" si="38"/>
        <v>0</v>
      </c>
      <c r="EU16" s="107">
        <f t="shared" si="39"/>
        <v>0</v>
      </c>
      <c r="EV16" s="107">
        <f t="shared" si="40"/>
        <v>0</v>
      </c>
      <c r="EW16" s="107">
        <f t="shared" si="41"/>
        <v>0</v>
      </c>
      <c r="EX16" s="107">
        <f t="shared" si="42"/>
        <v>0</v>
      </c>
      <c r="EY16" s="107">
        <f t="shared" si="43"/>
        <v>0</v>
      </c>
      <c r="EZ16" s="107">
        <f t="shared" si="44"/>
        <v>0</v>
      </c>
      <c r="FA16" s="107">
        <f t="shared" si="45"/>
        <v>0</v>
      </c>
      <c r="FB16" s="107">
        <f t="shared" si="46"/>
        <v>0</v>
      </c>
      <c r="FC16" s="107">
        <f t="shared" si="47"/>
        <v>0</v>
      </c>
      <c r="FD16" s="107">
        <f t="shared" si="48"/>
        <v>0</v>
      </c>
      <c r="FE16" s="107">
        <f t="shared" si="49"/>
        <v>0</v>
      </c>
      <c r="FF16" s="107">
        <f t="shared" si="50"/>
        <v>0</v>
      </c>
      <c r="FG16" s="107">
        <f t="shared" si="55"/>
        <v>4992.1379301128991</v>
      </c>
      <c r="FH16" s="107"/>
      <c r="FI16" s="213">
        <v>6.5</v>
      </c>
      <c r="FJ16" s="223">
        <f t="shared" si="56"/>
        <v>2704.074712144487</v>
      </c>
      <c r="FK16" s="224">
        <f t="shared" si="57"/>
        <v>258541.30338785544</v>
      </c>
      <c r="FL16" s="226"/>
      <c r="FM16" s="225"/>
      <c r="FN16" s="386" t="s">
        <v>17</v>
      </c>
      <c r="FO16" s="386"/>
      <c r="FP16" s="386"/>
      <c r="FQ16" s="386"/>
      <c r="FR16" s="391">
        <f>FG20</f>
        <v>7082.6917483297975</v>
      </c>
      <c r="FS16" s="391">
        <f>FK20</f>
        <v>336442.18387848965</v>
      </c>
      <c r="FT16" s="391">
        <v>35955.199471036438</v>
      </c>
      <c r="FU16" s="389"/>
      <c r="FV16" s="391">
        <f t="shared" si="60"/>
        <v>35955.199471036438</v>
      </c>
      <c r="FW16" s="389"/>
      <c r="FX16" s="391">
        <f t="shared" si="58"/>
        <v>39550.719418140085</v>
      </c>
    </row>
    <row r="17" spans="1:180" outlineLevel="1" x14ac:dyDescent="0.35">
      <c r="B17" s="2" t="s">
        <v>330</v>
      </c>
      <c r="C17" s="61">
        <v>18</v>
      </c>
      <c r="D17" s="63">
        <v>0.26</v>
      </c>
      <c r="E17" s="61">
        <v>202174</v>
      </c>
      <c r="F17" s="158" t="s">
        <v>10</v>
      </c>
      <c r="G17" s="173">
        <v>44105</v>
      </c>
      <c r="H17" s="170">
        <f>IFERROR(VLOOKUP($E17,'Actuals (BI Report)'!$A$2:$H$35,4,FALSE),"")</f>
        <v>2374640.81</v>
      </c>
      <c r="I17" s="171">
        <f>IFERROR(VLOOKUP($E17,'Actuals (BI Report)'!$A$2:$H$35,7,FALSE),"")</f>
        <v>571324.92000000004</v>
      </c>
      <c r="J17" s="171">
        <f>IFERROR(VLOOKUP($E17,'Actuals (BI Report)'!$A$2:$H$35,5,FALSE),"")</f>
        <v>5468.37</v>
      </c>
      <c r="K17" s="171">
        <f>IFERROR(VLOOKUP($E17,'Actuals (BI Report)'!$A$2:$H$35,6,FALSE),"")</f>
        <v>0</v>
      </c>
      <c r="L17" s="172">
        <f t="shared" si="0"/>
        <v>2951434.1</v>
      </c>
      <c r="M17" s="170">
        <v>1026878</v>
      </c>
      <c r="N17" s="171">
        <v>86481</v>
      </c>
      <c r="O17" s="171">
        <v>4302</v>
      </c>
      <c r="P17" s="171">
        <v>8258</v>
      </c>
      <c r="Q17" s="172">
        <f t="shared" si="1"/>
        <v>1125919</v>
      </c>
      <c r="R17" s="170">
        <f t="shared" si="2"/>
        <v>3401518.81</v>
      </c>
      <c r="S17" s="171">
        <f t="shared" si="3"/>
        <v>657805.92000000004</v>
      </c>
      <c r="T17" s="171">
        <f t="shared" si="4"/>
        <v>9770.369999999999</v>
      </c>
      <c r="U17" s="171">
        <f t="shared" si="5"/>
        <v>8258</v>
      </c>
      <c r="V17" s="174"/>
      <c r="W17" s="172">
        <f t="shared" si="6"/>
        <v>4077353.1</v>
      </c>
      <c r="X17" s="19">
        <v>44105</v>
      </c>
      <c r="Y17" s="20"/>
      <c r="AA17" s="50"/>
      <c r="AB17" s="50"/>
      <c r="AC17" s="50"/>
      <c r="AD17" s="50">
        <v>1</v>
      </c>
      <c r="AE17" s="50"/>
      <c r="AF17" s="50"/>
      <c r="AG17" s="50"/>
      <c r="AH17" s="50"/>
      <c r="AI17" s="14"/>
      <c r="AJ17" s="14"/>
      <c r="AK17" s="14"/>
      <c r="AL17" s="14"/>
      <c r="AM17" s="14"/>
      <c r="AN17" s="14"/>
      <c r="AO17" s="50"/>
      <c r="AP17" s="50"/>
      <c r="AQ17" s="50"/>
      <c r="AR17" s="14"/>
      <c r="AS17" s="14"/>
      <c r="AT17" s="14"/>
      <c r="AU17" s="14"/>
      <c r="AV17" s="45">
        <f t="shared" si="51"/>
        <v>1</v>
      </c>
      <c r="AX17" s="38">
        <f t="shared" si="7"/>
        <v>0</v>
      </c>
      <c r="AY17" s="38">
        <f t="shared" si="8"/>
        <v>0</v>
      </c>
      <c r="AZ17" s="38">
        <f t="shared" si="9"/>
        <v>0</v>
      </c>
      <c r="BA17" s="38">
        <f t="shared" si="10"/>
        <v>4077353.1</v>
      </c>
      <c r="BB17" s="38">
        <f t="shared" si="11"/>
        <v>0</v>
      </c>
      <c r="BC17" s="38">
        <f t="shared" si="12"/>
        <v>0</v>
      </c>
      <c r="BD17" s="38">
        <f t="shared" si="13"/>
        <v>0</v>
      </c>
      <c r="BE17" s="38">
        <f t="shared" si="14"/>
        <v>0</v>
      </c>
      <c r="BF17" s="38">
        <f t="shared" si="15"/>
        <v>0</v>
      </c>
      <c r="BG17" s="38">
        <f t="shared" si="16"/>
        <v>0</v>
      </c>
      <c r="BH17" s="38">
        <f t="shared" si="17"/>
        <v>0</v>
      </c>
      <c r="BI17" s="38">
        <f t="shared" si="18"/>
        <v>0</v>
      </c>
      <c r="BJ17" s="38">
        <f t="shared" si="19"/>
        <v>0</v>
      </c>
      <c r="BK17" s="38">
        <f t="shared" si="20"/>
        <v>0</v>
      </c>
      <c r="BL17" s="38">
        <f t="shared" si="21"/>
        <v>0</v>
      </c>
      <c r="BM17" s="38">
        <f t="shared" si="22"/>
        <v>0</v>
      </c>
      <c r="BN17" s="38">
        <f t="shared" si="23"/>
        <v>0</v>
      </c>
      <c r="BO17" s="38">
        <f t="shared" si="24"/>
        <v>0</v>
      </c>
      <c r="BP17" s="38">
        <f t="shared" si="25"/>
        <v>0</v>
      </c>
      <c r="BQ17" s="38">
        <f t="shared" si="26"/>
        <v>0</v>
      </c>
      <c r="BR17" s="38">
        <f t="shared" si="27"/>
        <v>0</v>
      </c>
      <c r="BS17" s="39">
        <f t="shared" si="52"/>
        <v>4077353.1</v>
      </c>
      <c r="BT17" s="48">
        <f t="shared" si="28"/>
        <v>0</v>
      </c>
      <c r="BU17" s="193">
        <f>'[1]Primary and Summary'!$D$105</f>
        <v>0.11529999999999996</v>
      </c>
      <c r="BV17" s="193">
        <f>'[1]Primary and Summary'!$D$105</f>
        <v>0.11529999999999996</v>
      </c>
      <c r="BW17" s="193">
        <f>'[1]Primary and Summary'!$D$111</f>
        <v>0.10809999999999997</v>
      </c>
      <c r="BX17" s="193">
        <f>'[1]Primary and Summary'!$D$111</f>
        <v>0.10809999999999997</v>
      </c>
      <c r="BY17" s="193">
        <f>'[1]Primary and Summary'!$D$111</f>
        <v>0.10809999999999997</v>
      </c>
      <c r="BZ17" s="193">
        <f>'[1]Primary and Summary'!$D$111</f>
        <v>0.10809999999999997</v>
      </c>
      <c r="CA17" s="193">
        <f>'[1]Primary and Summary'!$D$111</f>
        <v>0.10809999999999997</v>
      </c>
      <c r="CB17" s="193">
        <f>'[1]Primary and Summary'!$D$111</f>
        <v>0.10809999999999997</v>
      </c>
      <c r="CC17" s="193">
        <f>'[1]Primary and Summary'!$D$111</f>
        <v>0.10809999999999997</v>
      </c>
      <c r="CD17" s="193">
        <f>'[1]Primary and Summary'!$D$111</f>
        <v>0.10809999999999997</v>
      </c>
      <c r="CE17" s="193">
        <f>'[1]Primary and Summary'!$D$111</f>
        <v>0.10809999999999997</v>
      </c>
      <c r="CF17" s="193">
        <f>'[1]Primary and Summary'!$D$111</f>
        <v>0.10809999999999997</v>
      </c>
      <c r="CG17" s="193">
        <f>'[1]Primary and Summary'!$D$120</f>
        <v>1</v>
      </c>
      <c r="CH17" s="193">
        <f>'[1]Primary and Summary'!$D$120</f>
        <v>1</v>
      </c>
      <c r="CI17" s="193">
        <f>'[1]Primary and Summary'!$D$120</f>
        <v>1</v>
      </c>
      <c r="CJ17" s="193">
        <f>'[1]Primary and Summary'!$D$120</f>
        <v>1</v>
      </c>
      <c r="CK17" s="193">
        <f>'[1]Primary and Summary'!$D$120</f>
        <v>1</v>
      </c>
      <c r="CL17" s="193">
        <f>'[1]Primary and Summary'!$D$120</f>
        <v>1</v>
      </c>
      <c r="CM17" s="193">
        <f>'[1]Primary and Summary'!$D$105</f>
        <v>0.11529999999999996</v>
      </c>
      <c r="CN17" s="193">
        <f>'[1]Primary and Summary'!$D$105</f>
        <v>0.11529999999999996</v>
      </c>
      <c r="CO17" s="193">
        <v>1</v>
      </c>
      <c r="CP17" s="39"/>
      <c r="CR17" s="38">
        <f t="shared" si="59"/>
        <v>0</v>
      </c>
      <c r="CS17" s="38">
        <f t="shared" si="29"/>
        <v>0</v>
      </c>
      <c r="CT17" s="38">
        <f t="shared" si="29"/>
        <v>0</v>
      </c>
      <c r="CU17" s="38">
        <f t="shared" si="29"/>
        <v>440761.8701099999</v>
      </c>
      <c r="CV17" s="38">
        <f t="shared" si="29"/>
        <v>0</v>
      </c>
      <c r="CW17" s="38">
        <f t="shared" si="29"/>
        <v>0</v>
      </c>
      <c r="CX17" s="38">
        <f t="shared" si="29"/>
        <v>0</v>
      </c>
      <c r="CY17" s="38">
        <f t="shared" si="29"/>
        <v>0</v>
      </c>
      <c r="CZ17" s="38">
        <f t="shared" si="29"/>
        <v>0</v>
      </c>
      <c r="DA17" s="38">
        <f t="shared" si="29"/>
        <v>0</v>
      </c>
      <c r="DB17" s="38">
        <f t="shared" si="29"/>
        <v>0</v>
      </c>
      <c r="DC17" s="38">
        <f t="shared" si="29"/>
        <v>0</v>
      </c>
      <c r="DD17" s="38">
        <f t="shared" si="29"/>
        <v>0</v>
      </c>
      <c r="DE17" s="38">
        <f t="shared" si="29"/>
        <v>0</v>
      </c>
      <c r="DF17" s="38">
        <f t="shared" si="29"/>
        <v>0</v>
      </c>
      <c r="DG17" s="38">
        <f t="shared" si="29"/>
        <v>0</v>
      </c>
      <c r="DH17" s="38">
        <f t="shared" si="29"/>
        <v>0</v>
      </c>
      <c r="DI17" s="38">
        <f t="shared" si="29"/>
        <v>0</v>
      </c>
      <c r="DJ17" s="38">
        <f t="shared" si="29"/>
        <v>0</v>
      </c>
      <c r="DK17" s="38">
        <f t="shared" si="29"/>
        <v>0</v>
      </c>
      <c r="DL17" s="38">
        <f t="shared" si="29"/>
        <v>0</v>
      </c>
      <c r="DM17" s="83">
        <f t="shared" si="53"/>
        <v>440761.8701099999</v>
      </c>
      <c r="DO17" s="195">
        <v>6.7799999999999999E-2</v>
      </c>
      <c r="DP17" s="194">
        <f t="shared" si="30"/>
        <v>0.1</v>
      </c>
      <c r="DQ17" s="195">
        <v>1.4999999999999999E-2</v>
      </c>
      <c r="DR17" s="195">
        <v>1.4999999999999999E-2</v>
      </c>
      <c r="DS17" s="195">
        <v>2.06E-2</v>
      </c>
      <c r="DT17" s="195">
        <v>1.78E-2</v>
      </c>
      <c r="DU17" s="195">
        <v>2.2700000000000001E-2</v>
      </c>
      <c r="DV17" s="195">
        <v>2.1700000000000001E-2</v>
      </c>
      <c r="DW17" s="195">
        <v>4.3299999999999998E-2</v>
      </c>
      <c r="DX17" s="195">
        <v>1.3100000000000001E-2</v>
      </c>
      <c r="DY17" s="195">
        <v>4.7000000000000002E-3</v>
      </c>
      <c r="DZ17" s="195">
        <v>3.09E-2</v>
      </c>
      <c r="EA17" s="195">
        <v>1.8800000000000001E-2</v>
      </c>
      <c r="EB17" s="195">
        <v>1.4999999999999999E-2</v>
      </c>
      <c r="EC17" s="195">
        <v>2.5399999999999999E-2</v>
      </c>
      <c r="ED17" s="195">
        <v>2.3199999999999998E-2</v>
      </c>
      <c r="EE17" s="195">
        <v>2.18E-2</v>
      </c>
      <c r="EF17" s="195">
        <v>2.2700000000000001E-2</v>
      </c>
      <c r="EG17" s="195">
        <v>0.2</v>
      </c>
      <c r="EH17" s="195">
        <v>6.6699999999999995E-2</v>
      </c>
      <c r="EI17" s="195">
        <v>3.0200000000000001E-2</v>
      </c>
      <c r="EL17" s="107">
        <f t="shared" si="31"/>
        <v>0</v>
      </c>
      <c r="EM17" s="107">
        <f t="shared" si="32"/>
        <v>0</v>
      </c>
      <c r="EN17" s="107">
        <f t="shared" si="33"/>
        <v>0</v>
      </c>
      <c r="EO17" s="107">
        <f t="shared" si="34"/>
        <v>6611.4280516499985</v>
      </c>
      <c r="EP17" s="107">
        <f t="shared" si="35"/>
        <v>0</v>
      </c>
      <c r="EQ17" s="107">
        <f t="shared" si="54"/>
        <v>0</v>
      </c>
      <c r="ER17" s="107">
        <f t="shared" si="36"/>
        <v>0</v>
      </c>
      <c r="ES17" s="107">
        <f t="shared" si="37"/>
        <v>0</v>
      </c>
      <c r="ET17" s="107">
        <f t="shared" si="38"/>
        <v>0</v>
      </c>
      <c r="EU17" s="107">
        <f t="shared" si="39"/>
        <v>0</v>
      </c>
      <c r="EV17" s="107">
        <f t="shared" si="40"/>
        <v>0</v>
      </c>
      <c r="EW17" s="107">
        <f t="shared" si="41"/>
        <v>0</v>
      </c>
      <c r="EX17" s="107">
        <f t="shared" si="42"/>
        <v>0</v>
      </c>
      <c r="EY17" s="107">
        <f t="shared" si="43"/>
        <v>0</v>
      </c>
      <c r="EZ17" s="107">
        <f t="shared" si="44"/>
        <v>0</v>
      </c>
      <c r="FA17" s="107">
        <f t="shared" si="45"/>
        <v>0</v>
      </c>
      <c r="FB17" s="107">
        <f t="shared" si="46"/>
        <v>0</v>
      </c>
      <c r="FC17" s="107">
        <f t="shared" si="47"/>
        <v>0</v>
      </c>
      <c r="FD17" s="107">
        <f t="shared" si="48"/>
        <v>0</v>
      </c>
      <c r="FE17" s="107">
        <f t="shared" si="49"/>
        <v>0</v>
      </c>
      <c r="FF17" s="107">
        <f t="shared" si="50"/>
        <v>0</v>
      </c>
      <c r="FG17" s="107">
        <f t="shared" si="55"/>
        <v>6611.4280516499985</v>
      </c>
      <c r="FH17" s="107"/>
      <c r="FI17" s="213">
        <v>12.5</v>
      </c>
      <c r="FJ17" s="223">
        <f t="shared" si="56"/>
        <v>6886.9042204687485</v>
      </c>
      <c r="FK17" s="224">
        <f t="shared" si="57"/>
        <v>433874.96588953113</v>
      </c>
      <c r="FL17" s="226"/>
      <c r="FM17" s="225"/>
      <c r="FN17" s="392" t="s">
        <v>20</v>
      </c>
      <c r="FO17" s="392"/>
      <c r="FP17" s="392"/>
      <c r="FQ17" s="392"/>
      <c r="FR17" s="391">
        <f>FG26</f>
        <v>105934.99800000001</v>
      </c>
      <c r="FS17" s="391">
        <f>FK26</f>
        <v>4662326.0417499999</v>
      </c>
      <c r="FT17" s="391">
        <v>506374.07940148422</v>
      </c>
      <c r="FU17" s="389"/>
      <c r="FV17" s="391">
        <f t="shared" si="60"/>
        <v>506374.07940148422</v>
      </c>
      <c r="FW17" s="389"/>
      <c r="FX17" s="391">
        <f t="shared" si="58"/>
        <v>557011.48734163272</v>
      </c>
    </row>
    <row r="18" spans="1:180" outlineLevel="1" x14ac:dyDescent="0.35">
      <c r="B18" s="2" t="s">
        <v>329</v>
      </c>
      <c r="C18" s="61">
        <v>18</v>
      </c>
      <c r="D18" s="63">
        <v>0.26</v>
      </c>
      <c r="E18" s="61" t="s">
        <v>131</v>
      </c>
      <c r="F18" s="158" t="s">
        <v>11</v>
      </c>
      <c r="G18" s="169">
        <v>44470</v>
      </c>
      <c r="H18" s="170">
        <v>0</v>
      </c>
      <c r="I18" s="171">
        <v>0</v>
      </c>
      <c r="J18" s="171">
        <v>0</v>
      </c>
      <c r="K18" s="171">
        <v>0</v>
      </c>
      <c r="L18" s="172">
        <f t="shared" si="0"/>
        <v>0</v>
      </c>
      <c r="M18" s="170">
        <v>2810000</v>
      </c>
      <c r="N18" s="171">
        <v>515859</v>
      </c>
      <c r="O18" s="171">
        <v>6668</v>
      </c>
      <c r="P18" s="171">
        <v>15948</v>
      </c>
      <c r="Q18" s="172">
        <f>SUM(M18:P18)</f>
        <v>3348475</v>
      </c>
      <c r="R18" s="170">
        <f t="shared" si="2"/>
        <v>2810000</v>
      </c>
      <c r="S18" s="171">
        <f t="shared" si="3"/>
        <v>515859</v>
      </c>
      <c r="T18" s="171">
        <f t="shared" si="4"/>
        <v>6668</v>
      </c>
      <c r="U18" s="171">
        <f t="shared" si="5"/>
        <v>15948</v>
      </c>
      <c r="V18" s="174"/>
      <c r="W18" s="172">
        <f t="shared" si="6"/>
        <v>3348475</v>
      </c>
      <c r="X18" s="19">
        <v>44470</v>
      </c>
      <c r="Y18" s="20"/>
      <c r="AA18" s="50"/>
      <c r="AB18" s="50"/>
      <c r="AC18" s="50"/>
      <c r="AD18" s="50">
        <v>1</v>
      </c>
      <c r="AE18" s="50"/>
      <c r="AF18" s="50"/>
      <c r="AG18" s="50"/>
      <c r="AH18" s="50"/>
      <c r="AI18" s="14"/>
      <c r="AJ18" s="14"/>
      <c r="AK18" s="14"/>
      <c r="AL18" s="14"/>
      <c r="AM18" s="14"/>
      <c r="AN18" s="14"/>
      <c r="AO18" s="50"/>
      <c r="AP18" s="50"/>
      <c r="AQ18" s="50"/>
      <c r="AR18" s="14"/>
      <c r="AS18" s="14"/>
      <c r="AT18" s="14"/>
      <c r="AU18" s="14"/>
      <c r="AV18" s="45">
        <f t="shared" si="51"/>
        <v>1</v>
      </c>
      <c r="AX18" s="38">
        <f t="shared" si="7"/>
        <v>0</v>
      </c>
      <c r="AY18" s="38">
        <f t="shared" si="8"/>
        <v>0</v>
      </c>
      <c r="AZ18" s="38">
        <f t="shared" si="9"/>
        <v>0</v>
      </c>
      <c r="BA18" s="38">
        <f t="shared" si="10"/>
        <v>3348475</v>
      </c>
      <c r="BB18" s="38">
        <f t="shared" si="11"/>
        <v>0</v>
      </c>
      <c r="BC18" s="38">
        <f t="shared" si="12"/>
        <v>0</v>
      </c>
      <c r="BD18" s="38">
        <f t="shared" si="13"/>
        <v>0</v>
      </c>
      <c r="BE18" s="38">
        <f t="shared" si="14"/>
        <v>0</v>
      </c>
      <c r="BF18" s="38">
        <f t="shared" si="15"/>
        <v>0</v>
      </c>
      <c r="BG18" s="38">
        <f t="shared" si="16"/>
        <v>0</v>
      </c>
      <c r="BH18" s="38">
        <f t="shared" si="17"/>
        <v>0</v>
      </c>
      <c r="BI18" s="38">
        <f t="shared" si="18"/>
        <v>0</v>
      </c>
      <c r="BJ18" s="38">
        <f t="shared" si="19"/>
        <v>0</v>
      </c>
      <c r="BK18" s="38">
        <f t="shared" si="20"/>
        <v>0</v>
      </c>
      <c r="BL18" s="38">
        <f t="shared" si="21"/>
        <v>0</v>
      </c>
      <c r="BM18" s="38">
        <f t="shared" si="22"/>
        <v>0</v>
      </c>
      <c r="BN18" s="38">
        <f t="shared" si="23"/>
        <v>0</v>
      </c>
      <c r="BO18" s="38">
        <f t="shared" si="24"/>
        <v>0</v>
      </c>
      <c r="BP18" s="38">
        <f t="shared" si="25"/>
        <v>0</v>
      </c>
      <c r="BQ18" s="38">
        <f t="shared" si="26"/>
        <v>0</v>
      </c>
      <c r="BR18" s="38">
        <f t="shared" si="27"/>
        <v>0</v>
      </c>
      <c r="BS18" s="39">
        <f t="shared" si="52"/>
        <v>3348475</v>
      </c>
      <c r="BT18" s="48">
        <f t="shared" si="28"/>
        <v>0</v>
      </c>
      <c r="BU18" s="193">
        <f>'[1]Primary and Summary'!$D$105</f>
        <v>0.11529999999999996</v>
      </c>
      <c r="BV18" s="193">
        <f>'[1]Primary and Summary'!$D$105</f>
        <v>0.11529999999999996</v>
      </c>
      <c r="BW18" s="193">
        <f>'[1]Primary and Summary'!$D$111</f>
        <v>0.10809999999999997</v>
      </c>
      <c r="BX18" s="193">
        <f>'[1]Primary and Summary'!$D$111</f>
        <v>0.10809999999999997</v>
      </c>
      <c r="BY18" s="193">
        <f>'[1]Primary and Summary'!$D$111</f>
        <v>0.10809999999999997</v>
      </c>
      <c r="BZ18" s="193">
        <f>'[1]Primary and Summary'!$D$111</f>
        <v>0.10809999999999997</v>
      </c>
      <c r="CA18" s="193">
        <f>'[1]Primary and Summary'!$D$111</f>
        <v>0.10809999999999997</v>
      </c>
      <c r="CB18" s="193">
        <f>'[1]Primary and Summary'!$D$111</f>
        <v>0.10809999999999997</v>
      </c>
      <c r="CC18" s="193">
        <f>'[1]Primary and Summary'!$D$111</f>
        <v>0.10809999999999997</v>
      </c>
      <c r="CD18" s="193">
        <f>'[1]Primary and Summary'!$D$111</f>
        <v>0.10809999999999997</v>
      </c>
      <c r="CE18" s="193">
        <f>'[1]Primary and Summary'!$D$111</f>
        <v>0.10809999999999997</v>
      </c>
      <c r="CF18" s="193">
        <f>'[1]Primary and Summary'!$D$111</f>
        <v>0.10809999999999997</v>
      </c>
      <c r="CG18" s="193">
        <f>'[1]Primary and Summary'!$D$120</f>
        <v>1</v>
      </c>
      <c r="CH18" s="193">
        <f>'[1]Primary and Summary'!$D$120</f>
        <v>1</v>
      </c>
      <c r="CI18" s="193">
        <f>'[1]Primary and Summary'!$D$120</f>
        <v>1</v>
      </c>
      <c r="CJ18" s="193">
        <f>'[1]Primary and Summary'!$D$120</f>
        <v>1</v>
      </c>
      <c r="CK18" s="193">
        <f>'[1]Primary and Summary'!$D$120</f>
        <v>1</v>
      </c>
      <c r="CL18" s="193">
        <f>'[1]Primary and Summary'!$D$120</f>
        <v>1</v>
      </c>
      <c r="CM18" s="193">
        <f>'[1]Primary and Summary'!$D$105</f>
        <v>0.11529999999999996</v>
      </c>
      <c r="CN18" s="193">
        <f>'[1]Primary and Summary'!$D$105</f>
        <v>0.11529999999999996</v>
      </c>
      <c r="CO18" s="193">
        <v>1</v>
      </c>
      <c r="CP18" s="39"/>
      <c r="CR18" s="38">
        <f t="shared" si="59"/>
        <v>0</v>
      </c>
      <c r="CS18" s="38">
        <f t="shared" si="29"/>
        <v>0</v>
      </c>
      <c r="CT18" s="38">
        <f t="shared" si="29"/>
        <v>0</v>
      </c>
      <c r="CU18" s="38">
        <f t="shared" si="29"/>
        <v>361970.1474999999</v>
      </c>
      <c r="CV18" s="38">
        <f t="shared" si="29"/>
        <v>0</v>
      </c>
      <c r="CW18" s="38">
        <f t="shared" si="29"/>
        <v>0</v>
      </c>
      <c r="CX18" s="38">
        <f t="shared" si="29"/>
        <v>0</v>
      </c>
      <c r="CY18" s="38">
        <f t="shared" si="29"/>
        <v>0</v>
      </c>
      <c r="CZ18" s="38">
        <f t="shared" si="29"/>
        <v>0</v>
      </c>
      <c r="DA18" s="38">
        <f t="shared" si="29"/>
        <v>0</v>
      </c>
      <c r="DB18" s="38">
        <f t="shared" si="29"/>
        <v>0</v>
      </c>
      <c r="DC18" s="38">
        <f t="shared" si="29"/>
        <v>0</v>
      </c>
      <c r="DD18" s="38">
        <f t="shared" si="29"/>
        <v>0</v>
      </c>
      <c r="DE18" s="38">
        <f t="shared" si="29"/>
        <v>0</v>
      </c>
      <c r="DF18" s="38">
        <f t="shared" si="29"/>
        <v>0</v>
      </c>
      <c r="DG18" s="38">
        <f t="shared" si="29"/>
        <v>0</v>
      </c>
      <c r="DH18" s="38">
        <f t="shared" si="29"/>
        <v>0</v>
      </c>
      <c r="DI18" s="38">
        <f t="shared" si="29"/>
        <v>0</v>
      </c>
      <c r="DJ18" s="38">
        <f t="shared" si="29"/>
        <v>0</v>
      </c>
      <c r="DK18" s="38">
        <f t="shared" si="29"/>
        <v>0</v>
      </c>
      <c r="DL18" s="38">
        <f t="shared" si="29"/>
        <v>0</v>
      </c>
      <c r="DM18" s="83">
        <f t="shared" si="53"/>
        <v>361970.1474999999</v>
      </c>
      <c r="DO18" s="195">
        <v>6.7799999999999999E-2</v>
      </c>
      <c r="DP18" s="194">
        <f t="shared" si="30"/>
        <v>0.1</v>
      </c>
      <c r="DQ18" s="195">
        <v>1.4999999999999999E-2</v>
      </c>
      <c r="DR18" s="195">
        <v>1.4999999999999999E-2</v>
      </c>
      <c r="DS18" s="195">
        <v>2.06E-2</v>
      </c>
      <c r="DT18" s="195">
        <v>1.78E-2</v>
      </c>
      <c r="DU18" s="195">
        <v>2.2700000000000001E-2</v>
      </c>
      <c r="DV18" s="195">
        <v>2.1700000000000001E-2</v>
      </c>
      <c r="DW18" s="195">
        <v>4.3299999999999998E-2</v>
      </c>
      <c r="DX18" s="195">
        <v>1.3100000000000001E-2</v>
      </c>
      <c r="DY18" s="195">
        <v>4.7000000000000002E-3</v>
      </c>
      <c r="DZ18" s="195">
        <v>3.09E-2</v>
      </c>
      <c r="EA18" s="195">
        <v>1.8800000000000001E-2</v>
      </c>
      <c r="EB18" s="195">
        <v>1.4999999999999999E-2</v>
      </c>
      <c r="EC18" s="195">
        <v>2.5399999999999999E-2</v>
      </c>
      <c r="ED18" s="195">
        <v>2.3199999999999998E-2</v>
      </c>
      <c r="EE18" s="195">
        <v>2.18E-2</v>
      </c>
      <c r="EF18" s="195">
        <v>2.2700000000000001E-2</v>
      </c>
      <c r="EG18" s="195">
        <v>0.2</v>
      </c>
      <c r="EH18" s="195">
        <v>6.6699999999999995E-2</v>
      </c>
      <c r="EI18" s="195">
        <v>3.0200000000000001E-2</v>
      </c>
      <c r="EL18" s="107">
        <f t="shared" si="31"/>
        <v>0</v>
      </c>
      <c r="EM18" s="107">
        <f t="shared" si="32"/>
        <v>0</v>
      </c>
      <c r="EN18" s="107">
        <f t="shared" si="33"/>
        <v>0</v>
      </c>
      <c r="EO18" s="107">
        <f t="shared" si="34"/>
        <v>5429.5522124999979</v>
      </c>
      <c r="EP18" s="107">
        <f t="shared" si="35"/>
        <v>0</v>
      </c>
      <c r="EQ18" s="107">
        <f t="shared" si="54"/>
        <v>0</v>
      </c>
      <c r="ER18" s="107">
        <f t="shared" si="36"/>
        <v>0</v>
      </c>
      <c r="ES18" s="107">
        <f t="shared" si="37"/>
        <v>0</v>
      </c>
      <c r="ET18" s="107">
        <f t="shared" si="38"/>
        <v>0</v>
      </c>
      <c r="EU18" s="107">
        <f t="shared" si="39"/>
        <v>0</v>
      </c>
      <c r="EV18" s="107">
        <f t="shared" si="40"/>
        <v>0</v>
      </c>
      <c r="EW18" s="107">
        <f t="shared" si="41"/>
        <v>0</v>
      </c>
      <c r="EX18" s="107">
        <f t="shared" si="42"/>
        <v>0</v>
      </c>
      <c r="EY18" s="107">
        <f t="shared" si="43"/>
        <v>0</v>
      </c>
      <c r="EZ18" s="107">
        <f t="shared" si="44"/>
        <v>0</v>
      </c>
      <c r="FA18" s="107">
        <f t="shared" si="45"/>
        <v>0</v>
      </c>
      <c r="FB18" s="107">
        <f t="shared" si="46"/>
        <v>0</v>
      </c>
      <c r="FC18" s="107">
        <f t="shared" si="47"/>
        <v>0</v>
      </c>
      <c r="FD18" s="107">
        <f t="shared" si="48"/>
        <v>0</v>
      </c>
      <c r="FE18" s="107">
        <f t="shared" si="49"/>
        <v>0</v>
      </c>
      <c r="FF18" s="107">
        <f t="shared" si="50"/>
        <v>0</v>
      </c>
      <c r="FG18" s="107">
        <f t="shared" si="55"/>
        <v>5429.5522124999979</v>
      </c>
      <c r="FH18" s="107"/>
      <c r="FI18" s="213">
        <v>12.5</v>
      </c>
      <c r="FJ18" s="223">
        <f t="shared" si="56"/>
        <v>5655.7835546874976</v>
      </c>
      <c r="FK18" s="224">
        <f t="shared" si="57"/>
        <v>356314.36394531239</v>
      </c>
      <c r="FL18" s="226"/>
      <c r="FM18" s="225"/>
      <c r="FN18" s="392" t="s">
        <v>538</v>
      </c>
      <c r="FO18" s="392"/>
      <c r="FP18" s="392"/>
      <c r="FQ18" s="410"/>
      <c r="FR18" s="403"/>
      <c r="FS18" s="403"/>
      <c r="FT18" s="403"/>
      <c r="FU18" s="389"/>
      <c r="FV18" s="391">
        <v>1400000</v>
      </c>
      <c r="FW18" s="389"/>
      <c r="FX18" s="391">
        <v>1400000</v>
      </c>
    </row>
    <row r="19" spans="1:180" outlineLevel="1" x14ac:dyDescent="0.35">
      <c r="B19" s="2" t="s">
        <v>330</v>
      </c>
      <c r="C19" s="61">
        <v>18</v>
      </c>
      <c r="D19" s="63">
        <v>0.26</v>
      </c>
      <c r="E19" s="61">
        <v>202008</v>
      </c>
      <c r="F19" s="158" t="s">
        <v>16</v>
      </c>
      <c r="G19" s="169">
        <v>44105</v>
      </c>
      <c r="H19" s="170">
        <f>IFERROR(VLOOKUP($E19,'Actuals (BI Report)'!$A$2:$H$35,4,FALSE),"")</f>
        <v>976968.59</v>
      </c>
      <c r="I19" s="171">
        <f>IFERROR(VLOOKUP($E19,'Actuals (BI Report)'!$A$2:$H$35,7,FALSE),"")</f>
        <v>172496.12</v>
      </c>
      <c r="J19" s="171">
        <f>IFERROR(VLOOKUP($E19,'Actuals (BI Report)'!$A$2:$H$35,5,FALSE),"")</f>
        <v>3738.48</v>
      </c>
      <c r="K19" s="171">
        <f>IFERROR(VLOOKUP($E19,'Actuals (BI Report)'!$A$2:$H$35,6,FALSE),"")</f>
        <v>0</v>
      </c>
      <c r="L19" s="172">
        <f t="shared" si="0"/>
        <v>1153203.19</v>
      </c>
      <c r="M19" s="170">
        <v>3589</v>
      </c>
      <c r="N19" s="171">
        <v>522</v>
      </c>
      <c r="O19" s="171">
        <v>14</v>
      </c>
      <c r="P19" s="171">
        <v>26</v>
      </c>
      <c r="Q19" s="172">
        <f t="shared" si="1"/>
        <v>4151</v>
      </c>
      <c r="R19" s="170">
        <f t="shared" si="2"/>
        <v>980557.59</v>
      </c>
      <c r="S19" s="171">
        <f t="shared" si="3"/>
        <v>173018.12</v>
      </c>
      <c r="T19" s="171">
        <f t="shared" si="4"/>
        <v>3752.48</v>
      </c>
      <c r="U19" s="171">
        <f t="shared" si="5"/>
        <v>26</v>
      </c>
      <c r="V19" s="174"/>
      <c r="W19" s="172">
        <f t="shared" si="6"/>
        <v>1157354.19</v>
      </c>
      <c r="X19" s="19">
        <v>44105</v>
      </c>
      <c r="Y19" s="20"/>
      <c r="AA19" s="50"/>
      <c r="AB19" s="50"/>
      <c r="AC19" s="50"/>
      <c r="AD19" s="50"/>
      <c r="AE19" s="50">
        <v>1</v>
      </c>
      <c r="AF19" s="50"/>
      <c r="AG19" s="50"/>
      <c r="AH19" s="50"/>
      <c r="AI19" s="14"/>
      <c r="AJ19" s="14"/>
      <c r="AK19" s="14"/>
      <c r="AL19" s="14"/>
      <c r="AM19" s="14"/>
      <c r="AN19" s="14"/>
      <c r="AO19" s="50"/>
      <c r="AP19" s="50"/>
      <c r="AQ19" s="50"/>
      <c r="AR19" s="14"/>
      <c r="AS19" s="14"/>
      <c r="AT19" s="14"/>
      <c r="AU19" s="14"/>
      <c r="AV19" s="45">
        <f t="shared" si="51"/>
        <v>1</v>
      </c>
      <c r="AX19" s="38">
        <f t="shared" si="7"/>
        <v>0</v>
      </c>
      <c r="AY19" s="38">
        <f t="shared" si="8"/>
        <v>0</v>
      </c>
      <c r="AZ19" s="38">
        <f t="shared" si="9"/>
        <v>0</v>
      </c>
      <c r="BA19" s="38">
        <f t="shared" si="10"/>
        <v>0</v>
      </c>
      <c r="BB19" s="38">
        <f t="shared" si="11"/>
        <v>1157354.19</v>
      </c>
      <c r="BC19" s="38">
        <f t="shared" si="12"/>
        <v>0</v>
      </c>
      <c r="BD19" s="38">
        <f t="shared" si="13"/>
        <v>0</v>
      </c>
      <c r="BE19" s="38">
        <f t="shared" si="14"/>
        <v>0</v>
      </c>
      <c r="BF19" s="38">
        <f t="shared" si="15"/>
        <v>0</v>
      </c>
      <c r="BG19" s="38">
        <f t="shared" si="16"/>
        <v>0</v>
      </c>
      <c r="BH19" s="38">
        <f t="shared" si="17"/>
        <v>0</v>
      </c>
      <c r="BI19" s="38">
        <f t="shared" si="18"/>
        <v>0</v>
      </c>
      <c r="BJ19" s="38">
        <f t="shared" si="19"/>
        <v>0</v>
      </c>
      <c r="BK19" s="38">
        <f t="shared" si="20"/>
        <v>0</v>
      </c>
      <c r="BL19" s="38">
        <f t="shared" si="21"/>
        <v>0</v>
      </c>
      <c r="BM19" s="38">
        <f t="shared" si="22"/>
        <v>0</v>
      </c>
      <c r="BN19" s="38">
        <f t="shared" si="23"/>
        <v>0</v>
      </c>
      <c r="BO19" s="38">
        <f t="shared" si="24"/>
        <v>0</v>
      </c>
      <c r="BP19" s="38">
        <f t="shared" si="25"/>
        <v>0</v>
      </c>
      <c r="BQ19" s="38">
        <f t="shared" si="26"/>
        <v>0</v>
      </c>
      <c r="BR19" s="38">
        <f t="shared" si="27"/>
        <v>0</v>
      </c>
      <c r="BS19" s="39">
        <f t="shared" si="52"/>
        <v>1157354.19</v>
      </c>
      <c r="BT19" s="48">
        <f t="shared" si="28"/>
        <v>0</v>
      </c>
      <c r="BU19" s="193">
        <f>'[1]Primary and Summary'!$D$105</f>
        <v>0.11529999999999996</v>
      </c>
      <c r="BV19" s="193">
        <f>'[1]Primary and Summary'!$D$105</f>
        <v>0.11529999999999996</v>
      </c>
      <c r="BW19" s="193">
        <f>'[1]Primary and Summary'!$D$111</f>
        <v>0.10809999999999997</v>
      </c>
      <c r="BX19" s="193">
        <f>'[1]Primary and Summary'!$D$111</f>
        <v>0.10809999999999997</v>
      </c>
      <c r="BY19" s="193">
        <f>'[1]Primary and Summary'!$D$111</f>
        <v>0.10809999999999997</v>
      </c>
      <c r="BZ19" s="193">
        <f>'[1]Primary and Summary'!$D$111</f>
        <v>0.10809999999999997</v>
      </c>
      <c r="CA19" s="193">
        <f>'[1]Primary and Summary'!$D$111</f>
        <v>0.10809999999999997</v>
      </c>
      <c r="CB19" s="193">
        <f>'[1]Primary and Summary'!$D$111</f>
        <v>0.10809999999999997</v>
      </c>
      <c r="CC19" s="193">
        <f>'[1]Primary and Summary'!$D$111</f>
        <v>0.10809999999999997</v>
      </c>
      <c r="CD19" s="193">
        <f>'[1]Primary and Summary'!$D$111</f>
        <v>0.10809999999999997</v>
      </c>
      <c r="CE19" s="193">
        <f>'[1]Primary and Summary'!$D$111</f>
        <v>0.10809999999999997</v>
      </c>
      <c r="CF19" s="193">
        <f>'[1]Primary and Summary'!$D$111</f>
        <v>0.10809999999999997</v>
      </c>
      <c r="CG19" s="193">
        <f>'[1]Primary and Summary'!$D$120</f>
        <v>1</v>
      </c>
      <c r="CH19" s="193">
        <f>'[1]Primary and Summary'!$D$120</f>
        <v>1</v>
      </c>
      <c r="CI19" s="193">
        <f>'[1]Primary and Summary'!$D$120</f>
        <v>1</v>
      </c>
      <c r="CJ19" s="193">
        <f>'[1]Primary and Summary'!$D$120</f>
        <v>1</v>
      </c>
      <c r="CK19" s="193">
        <f>'[1]Primary and Summary'!$D$120</f>
        <v>1</v>
      </c>
      <c r="CL19" s="193">
        <f>'[1]Primary and Summary'!$D$120</f>
        <v>1</v>
      </c>
      <c r="CM19" s="193">
        <f>'[1]Primary and Summary'!$D$105</f>
        <v>0.11529999999999996</v>
      </c>
      <c r="CN19" s="193">
        <f>'[1]Primary and Summary'!$D$105</f>
        <v>0.11529999999999996</v>
      </c>
      <c r="CO19" s="193">
        <v>1</v>
      </c>
      <c r="CP19" s="39"/>
      <c r="CR19" s="38">
        <f t="shared" si="59"/>
        <v>0</v>
      </c>
      <c r="CS19" s="38">
        <f t="shared" si="29"/>
        <v>0</v>
      </c>
      <c r="CT19" s="38">
        <f t="shared" si="29"/>
        <v>0</v>
      </c>
      <c r="CU19" s="38">
        <f t="shared" si="29"/>
        <v>0</v>
      </c>
      <c r="CV19" s="38">
        <f t="shared" si="29"/>
        <v>125109.98793899997</v>
      </c>
      <c r="CW19" s="38">
        <f t="shared" si="29"/>
        <v>0</v>
      </c>
      <c r="CX19" s="38">
        <f t="shared" si="29"/>
        <v>0</v>
      </c>
      <c r="CY19" s="38">
        <f t="shared" si="29"/>
        <v>0</v>
      </c>
      <c r="CZ19" s="38">
        <f t="shared" si="29"/>
        <v>0</v>
      </c>
      <c r="DA19" s="38">
        <f t="shared" si="29"/>
        <v>0</v>
      </c>
      <c r="DB19" s="38">
        <f t="shared" si="29"/>
        <v>0</v>
      </c>
      <c r="DC19" s="38">
        <f t="shared" si="29"/>
        <v>0</v>
      </c>
      <c r="DD19" s="38">
        <f t="shared" si="29"/>
        <v>0</v>
      </c>
      <c r="DE19" s="38">
        <f t="shared" si="29"/>
        <v>0</v>
      </c>
      <c r="DF19" s="38">
        <f t="shared" si="29"/>
        <v>0</v>
      </c>
      <c r="DG19" s="38">
        <f t="shared" si="29"/>
        <v>0</v>
      </c>
      <c r="DH19" s="38">
        <f t="shared" ref="DH19:DH22" si="61">CK19*BN19</f>
        <v>0</v>
      </c>
      <c r="DI19" s="38">
        <f t="shared" ref="DI19:DI22" si="62">CL19*BO19</f>
        <v>0</v>
      </c>
      <c r="DJ19" s="38">
        <f t="shared" ref="DJ19:DJ22" si="63">CM19*BP19</f>
        <v>0</v>
      </c>
      <c r="DK19" s="38">
        <f t="shared" ref="DK19:DK22" si="64">CN19*BQ19</f>
        <v>0</v>
      </c>
      <c r="DL19" s="38">
        <f t="shared" ref="DL19:DL22" si="65">CO19*BR19</f>
        <v>0</v>
      </c>
      <c r="DM19" s="83">
        <f t="shared" si="53"/>
        <v>125109.98793899997</v>
      </c>
      <c r="DO19" s="195">
        <v>6.7799999999999999E-2</v>
      </c>
      <c r="DP19" s="194">
        <f t="shared" si="30"/>
        <v>0.1</v>
      </c>
      <c r="DQ19" s="195">
        <v>1.4999999999999999E-2</v>
      </c>
      <c r="DR19" s="195">
        <v>1.4999999999999999E-2</v>
      </c>
      <c r="DS19" s="195">
        <v>2.06E-2</v>
      </c>
      <c r="DT19" s="195">
        <v>1.78E-2</v>
      </c>
      <c r="DU19" s="195">
        <v>2.2700000000000001E-2</v>
      </c>
      <c r="DV19" s="195">
        <v>2.1700000000000001E-2</v>
      </c>
      <c r="DW19" s="195">
        <v>4.3299999999999998E-2</v>
      </c>
      <c r="DX19" s="195">
        <v>1.3100000000000001E-2</v>
      </c>
      <c r="DY19" s="195">
        <v>4.7000000000000002E-3</v>
      </c>
      <c r="DZ19" s="195">
        <v>3.09E-2</v>
      </c>
      <c r="EA19" s="195">
        <v>1.8800000000000001E-2</v>
      </c>
      <c r="EB19" s="195">
        <v>1.4999999999999999E-2</v>
      </c>
      <c r="EC19" s="195">
        <v>2.5399999999999999E-2</v>
      </c>
      <c r="ED19" s="195">
        <v>2.3199999999999998E-2</v>
      </c>
      <c r="EE19" s="195">
        <v>2.18E-2</v>
      </c>
      <c r="EF19" s="195">
        <v>2.2700000000000001E-2</v>
      </c>
      <c r="EG19" s="195">
        <v>0.2</v>
      </c>
      <c r="EH19" s="195">
        <v>6.6699999999999995E-2</v>
      </c>
      <c r="EI19" s="195">
        <v>3.0200000000000001E-2</v>
      </c>
      <c r="EL19" s="107">
        <f t="shared" si="31"/>
        <v>0</v>
      </c>
      <c r="EM19" s="107">
        <f t="shared" si="32"/>
        <v>0</v>
      </c>
      <c r="EN19" s="107">
        <f t="shared" si="33"/>
        <v>0</v>
      </c>
      <c r="EO19" s="107">
        <f t="shared" si="34"/>
        <v>0</v>
      </c>
      <c r="EP19" s="107">
        <f t="shared" si="35"/>
        <v>2577.2657515433993</v>
      </c>
      <c r="EQ19" s="107">
        <f t="shared" si="54"/>
        <v>0</v>
      </c>
      <c r="ER19" s="107">
        <f t="shared" si="36"/>
        <v>0</v>
      </c>
      <c r="ES19" s="107">
        <f t="shared" si="37"/>
        <v>0</v>
      </c>
      <c r="ET19" s="107">
        <f t="shared" si="38"/>
        <v>0</v>
      </c>
      <c r="EU19" s="107">
        <f t="shared" si="39"/>
        <v>0</v>
      </c>
      <c r="EV19" s="107">
        <f t="shared" si="40"/>
        <v>0</v>
      </c>
      <c r="EW19" s="107">
        <f t="shared" si="41"/>
        <v>0</v>
      </c>
      <c r="EX19" s="107">
        <f t="shared" si="42"/>
        <v>0</v>
      </c>
      <c r="EY19" s="107">
        <f t="shared" si="43"/>
        <v>0</v>
      </c>
      <c r="EZ19" s="107">
        <f t="shared" si="44"/>
        <v>0</v>
      </c>
      <c r="FA19" s="107">
        <f t="shared" si="45"/>
        <v>0</v>
      </c>
      <c r="FB19" s="107">
        <f t="shared" si="46"/>
        <v>0</v>
      </c>
      <c r="FC19" s="107">
        <f t="shared" si="47"/>
        <v>0</v>
      </c>
      <c r="FD19" s="107">
        <f t="shared" si="48"/>
        <v>0</v>
      </c>
      <c r="FE19" s="107">
        <f t="shared" si="49"/>
        <v>0</v>
      </c>
      <c r="FF19" s="107">
        <f t="shared" si="50"/>
        <v>0</v>
      </c>
      <c r="FG19" s="107">
        <f t="shared" si="55"/>
        <v>2577.2657515433993</v>
      </c>
      <c r="FH19" s="107"/>
      <c r="FI19" s="213">
        <v>12.5</v>
      </c>
      <c r="FJ19" s="223">
        <f t="shared" si="56"/>
        <v>2684.6518245243742</v>
      </c>
      <c r="FK19" s="224">
        <f t="shared" si="57"/>
        <v>122425.33611447559</v>
      </c>
      <c r="FL19" s="226"/>
      <c r="FM19" s="225"/>
      <c r="FN19" s="386" t="s">
        <v>547</v>
      </c>
      <c r="FO19" s="386"/>
      <c r="FP19" s="386"/>
      <c r="FQ19" s="386"/>
      <c r="FR19" s="391">
        <v>459931.69999999984</v>
      </c>
      <c r="FS19" s="386"/>
      <c r="FT19" s="391">
        <v>479879.25116408849</v>
      </c>
      <c r="FU19" s="389"/>
      <c r="FV19" s="391"/>
      <c r="FW19" s="389"/>
      <c r="FX19" s="391"/>
    </row>
    <row r="20" spans="1:180" outlineLevel="1" x14ac:dyDescent="0.35">
      <c r="B20" s="2" t="s">
        <v>329</v>
      </c>
      <c r="C20" s="61">
        <v>18</v>
      </c>
      <c r="D20" s="63">
        <v>0.26</v>
      </c>
      <c r="E20" s="61">
        <v>202170</v>
      </c>
      <c r="F20" s="158" t="s">
        <v>17</v>
      </c>
      <c r="G20" s="169">
        <v>44470</v>
      </c>
      <c r="H20" s="170">
        <f>IFERROR(VLOOKUP($E20,'Actuals (BI Report)'!$A$2:$H$35,4,FALSE),"")</f>
        <v>59578.979999999989</v>
      </c>
      <c r="I20" s="171">
        <f>IFERROR(VLOOKUP($E20,'Actuals (BI Report)'!$A$2:$H$35,7,FALSE),"")</f>
        <v>10486.99</v>
      </c>
      <c r="J20" s="171">
        <f>IFERROR(VLOOKUP($E20,'Actuals (BI Report)'!$A$2:$H$35,5,FALSE),"")</f>
        <v>499.46</v>
      </c>
      <c r="K20" s="171">
        <f>IFERROR(VLOOKUP($E20,'Actuals (BI Report)'!$A$2:$H$35,6,FALSE),"")</f>
        <v>0</v>
      </c>
      <c r="L20" s="172">
        <f t="shared" si="0"/>
        <v>70565.429999999993</v>
      </c>
      <c r="M20" s="170">
        <v>2612388</v>
      </c>
      <c r="N20" s="171">
        <v>479145</v>
      </c>
      <c r="O20" s="171">
        <v>5404</v>
      </c>
      <c r="P20" s="171">
        <v>13071</v>
      </c>
      <c r="Q20" s="172">
        <f t="shared" si="1"/>
        <v>3110008</v>
      </c>
      <c r="R20" s="170">
        <f t="shared" si="2"/>
        <v>2671966.98</v>
      </c>
      <c r="S20" s="171">
        <f t="shared" si="3"/>
        <v>489631.99</v>
      </c>
      <c r="T20" s="171">
        <f t="shared" si="4"/>
        <v>5903.46</v>
      </c>
      <c r="U20" s="171">
        <f t="shared" si="5"/>
        <v>13071</v>
      </c>
      <c r="V20" s="174"/>
      <c r="W20" s="172">
        <f t="shared" si="6"/>
        <v>3180573.4299999997</v>
      </c>
      <c r="X20" s="19">
        <v>44470</v>
      </c>
      <c r="Y20" s="20"/>
      <c r="AA20" s="50"/>
      <c r="AB20" s="50"/>
      <c r="AC20" s="50"/>
      <c r="AD20" s="50"/>
      <c r="AE20" s="50">
        <v>1</v>
      </c>
      <c r="AF20" s="50"/>
      <c r="AG20" s="50"/>
      <c r="AH20" s="50"/>
      <c r="AI20" s="14"/>
      <c r="AJ20" s="14"/>
      <c r="AK20" s="14"/>
      <c r="AL20" s="14"/>
      <c r="AM20" s="14"/>
      <c r="AN20" s="14"/>
      <c r="AO20" s="50"/>
      <c r="AP20" s="50"/>
      <c r="AQ20" s="50"/>
      <c r="AR20" s="14"/>
      <c r="AS20" s="14"/>
      <c r="AT20" s="14"/>
      <c r="AU20" s="14"/>
      <c r="AV20" s="45">
        <f t="shared" si="51"/>
        <v>1</v>
      </c>
      <c r="AX20" s="38">
        <f t="shared" si="7"/>
        <v>0</v>
      </c>
      <c r="AY20" s="38">
        <f t="shared" si="8"/>
        <v>0</v>
      </c>
      <c r="AZ20" s="38">
        <f t="shared" si="9"/>
        <v>0</v>
      </c>
      <c r="BA20" s="38">
        <f t="shared" si="10"/>
        <v>0</v>
      </c>
      <c r="BB20" s="38">
        <f t="shared" si="11"/>
        <v>3180573.4299999997</v>
      </c>
      <c r="BC20" s="38">
        <f t="shared" si="12"/>
        <v>0</v>
      </c>
      <c r="BD20" s="38">
        <f t="shared" si="13"/>
        <v>0</v>
      </c>
      <c r="BE20" s="38">
        <f t="shared" si="14"/>
        <v>0</v>
      </c>
      <c r="BF20" s="38">
        <f t="shared" si="15"/>
        <v>0</v>
      </c>
      <c r="BG20" s="38">
        <f t="shared" si="16"/>
        <v>0</v>
      </c>
      <c r="BH20" s="38">
        <f t="shared" si="17"/>
        <v>0</v>
      </c>
      <c r="BI20" s="38">
        <f t="shared" si="18"/>
        <v>0</v>
      </c>
      <c r="BJ20" s="38">
        <f t="shared" si="19"/>
        <v>0</v>
      </c>
      <c r="BK20" s="38">
        <f t="shared" si="20"/>
        <v>0</v>
      </c>
      <c r="BL20" s="38">
        <f t="shared" si="21"/>
        <v>0</v>
      </c>
      <c r="BM20" s="38">
        <f t="shared" si="22"/>
        <v>0</v>
      </c>
      <c r="BN20" s="38">
        <f t="shared" si="23"/>
        <v>0</v>
      </c>
      <c r="BO20" s="38">
        <f t="shared" si="24"/>
        <v>0</v>
      </c>
      <c r="BP20" s="38">
        <f t="shared" si="25"/>
        <v>0</v>
      </c>
      <c r="BQ20" s="38">
        <f t="shared" si="26"/>
        <v>0</v>
      </c>
      <c r="BR20" s="38">
        <f t="shared" si="27"/>
        <v>0</v>
      </c>
      <c r="BS20" s="39">
        <f t="shared" si="52"/>
        <v>3180573.4299999997</v>
      </c>
      <c r="BT20" s="48">
        <f t="shared" si="28"/>
        <v>0</v>
      </c>
      <c r="BU20" s="193">
        <f>'[1]Primary and Summary'!$D$105</f>
        <v>0.11529999999999996</v>
      </c>
      <c r="BV20" s="193">
        <f>'[1]Primary and Summary'!$D$105</f>
        <v>0.11529999999999996</v>
      </c>
      <c r="BW20" s="193">
        <f>'[1]Primary and Summary'!$D$111</f>
        <v>0.10809999999999997</v>
      </c>
      <c r="BX20" s="193">
        <f>'[1]Primary and Summary'!$D$111</f>
        <v>0.10809999999999997</v>
      </c>
      <c r="BY20" s="193">
        <f>'[1]Primary and Summary'!$D$111</f>
        <v>0.10809999999999997</v>
      </c>
      <c r="BZ20" s="193">
        <f>'[1]Primary and Summary'!$D$111</f>
        <v>0.10809999999999997</v>
      </c>
      <c r="CA20" s="193">
        <f>'[1]Primary and Summary'!$D$111</f>
        <v>0.10809999999999997</v>
      </c>
      <c r="CB20" s="193">
        <f>'[1]Primary and Summary'!$D$111</f>
        <v>0.10809999999999997</v>
      </c>
      <c r="CC20" s="193">
        <f>'[1]Primary and Summary'!$D$111</f>
        <v>0.10809999999999997</v>
      </c>
      <c r="CD20" s="193">
        <f>'[1]Primary and Summary'!$D$111</f>
        <v>0.10809999999999997</v>
      </c>
      <c r="CE20" s="193">
        <f>'[1]Primary and Summary'!$D$111</f>
        <v>0.10809999999999997</v>
      </c>
      <c r="CF20" s="193">
        <f>'[1]Primary and Summary'!$D$111</f>
        <v>0.10809999999999997</v>
      </c>
      <c r="CG20" s="193">
        <f>'[1]Primary and Summary'!$D$120</f>
        <v>1</v>
      </c>
      <c r="CH20" s="193">
        <f>'[1]Primary and Summary'!$D$120</f>
        <v>1</v>
      </c>
      <c r="CI20" s="193">
        <f>'[1]Primary and Summary'!$D$120</f>
        <v>1</v>
      </c>
      <c r="CJ20" s="193">
        <f>'[1]Primary and Summary'!$D$120</f>
        <v>1</v>
      </c>
      <c r="CK20" s="193">
        <f>'[1]Primary and Summary'!$D$120</f>
        <v>1</v>
      </c>
      <c r="CL20" s="193">
        <f>'[1]Primary and Summary'!$D$120</f>
        <v>1</v>
      </c>
      <c r="CM20" s="193">
        <f>'[1]Primary and Summary'!$D$105</f>
        <v>0.11529999999999996</v>
      </c>
      <c r="CN20" s="193">
        <f>'[1]Primary and Summary'!$D$105</f>
        <v>0.11529999999999996</v>
      </c>
      <c r="CO20" s="193">
        <v>1</v>
      </c>
      <c r="CP20" s="39"/>
      <c r="CR20" s="38">
        <f t="shared" si="59"/>
        <v>0</v>
      </c>
      <c r="CS20" s="38">
        <f t="shared" ref="CS20:CS22" si="66">BV20*AY20</f>
        <v>0</v>
      </c>
      <c r="CT20" s="38">
        <f t="shared" ref="CT20:CT22" si="67">BW20*AZ20</f>
        <v>0</v>
      </c>
      <c r="CU20" s="38">
        <f t="shared" ref="CU20:CU22" si="68">BX20*BA20</f>
        <v>0</v>
      </c>
      <c r="CV20" s="38">
        <f t="shared" ref="CV20:CV22" si="69">BY20*BB20</f>
        <v>343819.98778299987</v>
      </c>
      <c r="CW20" s="38">
        <f t="shared" ref="CW20:CW22" si="70">BZ20*BC20</f>
        <v>0</v>
      </c>
      <c r="CX20" s="38">
        <f t="shared" ref="CX20:CX22" si="71">CA20*BD20</f>
        <v>0</v>
      </c>
      <c r="CY20" s="38">
        <f t="shared" ref="CY20:CY22" si="72">CB20*BE20</f>
        <v>0</v>
      </c>
      <c r="CZ20" s="38">
        <f t="shared" ref="CZ20:CZ22" si="73">CC20*BF20</f>
        <v>0</v>
      </c>
      <c r="DA20" s="38">
        <f t="shared" ref="DA20:DA22" si="74">CD20*BG20</f>
        <v>0</v>
      </c>
      <c r="DB20" s="38">
        <f t="shared" ref="DB20:DB22" si="75">CE20*BH20</f>
        <v>0</v>
      </c>
      <c r="DC20" s="38">
        <f t="shared" ref="DC20:DC22" si="76">CF20*BI20</f>
        <v>0</v>
      </c>
      <c r="DD20" s="38">
        <f t="shared" ref="DD20:DD22" si="77">CG20*BJ20</f>
        <v>0</v>
      </c>
      <c r="DE20" s="38">
        <f t="shared" ref="DE20:DE22" si="78">CH20*BK20</f>
        <v>0</v>
      </c>
      <c r="DF20" s="38">
        <f t="shared" ref="DF20:DF22" si="79">CI20*BL20</f>
        <v>0</v>
      </c>
      <c r="DG20" s="38">
        <f t="shared" ref="DG20:DG22" si="80">CJ20*BM20</f>
        <v>0</v>
      </c>
      <c r="DH20" s="38">
        <f t="shared" si="61"/>
        <v>0</v>
      </c>
      <c r="DI20" s="38">
        <f t="shared" si="62"/>
        <v>0</v>
      </c>
      <c r="DJ20" s="38">
        <f t="shared" si="63"/>
        <v>0</v>
      </c>
      <c r="DK20" s="38">
        <f t="shared" si="64"/>
        <v>0</v>
      </c>
      <c r="DL20" s="38">
        <f t="shared" si="65"/>
        <v>0</v>
      </c>
      <c r="DM20" s="83">
        <f t="shared" si="53"/>
        <v>343819.98778299987</v>
      </c>
      <c r="DO20" s="195">
        <v>6.7799999999999999E-2</v>
      </c>
      <c r="DP20" s="194">
        <f t="shared" si="30"/>
        <v>0.1</v>
      </c>
      <c r="DQ20" s="195">
        <v>1.4999999999999999E-2</v>
      </c>
      <c r="DR20" s="195">
        <v>1.4999999999999999E-2</v>
      </c>
      <c r="DS20" s="195">
        <v>2.06E-2</v>
      </c>
      <c r="DT20" s="195">
        <v>1.78E-2</v>
      </c>
      <c r="DU20" s="195">
        <v>2.2700000000000001E-2</v>
      </c>
      <c r="DV20" s="195">
        <v>2.1700000000000001E-2</v>
      </c>
      <c r="DW20" s="195">
        <v>4.3299999999999998E-2</v>
      </c>
      <c r="DX20" s="195">
        <v>1.3100000000000001E-2</v>
      </c>
      <c r="DY20" s="195">
        <v>4.7000000000000002E-3</v>
      </c>
      <c r="DZ20" s="195">
        <v>3.09E-2</v>
      </c>
      <c r="EA20" s="195">
        <v>1.8800000000000001E-2</v>
      </c>
      <c r="EB20" s="195">
        <v>1.4999999999999999E-2</v>
      </c>
      <c r="EC20" s="195">
        <v>2.5399999999999999E-2</v>
      </c>
      <c r="ED20" s="195">
        <v>2.3199999999999998E-2</v>
      </c>
      <c r="EE20" s="195">
        <v>2.18E-2</v>
      </c>
      <c r="EF20" s="195">
        <v>2.2700000000000001E-2</v>
      </c>
      <c r="EG20" s="195">
        <v>0.2</v>
      </c>
      <c r="EH20" s="195">
        <v>6.6699999999999995E-2</v>
      </c>
      <c r="EI20" s="195">
        <v>3.0200000000000001E-2</v>
      </c>
      <c r="EL20" s="107">
        <f t="shared" si="31"/>
        <v>0</v>
      </c>
      <c r="EM20" s="107">
        <f t="shared" si="32"/>
        <v>0</v>
      </c>
      <c r="EN20" s="107">
        <f t="shared" si="33"/>
        <v>0</v>
      </c>
      <c r="EO20" s="107">
        <f t="shared" si="34"/>
        <v>0</v>
      </c>
      <c r="EP20" s="107">
        <f t="shared" si="35"/>
        <v>7082.6917483297975</v>
      </c>
      <c r="EQ20" s="107">
        <f t="shared" si="54"/>
        <v>0</v>
      </c>
      <c r="ER20" s="107">
        <f t="shared" si="36"/>
        <v>0</v>
      </c>
      <c r="ES20" s="107">
        <f t="shared" si="37"/>
        <v>0</v>
      </c>
      <c r="ET20" s="107">
        <f t="shared" si="38"/>
        <v>0</v>
      </c>
      <c r="EU20" s="107">
        <f t="shared" si="39"/>
        <v>0</v>
      </c>
      <c r="EV20" s="107">
        <f t="shared" si="40"/>
        <v>0</v>
      </c>
      <c r="EW20" s="107">
        <f t="shared" si="41"/>
        <v>0</v>
      </c>
      <c r="EX20" s="107">
        <f t="shared" si="42"/>
        <v>0</v>
      </c>
      <c r="EY20" s="107">
        <f t="shared" si="43"/>
        <v>0</v>
      </c>
      <c r="EZ20" s="107">
        <f t="shared" si="44"/>
        <v>0</v>
      </c>
      <c r="FA20" s="107">
        <f t="shared" si="45"/>
        <v>0</v>
      </c>
      <c r="FB20" s="107">
        <f t="shared" si="46"/>
        <v>0</v>
      </c>
      <c r="FC20" s="107">
        <f t="shared" si="47"/>
        <v>0</v>
      </c>
      <c r="FD20" s="107">
        <f t="shared" si="48"/>
        <v>0</v>
      </c>
      <c r="FE20" s="107">
        <f t="shared" si="49"/>
        <v>0</v>
      </c>
      <c r="FF20" s="107">
        <f t="shared" si="50"/>
        <v>0</v>
      </c>
      <c r="FG20" s="107">
        <f t="shared" si="55"/>
        <v>7082.6917483297975</v>
      </c>
      <c r="FH20" s="107"/>
      <c r="FI20" s="213">
        <v>12.5</v>
      </c>
      <c r="FJ20" s="223">
        <f t="shared" si="56"/>
        <v>7377.8039045102059</v>
      </c>
      <c r="FK20" s="224">
        <f t="shared" si="57"/>
        <v>336442.18387848965</v>
      </c>
      <c r="FL20" s="226"/>
      <c r="FM20" s="227"/>
      <c r="FN20" s="386" t="s">
        <v>546</v>
      </c>
      <c r="FO20" s="386"/>
      <c r="FP20" s="386"/>
      <c r="FQ20" s="386"/>
      <c r="FR20" s="391">
        <f>SUM(FG29:FG36)</f>
        <v>698223.07819372322</v>
      </c>
      <c r="FS20" s="391">
        <f>SUM(FK29:FK36)</f>
        <v>8280803.1928469939</v>
      </c>
      <c r="FT20" s="391">
        <v>1431568.0309903163</v>
      </c>
      <c r="FU20" s="389"/>
      <c r="FV20" s="391"/>
      <c r="FW20" s="389"/>
      <c r="FX20" s="391"/>
    </row>
    <row r="21" spans="1:180" outlineLevel="1" x14ac:dyDescent="0.35">
      <c r="B21" s="80" t="s">
        <v>330</v>
      </c>
      <c r="C21">
        <v>18</v>
      </c>
      <c r="D21" s="8">
        <v>0.26</v>
      </c>
      <c r="E21">
        <v>202075</v>
      </c>
      <c r="F21" s="158" t="s">
        <v>12</v>
      </c>
      <c r="G21" s="169">
        <v>44105</v>
      </c>
      <c r="H21" s="170">
        <f>IFERROR(VLOOKUP($E21,'Actuals (BI Report)'!$A$2:$H$35,4,FALSE),"")</f>
        <v>778197.25</v>
      </c>
      <c r="I21" s="171">
        <f>IFERROR(VLOOKUP($E21,'Actuals (BI Report)'!$A$2:$H$35,7,FALSE),"")</f>
        <v>188879.25</v>
      </c>
      <c r="J21" s="171">
        <f>IFERROR(VLOOKUP($E21,'Actuals (BI Report)'!$A$2:$H$35,5,FALSE),"")</f>
        <v>4095.37</v>
      </c>
      <c r="K21" s="171">
        <f>IFERROR(VLOOKUP($E21,'Actuals (BI Report)'!$A$2:$H$35,6,FALSE),"")</f>
        <v>0</v>
      </c>
      <c r="L21" s="172">
        <f t="shared" si="0"/>
        <v>971171.87</v>
      </c>
      <c r="M21" s="170">
        <v>778114</v>
      </c>
      <c r="N21" s="171">
        <v>69298</v>
      </c>
      <c r="O21" s="171">
        <v>1614</v>
      </c>
      <c r="P21" s="171">
        <v>3099</v>
      </c>
      <c r="Q21" s="172">
        <f t="shared" si="1"/>
        <v>852125</v>
      </c>
      <c r="R21" s="170">
        <f t="shared" si="2"/>
        <v>1556311.25</v>
      </c>
      <c r="S21" s="171">
        <f t="shared" si="3"/>
        <v>258177.25</v>
      </c>
      <c r="T21" s="171">
        <f t="shared" si="4"/>
        <v>5709.37</v>
      </c>
      <c r="U21" s="171">
        <f t="shared" si="5"/>
        <v>3099</v>
      </c>
      <c r="V21" s="174"/>
      <c r="W21" s="172">
        <f t="shared" si="6"/>
        <v>1823296.87</v>
      </c>
      <c r="X21" s="19">
        <v>44105</v>
      </c>
      <c r="Y21" s="20"/>
      <c r="AA21" s="50"/>
      <c r="AB21" s="50"/>
      <c r="AC21" s="50"/>
      <c r="AD21" s="50"/>
      <c r="AE21" s="50"/>
      <c r="AF21" s="50"/>
      <c r="AG21" s="50">
        <v>1</v>
      </c>
      <c r="AH21" s="50"/>
      <c r="AI21" s="14"/>
      <c r="AJ21" s="14"/>
      <c r="AK21" s="14"/>
      <c r="AL21" s="14"/>
      <c r="AM21" s="14"/>
      <c r="AN21" s="14"/>
      <c r="AO21" s="50"/>
      <c r="AP21" s="50"/>
      <c r="AQ21" s="50"/>
      <c r="AR21" s="14"/>
      <c r="AS21" s="14"/>
      <c r="AT21" s="14"/>
      <c r="AU21" s="14"/>
      <c r="AV21" s="45">
        <f t="shared" si="51"/>
        <v>1</v>
      </c>
      <c r="AX21" s="38">
        <f t="shared" ref="AX21:AX22" si="81">AA21*$W21</f>
        <v>0</v>
      </c>
      <c r="AY21" s="38">
        <f t="shared" si="8"/>
        <v>0</v>
      </c>
      <c r="AZ21" s="38">
        <f t="shared" si="9"/>
        <v>0</v>
      </c>
      <c r="BA21" s="38">
        <f t="shared" si="10"/>
        <v>0</v>
      </c>
      <c r="BB21" s="38">
        <f t="shared" si="11"/>
        <v>0</v>
      </c>
      <c r="BC21" s="38">
        <f t="shared" si="12"/>
        <v>0</v>
      </c>
      <c r="BD21" s="38">
        <f t="shared" si="13"/>
        <v>1823296.87</v>
      </c>
      <c r="BE21" s="38">
        <f t="shared" si="14"/>
        <v>0</v>
      </c>
      <c r="BF21" s="38">
        <f t="shared" si="15"/>
        <v>0</v>
      </c>
      <c r="BG21" s="38">
        <f t="shared" si="16"/>
        <v>0</v>
      </c>
      <c r="BH21" s="38">
        <f t="shared" si="17"/>
        <v>0</v>
      </c>
      <c r="BI21" s="38">
        <f t="shared" si="18"/>
        <v>0</v>
      </c>
      <c r="BJ21" s="38">
        <f t="shared" si="19"/>
        <v>0</v>
      </c>
      <c r="BK21" s="38">
        <f t="shared" si="20"/>
        <v>0</v>
      </c>
      <c r="BL21" s="38">
        <f t="shared" si="21"/>
        <v>0</v>
      </c>
      <c r="BM21" s="38">
        <f t="shared" si="22"/>
        <v>0</v>
      </c>
      <c r="BN21" s="38">
        <f t="shared" si="23"/>
        <v>0</v>
      </c>
      <c r="BO21" s="38">
        <f t="shared" si="24"/>
        <v>0</v>
      </c>
      <c r="BP21" s="38">
        <f t="shared" si="25"/>
        <v>0</v>
      </c>
      <c r="BQ21" s="38">
        <f t="shared" si="26"/>
        <v>0</v>
      </c>
      <c r="BR21" s="38">
        <f t="shared" si="27"/>
        <v>0</v>
      </c>
      <c r="BS21" s="39">
        <f t="shared" si="52"/>
        <v>1823296.87</v>
      </c>
      <c r="BT21" s="48">
        <f t="shared" si="28"/>
        <v>0</v>
      </c>
      <c r="BU21" s="193">
        <f>'[1]Primary and Summary'!$D$105</f>
        <v>0.11529999999999996</v>
      </c>
      <c r="BV21" s="193">
        <f>'[1]Primary and Summary'!$D$105</f>
        <v>0.11529999999999996</v>
      </c>
      <c r="BW21" s="193">
        <f>'[1]Primary and Summary'!$D$111</f>
        <v>0.10809999999999997</v>
      </c>
      <c r="BX21" s="193">
        <f>'[1]Primary and Summary'!$D$111</f>
        <v>0.10809999999999997</v>
      </c>
      <c r="BY21" s="193">
        <f>'[1]Primary and Summary'!$D$111</f>
        <v>0.10809999999999997</v>
      </c>
      <c r="BZ21" s="193">
        <f>'[1]Primary and Summary'!$D$111</f>
        <v>0.10809999999999997</v>
      </c>
      <c r="CA21" s="193">
        <f>'[1]Primary and Summary'!$D$111</f>
        <v>0.10809999999999997</v>
      </c>
      <c r="CB21" s="193">
        <f>'[1]Primary and Summary'!$D$111</f>
        <v>0.10809999999999997</v>
      </c>
      <c r="CC21" s="193">
        <f>'[1]Primary and Summary'!$D$111</f>
        <v>0.10809999999999997</v>
      </c>
      <c r="CD21" s="193">
        <f>'[1]Primary and Summary'!$D$111</f>
        <v>0.10809999999999997</v>
      </c>
      <c r="CE21" s="193">
        <f>'[1]Primary and Summary'!$D$111</f>
        <v>0.10809999999999997</v>
      </c>
      <c r="CF21" s="193">
        <f>'[1]Primary and Summary'!$D$111</f>
        <v>0.10809999999999997</v>
      </c>
      <c r="CG21" s="193">
        <f>'[1]Primary and Summary'!$D$120</f>
        <v>1</v>
      </c>
      <c r="CH21" s="193">
        <f>'[1]Primary and Summary'!$D$120</f>
        <v>1</v>
      </c>
      <c r="CI21" s="193">
        <f>'[1]Primary and Summary'!$D$120</f>
        <v>1</v>
      </c>
      <c r="CJ21" s="193">
        <f>'[1]Primary and Summary'!$D$120</f>
        <v>1</v>
      </c>
      <c r="CK21" s="193">
        <f>'[1]Primary and Summary'!$D$120</f>
        <v>1</v>
      </c>
      <c r="CL21" s="193">
        <f>'[1]Primary and Summary'!$D$120</f>
        <v>1</v>
      </c>
      <c r="CM21" s="193">
        <f>'[1]Primary and Summary'!$D$105</f>
        <v>0.11529999999999996</v>
      </c>
      <c r="CN21" s="193">
        <f>'[1]Primary and Summary'!$D$105</f>
        <v>0.11529999999999996</v>
      </c>
      <c r="CO21" s="193">
        <v>1</v>
      </c>
      <c r="CP21" s="39"/>
      <c r="CR21" s="38">
        <f t="shared" si="59"/>
        <v>0</v>
      </c>
      <c r="CS21" s="38">
        <f t="shared" si="66"/>
        <v>0</v>
      </c>
      <c r="CT21" s="38">
        <f t="shared" si="67"/>
        <v>0</v>
      </c>
      <c r="CU21" s="38">
        <f t="shared" si="68"/>
        <v>0</v>
      </c>
      <c r="CV21" s="38">
        <f t="shared" si="69"/>
        <v>0</v>
      </c>
      <c r="CW21" s="38">
        <f t="shared" si="70"/>
        <v>0</v>
      </c>
      <c r="CX21" s="38">
        <f t="shared" si="71"/>
        <v>197098.39164699995</v>
      </c>
      <c r="CY21" s="38">
        <f t="shared" si="72"/>
        <v>0</v>
      </c>
      <c r="CZ21" s="38">
        <f t="shared" si="73"/>
        <v>0</v>
      </c>
      <c r="DA21" s="38">
        <f t="shared" si="74"/>
        <v>0</v>
      </c>
      <c r="DB21" s="38">
        <f t="shared" si="75"/>
        <v>0</v>
      </c>
      <c r="DC21" s="38">
        <f t="shared" si="76"/>
        <v>0</v>
      </c>
      <c r="DD21" s="38">
        <f t="shared" si="77"/>
        <v>0</v>
      </c>
      <c r="DE21" s="38">
        <f t="shared" si="78"/>
        <v>0</v>
      </c>
      <c r="DF21" s="38">
        <f t="shared" si="79"/>
        <v>0</v>
      </c>
      <c r="DG21" s="38">
        <f t="shared" si="80"/>
        <v>0</v>
      </c>
      <c r="DH21" s="38">
        <f t="shared" si="61"/>
        <v>0</v>
      </c>
      <c r="DI21" s="38">
        <f t="shared" si="62"/>
        <v>0</v>
      </c>
      <c r="DJ21" s="38">
        <f t="shared" si="63"/>
        <v>0</v>
      </c>
      <c r="DK21" s="38">
        <f t="shared" si="64"/>
        <v>0</v>
      </c>
      <c r="DL21" s="38">
        <f t="shared" si="65"/>
        <v>0</v>
      </c>
      <c r="DM21" s="83">
        <f t="shared" si="53"/>
        <v>197098.39164699995</v>
      </c>
      <c r="DO21" s="195">
        <v>6.7799999999999999E-2</v>
      </c>
      <c r="DP21" s="194">
        <f t="shared" si="30"/>
        <v>0.1</v>
      </c>
      <c r="DQ21" s="195">
        <v>1.4999999999999999E-2</v>
      </c>
      <c r="DR21" s="195">
        <v>1.4999999999999999E-2</v>
      </c>
      <c r="DS21" s="195">
        <v>2.06E-2</v>
      </c>
      <c r="DT21" s="195">
        <v>1.78E-2</v>
      </c>
      <c r="DU21" s="195">
        <v>2.2700000000000001E-2</v>
      </c>
      <c r="DV21" s="195">
        <v>2.1700000000000001E-2</v>
      </c>
      <c r="DW21" s="195">
        <v>4.3299999999999998E-2</v>
      </c>
      <c r="DX21" s="195">
        <v>1.3100000000000001E-2</v>
      </c>
      <c r="DY21" s="195">
        <v>4.7000000000000002E-3</v>
      </c>
      <c r="DZ21" s="195">
        <v>3.09E-2</v>
      </c>
      <c r="EA21" s="195">
        <v>1.8800000000000001E-2</v>
      </c>
      <c r="EB21" s="195">
        <v>1.4999999999999999E-2</v>
      </c>
      <c r="EC21" s="195">
        <v>2.5399999999999999E-2</v>
      </c>
      <c r="ED21" s="195">
        <v>2.3199999999999998E-2</v>
      </c>
      <c r="EE21" s="195">
        <v>2.18E-2</v>
      </c>
      <c r="EF21" s="195">
        <v>2.2700000000000001E-2</v>
      </c>
      <c r="EG21" s="195">
        <v>0.2</v>
      </c>
      <c r="EH21" s="195">
        <v>6.6699999999999995E-2</v>
      </c>
      <c r="EI21" s="195">
        <v>3.0200000000000001E-2</v>
      </c>
      <c r="EL21" s="107">
        <f t="shared" si="31"/>
        <v>0</v>
      </c>
      <c r="EM21" s="107">
        <f t="shared" si="32"/>
        <v>0</v>
      </c>
      <c r="EN21" s="107">
        <f t="shared" si="33"/>
        <v>0</v>
      </c>
      <c r="EO21" s="107">
        <f t="shared" si="34"/>
        <v>0</v>
      </c>
      <c r="EP21" s="107">
        <f t="shared" si="35"/>
        <v>0</v>
      </c>
      <c r="EQ21" s="107">
        <f t="shared" si="54"/>
        <v>0</v>
      </c>
      <c r="ER21" s="107">
        <f t="shared" si="36"/>
        <v>4474.1334903868992</v>
      </c>
      <c r="ES21" s="107">
        <f t="shared" si="37"/>
        <v>0</v>
      </c>
      <c r="ET21" s="107">
        <f t="shared" si="38"/>
        <v>0</v>
      </c>
      <c r="EU21" s="107">
        <f t="shared" si="39"/>
        <v>0</v>
      </c>
      <c r="EV21" s="107">
        <f t="shared" si="40"/>
        <v>0</v>
      </c>
      <c r="EW21" s="107">
        <f t="shared" si="41"/>
        <v>0</v>
      </c>
      <c r="EX21" s="107">
        <f t="shared" si="42"/>
        <v>0</v>
      </c>
      <c r="EY21" s="107">
        <f t="shared" si="43"/>
        <v>0</v>
      </c>
      <c r="EZ21" s="107">
        <f t="shared" si="44"/>
        <v>0</v>
      </c>
      <c r="FA21" s="107">
        <f t="shared" si="45"/>
        <v>0</v>
      </c>
      <c r="FB21" s="107">
        <f t="shared" si="46"/>
        <v>0</v>
      </c>
      <c r="FC21" s="107">
        <f t="shared" si="47"/>
        <v>0</v>
      </c>
      <c r="FD21" s="107">
        <f t="shared" si="48"/>
        <v>0</v>
      </c>
      <c r="FE21" s="107">
        <f t="shared" si="49"/>
        <v>0</v>
      </c>
      <c r="FF21" s="107">
        <f t="shared" si="50"/>
        <v>0</v>
      </c>
      <c r="FG21" s="107">
        <f t="shared" si="55"/>
        <v>4474.1334903868992</v>
      </c>
      <c r="FH21" s="107"/>
      <c r="FI21" s="213">
        <v>12.5</v>
      </c>
      <c r="FJ21" s="223">
        <f t="shared" si="56"/>
        <v>4660.5557191530206</v>
      </c>
      <c r="FK21" s="224">
        <f t="shared" si="57"/>
        <v>192437.83592784693</v>
      </c>
      <c r="FL21" s="225"/>
      <c r="FM21" s="225"/>
      <c r="FN21" s="386" t="s">
        <v>554</v>
      </c>
      <c r="FO21" s="386"/>
      <c r="FP21" s="386"/>
      <c r="FQ21" s="386"/>
      <c r="FR21" s="391">
        <v>-159099.67973999993</v>
      </c>
      <c r="FS21" s="393">
        <v>0</v>
      </c>
      <c r="FT21" s="393">
        <v>-166000</v>
      </c>
      <c r="FU21" s="389"/>
      <c r="FV21" s="393"/>
      <c r="FW21" s="389"/>
      <c r="FX21" s="393"/>
    </row>
    <row r="22" spans="1:180" outlineLevel="1" x14ac:dyDescent="0.35">
      <c r="B22" s="80" t="s">
        <v>330</v>
      </c>
      <c r="C22">
        <v>529</v>
      </c>
      <c r="D22" s="8">
        <v>0.26</v>
      </c>
      <c r="E22">
        <v>202045</v>
      </c>
      <c r="F22" s="158" t="s">
        <v>13</v>
      </c>
      <c r="G22" s="169">
        <v>44105</v>
      </c>
      <c r="H22" s="170">
        <f>IFERROR(VLOOKUP($E22,'Actuals (BI Report)'!$A$2:$H$35,4,FALSE),"")</f>
        <v>2299930.9300000002</v>
      </c>
      <c r="I22" s="171">
        <f>IFERROR(VLOOKUP($E22,'Actuals (BI Report)'!$A$2:$H$35,7,FALSE),"")</f>
        <v>373201.04</v>
      </c>
      <c r="J22" s="171">
        <f>IFERROR(VLOOKUP($E22,'Actuals (BI Report)'!$A$2:$H$35,5,FALSE),"")</f>
        <v>22455.21</v>
      </c>
      <c r="K22" s="171">
        <f>IFERROR(VLOOKUP($E22,'Actuals (BI Report)'!$A$2:$H$35,6,FALSE),"")</f>
        <v>0</v>
      </c>
      <c r="L22" s="172">
        <f t="shared" si="0"/>
        <v>2695587.18</v>
      </c>
      <c r="M22" s="170">
        <v>128664</v>
      </c>
      <c r="N22" s="171">
        <v>13683</v>
      </c>
      <c r="O22" s="171">
        <v>3462</v>
      </c>
      <c r="P22" s="171">
        <v>6645</v>
      </c>
      <c r="Q22" s="172">
        <f t="shared" si="1"/>
        <v>152454</v>
      </c>
      <c r="R22" s="170">
        <f t="shared" si="2"/>
        <v>2428594.9300000002</v>
      </c>
      <c r="S22" s="171">
        <f t="shared" si="3"/>
        <v>386884.04</v>
      </c>
      <c r="T22" s="171">
        <f t="shared" si="4"/>
        <v>25917.21</v>
      </c>
      <c r="U22" s="171">
        <f t="shared" si="5"/>
        <v>6645</v>
      </c>
      <c r="V22" s="174"/>
      <c r="W22" s="172">
        <f t="shared" si="6"/>
        <v>2848041.18</v>
      </c>
      <c r="X22" s="19">
        <v>44105</v>
      </c>
      <c r="Y22" s="20"/>
      <c r="AA22" s="14"/>
      <c r="AB22" s="14"/>
      <c r="AC22" s="14"/>
      <c r="AD22" s="14"/>
      <c r="AE22" s="14"/>
      <c r="AF22" s="14"/>
      <c r="AG22" s="14"/>
      <c r="AH22" s="14"/>
      <c r="AI22" s="50"/>
      <c r="AJ22" s="14"/>
      <c r="AK22" s="14"/>
      <c r="AL22" s="50">
        <v>1</v>
      </c>
      <c r="AM22" s="14"/>
      <c r="AN22" s="14"/>
      <c r="AO22" s="14"/>
      <c r="AP22" s="14"/>
      <c r="AQ22" s="14"/>
      <c r="AR22" s="14"/>
      <c r="AS22" s="14"/>
      <c r="AT22" s="14"/>
      <c r="AU22" s="14"/>
      <c r="AV22" s="45">
        <f t="shared" si="51"/>
        <v>1</v>
      </c>
      <c r="AX22" s="38">
        <f t="shared" si="81"/>
        <v>0</v>
      </c>
      <c r="AY22" s="38">
        <f t="shared" si="8"/>
        <v>0</v>
      </c>
      <c r="AZ22" s="38">
        <f t="shared" si="9"/>
        <v>0</v>
      </c>
      <c r="BA22" s="38">
        <f t="shared" si="10"/>
        <v>0</v>
      </c>
      <c r="BB22" s="38">
        <f t="shared" si="11"/>
        <v>0</v>
      </c>
      <c r="BC22" s="38">
        <f t="shared" si="12"/>
        <v>0</v>
      </c>
      <c r="BD22" s="38">
        <f t="shared" si="13"/>
        <v>0</v>
      </c>
      <c r="BE22" s="38">
        <f t="shared" si="14"/>
        <v>0</v>
      </c>
      <c r="BF22" s="38">
        <f t="shared" si="15"/>
        <v>0</v>
      </c>
      <c r="BG22" s="38">
        <f t="shared" si="16"/>
        <v>0</v>
      </c>
      <c r="BH22" s="38">
        <f t="shared" si="17"/>
        <v>0</v>
      </c>
      <c r="BI22" s="38">
        <f t="shared" si="18"/>
        <v>2848041.18</v>
      </c>
      <c r="BJ22" s="38">
        <f t="shared" si="19"/>
        <v>0</v>
      </c>
      <c r="BK22" s="38">
        <f t="shared" si="20"/>
        <v>0</v>
      </c>
      <c r="BL22" s="38">
        <f t="shared" si="21"/>
        <v>0</v>
      </c>
      <c r="BM22" s="38">
        <f t="shared" si="22"/>
        <v>0</v>
      </c>
      <c r="BN22" s="38">
        <f t="shared" si="23"/>
        <v>0</v>
      </c>
      <c r="BO22" s="38">
        <f t="shared" si="24"/>
        <v>0</v>
      </c>
      <c r="BP22" s="38">
        <f t="shared" si="25"/>
        <v>0</v>
      </c>
      <c r="BQ22" s="38">
        <f t="shared" si="26"/>
        <v>0</v>
      </c>
      <c r="BR22" s="38">
        <f t="shared" si="27"/>
        <v>0</v>
      </c>
      <c r="BS22" s="39">
        <f t="shared" si="52"/>
        <v>2848041.18</v>
      </c>
      <c r="BT22" s="48">
        <f t="shared" si="28"/>
        <v>0</v>
      </c>
      <c r="BU22" s="193">
        <f>'[1]Primary and Summary'!$D$105</f>
        <v>0.11529999999999996</v>
      </c>
      <c r="BV22" s="193">
        <f>'[1]Primary and Summary'!$D$105</f>
        <v>0.11529999999999996</v>
      </c>
      <c r="BW22" s="193">
        <f>'[1]Primary and Summary'!$D$111</f>
        <v>0.10809999999999997</v>
      </c>
      <c r="BX22" s="193">
        <f>'[1]Primary and Summary'!$D$111</f>
        <v>0.10809999999999997</v>
      </c>
      <c r="BY22" s="193">
        <f>'[1]Primary and Summary'!$D$111</f>
        <v>0.10809999999999997</v>
      </c>
      <c r="BZ22" s="193">
        <f>'[1]Primary and Summary'!$D$111</f>
        <v>0.10809999999999997</v>
      </c>
      <c r="CA22" s="193">
        <f>'[1]Primary and Summary'!$D$111</f>
        <v>0.10809999999999997</v>
      </c>
      <c r="CB22" s="193">
        <f>'[1]Primary and Summary'!$D$111</f>
        <v>0.10809999999999997</v>
      </c>
      <c r="CC22" s="193">
        <f>'[1]Primary and Summary'!$D$111</f>
        <v>0.10809999999999997</v>
      </c>
      <c r="CD22" s="193">
        <f>'[1]Primary and Summary'!$D$111</f>
        <v>0.10809999999999997</v>
      </c>
      <c r="CE22" s="193">
        <f>'[1]Primary and Summary'!$D$111</f>
        <v>0.10809999999999997</v>
      </c>
      <c r="CF22" s="193">
        <f>'[1]Primary and Summary'!$D$111</f>
        <v>0.10809999999999997</v>
      </c>
      <c r="CG22" s="193">
        <f>'[1]Primary and Summary'!$D$120</f>
        <v>1</v>
      </c>
      <c r="CH22" s="193">
        <f>'[1]Primary and Summary'!$D$120</f>
        <v>1</v>
      </c>
      <c r="CI22" s="193">
        <f>'[1]Primary and Summary'!$D$120</f>
        <v>1</v>
      </c>
      <c r="CJ22" s="193">
        <f>'[1]Primary and Summary'!$D$120</f>
        <v>1</v>
      </c>
      <c r="CK22" s="193">
        <f>'[1]Primary and Summary'!$D$120</f>
        <v>1</v>
      </c>
      <c r="CL22" s="193">
        <f>'[1]Primary and Summary'!$D$120</f>
        <v>1</v>
      </c>
      <c r="CM22" s="193">
        <f>'[1]Primary and Summary'!$D$105</f>
        <v>0.11529999999999996</v>
      </c>
      <c r="CN22" s="193">
        <f>'[1]Primary and Summary'!$D$105</f>
        <v>0.11529999999999996</v>
      </c>
      <c r="CO22" s="193">
        <v>1</v>
      </c>
      <c r="CP22" s="39"/>
      <c r="CR22" s="38">
        <f t="shared" si="59"/>
        <v>0</v>
      </c>
      <c r="CS22" s="38">
        <f t="shared" si="66"/>
        <v>0</v>
      </c>
      <c r="CT22" s="38">
        <f t="shared" si="67"/>
        <v>0</v>
      </c>
      <c r="CU22" s="38">
        <f t="shared" si="68"/>
        <v>0</v>
      </c>
      <c r="CV22" s="38">
        <f t="shared" si="69"/>
        <v>0</v>
      </c>
      <c r="CW22" s="38">
        <f t="shared" si="70"/>
        <v>0</v>
      </c>
      <c r="CX22" s="38">
        <f t="shared" si="71"/>
        <v>0</v>
      </c>
      <c r="CY22" s="38">
        <f t="shared" si="72"/>
        <v>0</v>
      </c>
      <c r="CZ22" s="38">
        <f t="shared" si="73"/>
        <v>0</v>
      </c>
      <c r="DA22" s="38">
        <f t="shared" si="74"/>
        <v>0</v>
      </c>
      <c r="DB22" s="38">
        <f t="shared" si="75"/>
        <v>0</v>
      </c>
      <c r="DC22" s="38">
        <f t="shared" si="76"/>
        <v>307873.25155799993</v>
      </c>
      <c r="DD22" s="38">
        <f t="shared" si="77"/>
        <v>0</v>
      </c>
      <c r="DE22" s="38">
        <f t="shared" si="78"/>
        <v>0</v>
      </c>
      <c r="DF22" s="38">
        <f t="shared" si="79"/>
        <v>0</v>
      </c>
      <c r="DG22" s="38">
        <f t="shared" si="80"/>
        <v>0</v>
      </c>
      <c r="DH22" s="38">
        <f t="shared" si="61"/>
        <v>0</v>
      </c>
      <c r="DI22" s="38">
        <f t="shared" si="62"/>
        <v>0</v>
      </c>
      <c r="DJ22" s="38">
        <f t="shared" si="63"/>
        <v>0</v>
      </c>
      <c r="DK22" s="38">
        <f t="shared" si="64"/>
        <v>0</v>
      </c>
      <c r="DL22" s="38">
        <f t="shared" si="65"/>
        <v>0</v>
      </c>
      <c r="DM22" s="83">
        <f t="shared" si="53"/>
        <v>307873.25155799993</v>
      </c>
      <c r="DO22" s="195">
        <v>6.7799999999999999E-2</v>
      </c>
      <c r="DP22" s="194">
        <f t="shared" si="30"/>
        <v>0.1</v>
      </c>
      <c r="DQ22" s="195">
        <v>1.4999999999999999E-2</v>
      </c>
      <c r="DR22" s="195">
        <v>1.4999999999999999E-2</v>
      </c>
      <c r="DS22" s="195">
        <v>2.06E-2</v>
      </c>
      <c r="DT22" s="195">
        <v>1.78E-2</v>
      </c>
      <c r="DU22" s="195">
        <v>2.2700000000000001E-2</v>
      </c>
      <c r="DV22" s="195">
        <v>2.1700000000000001E-2</v>
      </c>
      <c r="DW22" s="195">
        <v>4.3299999999999998E-2</v>
      </c>
      <c r="DX22" s="195">
        <v>1.3100000000000001E-2</v>
      </c>
      <c r="DY22" s="195">
        <v>4.7000000000000002E-3</v>
      </c>
      <c r="DZ22" s="195">
        <v>3.09E-2</v>
      </c>
      <c r="EA22" s="195">
        <v>1.8800000000000001E-2</v>
      </c>
      <c r="EB22" s="195">
        <v>1.4999999999999999E-2</v>
      </c>
      <c r="EC22" s="195">
        <v>2.5399999999999999E-2</v>
      </c>
      <c r="ED22" s="195">
        <v>2.3199999999999998E-2</v>
      </c>
      <c r="EE22" s="195">
        <v>2.18E-2</v>
      </c>
      <c r="EF22" s="195">
        <v>2.2700000000000001E-2</v>
      </c>
      <c r="EG22" s="195">
        <v>0.2</v>
      </c>
      <c r="EH22" s="195">
        <v>6.6699999999999995E-2</v>
      </c>
      <c r="EI22" s="195">
        <v>3.0200000000000001E-2</v>
      </c>
      <c r="EL22" s="107">
        <f t="shared" si="31"/>
        <v>0</v>
      </c>
      <c r="EM22" s="107">
        <f t="shared" si="32"/>
        <v>0</v>
      </c>
      <c r="EN22" s="107">
        <f t="shared" si="33"/>
        <v>0</v>
      </c>
      <c r="EO22" s="107">
        <f t="shared" si="34"/>
        <v>0</v>
      </c>
      <c r="EP22" s="107">
        <f t="shared" si="35"/>
        <v>0</v>
      </c>
      <c r="EQ22" s="107">
        <f t="shared" si="54"/>
        <v>0</v>
      </c>
      <c r="ER22" s="107">
        <f t="shared" si="36"/>
        <v>0</v>
      </c>
      <c r="ES22" s="107">
        <f t="shared" si="37"/>
        <v>0</v>
      </c>
      <c r="ET22" s="107">
        <f t="shared" si="38"/>
        <v>0</v>
      </c>
      <c r="EU22" s="107">
        <f t="shared" si="39"/>
        <v>0</v>
      </c>
      <c r="EV22" s="107">
        <f t="shared" si="40"/>
        <v>0</v>
      </c>
      <c r="EW22" s="107">
        <f t="shared" si="41"/>
        <v>9513.2834731421972</v>
      </c>
      <c r="EX22" s="107">
        <f t="shared" si="42"/>
        <v>0</v>
      </c>
      <c r="EY22" s="107">
        <f t="shared" si="43"/>
        <v>0</v>
      </c>
      <c r="EZ22" s="107">
        <f t="shared" si="44"/>
        <v>0</v>
      </c>
      <c r="FA22" s="107">
        <f t="shared" si="45"/>
        <v>0</v>
      </c>
      <c r="FB22" s="107">
        <f t="shared" si="46"/>
        <v>0</v>
      </c>
      <c r="FC22" s="107">
        <f t="shared" si="47"/>
        <v>0</v>
      </c>
      <c r="FD22" s="107">
        <f t="shared" si="48"/>
        <v>0</v>
      </c>
      <c r="FE22" s="107">
        <f t="shared" si="49"/>
        <v>0</v>
      </c>
      <c r="FF22" s="107">
        <f t="shared" si="50"/>
        <v>0</v>
      </c>
      <c r="FG22" s="107">
        <f t="shared" si="55"/>
        <v>9513.2834731421972</v>
      </c>
      <c r="FH22" s="107"/>
      <c r="FI22" s="213">
        <v>12.5</v>
      </c>
      <c r="FJ22" s="223">
        <f t="shared" si="56"/>
        <v>9909.670284523123</v>
      </c>
      <c r="FK22" s="224">
        <f t="shared" si="57"/>
        <v>297963.58127347683</v>
      </c>
      <c r="FL22" s="225"/>
      <c r="FM22" s="225"/>
      <c r="FN22" s="386" t="s">
        <v>543</v>
      </c>
      <c r="FO22" s="386"/>
      <c r="FP22" s="386"/>
      <c r="FQ22" s="386"/>
      <c r="FR22" s="400">
        <f t="shared" ref="FR22" si="82">SUM(FR19:FR21)</f>
        <v>999055.09845372301</v>
      </c>
      <c r="FS22" s="391">
        <f t="shared" ref="FS22" si="83">SUM(FS19:FS21)</f>
        <v>8280803.1928469939</v>
      </c>
      <c r="FT22" s="391">
        <f t="shared" ref="FT22:FV22" si="84">SUM(FT19:FT21)</f>
        <v>1745447.2821544048</v>
      </c>
      <c r="FU22" s="389"/>
      <c r="FV22" s="391">
        <f t="shared" si="84"/>
        <v>0</v>
      </c>
      <c r="FW22" s="391"/>
      <c r="FX22" s="391">
        <f t="shared" ref="FX22" si="85">SUM(FX19:FX21)</f>
        <v>0</v>
      </c>
    </row>
    <row r="23" spans="1:180" outlineLevel="1" x14ac:dyDescent="0.35">
      <c r="D23" s="8"/>
      <c r="F23" s="4"/>
      <c r="G23" s="1"/>
      <c r="H23" s="52" t="str">
        <f>IFERROR(VLOOKUP($E23,'Actuals (BI Report)'!$A$2:$H$35,4,FALSE),"")</f>
        <v/>
      </c>
      <c r="I23" s="53" t="str">
        <f>IFERROR(VLOOKUP($E23,'Actuals (BI Report)'!$A$2:$H$35,7,FALSE),"")</f>
        <v/>
      </c>
      <c r="J23" s="53" t="str">
        <f>IFERROR(VLOOKUP($E23,'Actuals (BI Report)'!$A$2:$H$35,5,FALSE),"")</f>
        <v/>
      </c>
      <c r="K23" s="53" t="str">
        <f>IFERROR(VLOOKUP($E23,'Actuals (BI Report)'!$A$2:$H$35,6,FALSE),"")</f>
        <v/>
      </c>
      <c r="L23" s="55"/>
      <c r="M23" s="52"/>
      <c r="N23" s="53"/>
      <c r="O23" s="53"/>
      <c r="P23" s="53"/>
      <c r="Q23" s="55"/>
      <c r="R23" s="52" t="str">
        <f t="shared" si="2"/>
        <v/>
      </c>
      <c r="S23" s="53" t="str">
        <f t="shared" si="3"/>
        <v/>
      </c>
      <c r="T23" s="53" t="str">
        <f t="shared" si="4"/>
        <v/>
      </c>
      <c r="U23" s="53" t="str">
        <f t="shared" si="5"/>
        <v/>
      </c>
      <c r="V23" s="66"/>
      <c r="W23" s="55"/>
      <c r="X23" s="21"/>
      <c r="Y23" s="20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45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L23" s="61"/>
      <c r="BM23" s="61"/>
      <c r="BO23" s="61"/>
      <c r="BP23" s="61"/>
      <c r="BQ23" s="61"/>
      <c r="BS23" s="39"/>
      <c r="BT23" s="48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39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F23" s="61"/>
      <c r="DG23" s="61"/>
      <c r="DI23" s="61"/>
      <c r="DJ23" s="61"/>
      <c r="DK23" s="61"/>
      <c r="DM23" s="83"/>
      <c r="DO23" s="195"/>
      <c r="DP23" s="194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L23" s="107">
        <f t="shared" si="31"/>
        <v>0</v>
      </c>
      <c r="EM23" s="107">
        <f t="shared" si="32"/>
        <v>0</v>
      </c>
      <c r="EN23" s="107">
        <f t="shared" si="33"/>
        <v>0</v>
      </c>
      <c r="EO23" s="107">
        <f t="shared" si="34"/>
        <v>0</v>
      </c>
      <c r="EP23" s="107">
        <f t="shared" si="35"/>
        <v>0</v>
      </c>
      <c r="EQ23" s="107">
        <f t="shared" si="54"/>
        <v>0</v>
      </c>
      <c r="ER23" s="107">
        <f t="shared" si="36"/>
        <v>0</v>
      </c>
      <c r="ES23" s="107">
        <f t="shared" si="37"/>
        <v>0</v>
      </c>
      <c r="ET23" s="107">
        <f t="shared" si="38"/>
        <v>0</v>
      </c>
      <c r="EU23" s="107">
        <f t="shared" si="39"/>
        <v>0</v>
      </c>
      <c r="EV23" s="107">
        <f t="shared" si="40"/>
        <v>0</v>
      </c>
      <c r="EW23" s="107">
        <f t="shared" si="41"/>
        <v>0</v>
      </c>
      <c r="EX23" s="107">
        <f t="shared" si="42"/>
        <v>0</v>
      </c>
      <c r="EY23" s="107">
        <f t="shared" si="43"/>
        <v>0</v>
      </c>
      <c r="EZ23" s="107">
        <f t="shared" si="44"/>
        <v>0</v>
      </c>
      <c r="FA23" s="107">
        <f t="shared" si="45"/>
        <v>0</v>
      </c>
      <c r="FB23" s="107">
        <f t="shared" si="46"/>
        <v>0</v>
      </c>
      <c r="FC23" s="107">
        <f t="shared" si="47"/>
        <v>0</v>
      </c>
      <c r="FD23" s="107">
        <f t="shared" si="48"/>
        <v>0</v>
      </c>
      <c r="FE23" s="107">
        <f t="shared" si="49"/>
        <v>0</v>
      </c>
      <c r="FF23" s="107">
        <f t="shared" si="50"/>
        <v>0</v>
      </c>
      <c r="FG23" s="107">
        <f t="shared" si="55"/>
        <v>0</v>
      </c>
      <c r="FH23" s="107"/>
      <c r="FI23" s="214"/>
      <c r="FJ23" s="223">
        <f t="shared" si="56"/>
        <v>0</v>
      </c>
      <c r="FK23" s="224">
        <f t="shared" si="57"/>
        <v>0</v>
      </c>
      <c r="FL23" s="225"/>
      <c r="FM23" s="225"/>
      <c r="FN23" s="392" t="s">
        <v>544</v>
      </c>
      <c r="FO23" s="392"/>
      <c r="FP23" s="392"/>
      <c r="FQ23" s="392"/>
      <c r="FR23" s="394">
        <f>SUM(FR11:FR18)</f>
        <v>277022.12029172981</v>
      </c>
      <c r="FS23" s="394">
        <f>SUM(FS11:FS21)</f>
        <v>21420708.367492776</v>
      </c>
      <c r="FT23" s="394">
        <f>SUM(FT11:FT21)</f>
        <v>3150100.0313056633</v>
      </c>
      <c r="FU23" s="395"/>
      <c r="FV23" s="394">
        <f>SUM(FV11:FV18)</f>
        <v>2804652.7491512583</v>
      </c>
      <c r="FW23" s="395"/>
      <c r="FX23" s="394">
        <f>SUM(FX11:FX18)</f>
        <v>2945118.0240663844</v>
      </c>
    </row>
    <row r="24" spans="1:180" outlineLevel="1" x14ac:dyDescent="0.35">
      <c r="C24" s="6" t="s">
        <v>30</v>
      </c>
      <c r="D24" s="6" t="s">
        <v>31</v>
      </c>
      <c r="E24" s="6" t="s">
        <v>37</v>
      </c>
      <c r="F24" s="159" t="s">
        <v>321</v>
      </c>
      <c r="G24" s="176"/>
      <c r="H24" s="177"/>
      <c r="I24" s="178"/>
      <c r="J24" s="178"/>
      <c r="K24" s="178"/>
      <c r="L24" s="179"/>
      <c r="M24" s="177"/>
      <c r="N24" s="178"/>
      <c r="O24" s="178"/>
      <c r="P24" s="178"/>
      <c r="Q24" s="179"/>
      <c r="R24" s="177"/>
      <c r="S24" s="178"/>
      <c r="T24" s="178"/>
      <c r="U24" s="178"/>
      <c r="V24" s="180"/>
      <c r="W24" s="179"/>
      <c r="X24" s="21"/>
      <c r="Y24" s="21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45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L24" s="61"/>
      <c r="BM24" s="61"/>
      <c r="BO24" s="61"/>
      <c r="BP24" s="61"/>
      <c r="BQ24" s="61"/>
      <c r="BS24" s="39"/>
      <c r="BT24" s="48"/>
      <c r="BU24" s="193">
        <f>'[1]Primary and Summary'!$D$105</f>
        <v>0.11529999999999996</v>
      </c>
      <c r="BV24" s="193">
        <f>'[1]Primary and Summary'!$D$105</f>
        <v>0.11529999999999996</v>
      </c>
      <c r="BW24" s="193">
        <f>'[1]Primary and Summary'!$D$111</f>
        <v>0.10809999999999997</v>
      </c>
      <c r="BX24" s="193">
        <f>'[1]Primary and Summary'!$D$111</f>
        <v>0.10809999999999997</v>
      </c>
      <c r="BY24" s="193">
        <f>'[1]Primary and Summary'!$D$111</f>
        <v>0.10809999999999997</v>
      </c>
      <c r="BZ24" s="193">
        <f>'[1]Primary and Summary'!$D$111</f>
        <v>0.10809999999999997</v>
      </c>
      <c r="CA24" s="193">
        <f>'[1]Primary and Summary'!$D$111</f>
        <v>0.10809999999999997</v>
      </c>
      <c r="CB24" s="193">
        <f>'[1]Primary and Summary'!$D$111</f>
        <v>0.10809999999999997</v>
      </c>
      <c r="CC24" s="193">
        <f>'[1]Primary and Summary'!$D$111</f>
        <v>0.10809999999999997</v>
      </c>
      <c r="CD24" s="193">
        <f>'[1]Primary and Summary'!$D$111</f>
        <v>0.10809999999999997</v>
      </c>
      <c r="CE24" s="193">
        <f>'[1]Primary and Summary'!$D$111</f>
        <v>0.10809999999999997</v>
      </c>
      <c r="CF24" s="193">
        <f>'[1]Primary and Summary'!$D$111</f>
        <v>0.10809999999999997</v>
      </c>
      <c r="CG24" s="193">
        <f>'[1]Primary and Summary'!$D$120</f>
        <v>1</v>
      </c>
      <c r="CH24" s="193">
        <f>'[1]Primary and Summary'!$D$120</f>
        <v>1</v>
      </c>
      <c r="CI24" s="193">
        <f>'[1]Primary and Summary'!$D$120</f>
        <v>1</v>
      </c>
      <c r="CJ24" s="193">
        <f>'[1]Primary and Summary'!$D$120</f>
        <v>1</v>
      </c>
      <c r="CK24" s="193">
        <f>'[1]Primary and Summary'!$D$120</f>
        <v>1</v>
      </c>
      <c r="CL24" s="193">
        <f>'[1]Primary and Summary'!$D$120</f>
        <v>1</v>
      </c>
      <c r="CM24" s="193">
        <f>'[1]Primary and Summary'!$D$105</f>
        <v>0.11529999999999996</v>
      </c>
      <c r="CN24" s="193">
        <f>'[1]Primary and Summary'!$D$105</f>
        <v>0.11529999999999996</v>
      </c>
      <c r="CO24" s="193">
        <v>1</v>
      </c>
      <c r="CP24" s="39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F24" s="61"/>
      <c r="DG24" s="61"/>
      <c r="DI24" s="61"/>
      <c r="DJ24" s="61"/>
      <c r="DK24" s="61"/>
      <c r="DM24" s="83"/>
      <c r="DO24" s="195"/>
      <c r="DP24" s="194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L24" s="107">
        <f t="shared" si="31"/>
        <v>0</v>
      </c>
      <c r="EM24" s="107">
        <f t="shared" si="32"/>
        <v>0</v>
      </c>
      <c r="EN24" s="107">
        <f t="shared" si="33"/>
        <v>0</v>
      </c>
      <c r="EO24" s="107">
        <f t="shared" si="34"/>
        <v>0</v>
      </c>
      <c r="EP24" s="107">
        <f t="shared" si="35"/>
        <v>0</v>
      </c>
      <c r="EQ24" s="107">
        <f t="shared" si="54"/>
        <v>0</v>
      </c>
      <c r="ER24" s="107">
        <f t="shared" si="36"/>
        <v>0</v>
      </c>
      <c r="ES24" s="107">
        <f t="shared" si="37"/>
        <v>0</v>
      </c>
      <c r="ET24" s="107">
        <f t="shared" si="38"/>
        <v>0</v>
      </c>
      <c r="EU24" s="107">
        <f t="shared" si="39"/>
        <v>0</v>
      </c>
      <c r="EV24" s="107">
        <f t="shared" si="40"/>
        <v>0</v>
      </c>
      <c r="EW24" s="107">
        <f t="shared" si="41"/>
        <v>0</v>
      </c>
      <c r="EX24" s="107">
        <f t="shared" si="42"/>
        <v>0</v>
      </c>
      <c r="EY24" s="107">
        <f t="shared" si="43"/>
        <v>0</v>
      </c>
      <c r="EZ24" s="107">
        <f t="shared" si="44"/>
        <v>0</v>
      </c>
      <c r="FA24" s="107">
        <f t="shared" si="45"/>
        <v>0</v>
      </c>
      <c r="FB24" s="107">
        <f t="shared" si="46"/>
        <v>0</v>
      </c>
      <c r="FC24" s="107">
        <f t="shared" si="47"/>
        <v>0</v>
      </c>
      <c r="FD24" s="107">
        <f t="shared" si="48"/>
        <v>0</v>
      </c>
      <c r="FE24" s="107">
        <f t="shared" si="49"/>
        <v>0</v>
      </c>
      <c r="FF24" s="107">
        <f t="shared" si="50"/>
        <v>0</v>
      </c>
      <c r="FG24" s="107">
        <f t="shared" si="55"/>
        <v>0</v>
      </c>
      <c r="FH24" s="107"/>
      <c r="FI24" s="214"/>
      <c r="FJ24" s="219">
        <f t="shared" si="56"/>
        <v>0</v>
      </c>
      <c r="FK24" s="214">
        <f t="shared" si="57"/>
        <v>0</v>
      </c>
      <c r="FN24" s="392"/>
      <c r="FO24" s="392"/>
      <c r="FP24" s="392"/>
      <c r="FQ24" s="392"/>
      <c r="FR24" s="395"/>
      <c r="FS24" s="395"/>
      <c r="FT24" s="395"/>
      <c r="FU24" s="395"/>
      <c r="FV24" s="395"/>
      <c r="FW24" s="395"/>
      <c r="FX24" s="395"/>
    </row>
    <row r="25" spans="1:180" outlineLevel="1" x14ac:dyDescent="0.35">
      <c r="B25" s="2" t="s">
        <v>330</v>
      </c>
      <c r="C25">
        <v>36</v>
      </c>
      <c r="D25" s="8">
        <v>0.13</v>
      </c>
      <c r="E25">
        <v>202003</v>
      </c>
      <c r="F25" s="160" t="s">
        <v>347</v>
      </c>
      <c r="G25" s="176">
        <v>44166</v>
      </c>
      <c r="H25" s="177">
        <f>IFERROR(VLOOKUP($E25,'Actuals (BI Report)'!$A$2:$H$35,4,FALSE),"")</f>
        <v>5852449.6899999995</v>
      </c>
      <c r="I25" s="178">
        <f>IFERROR(VLOOKUP($E25,'Actuals (BI Report)'!$A$2:$H$35,7,FALSE),"")</f>
        <v>622083.78</v>
      </c>
      <c r="J25" s="178">
        <f>IFERROR(VLOOKUP($E25,'Actuals (BI Report)'!$A$2:$H$35,5,FALSE),"")</f>
        <v>38976.04</v>
      </c>
      <c r="K25" s="178">
        <f>IFERROR(VLOOKUP($E25,'Actuals (BI Report)'!$A$2:$H$35,6,FALSE),"")</f>
        <v>0</v>
      </c>
      <c r="L25" s="179">
        <f t="shared" ref="L25:L26" si="86">SUM(H25:K25)</f>
        <v>6513509.5099999998</v>
      </c>
      <c r="M25" s="177">
        <v>4402987</v>
      </c>
      <c r="N25" s="178">
        <v>235852</v>
      </c>
      <c r="O25" s="178">
        <v>20736</v>
      </c>
      <c r="P25" s="178">
        <v>39801</v>
      </c>
      <c r="Q25" s="179">
        <f t="shared" si="1"/>
        <v>4699376</v>
      </c>
      <c r="R25" s="177">
        <f t="shared" si="2"/>
        <v>10255436.689999999</v>
      </c>
      <c r="S25" s="178">
        <f t="shared" si="3"/>
        <v>857935.78</v>
      </c>
      <c r="T25" s="178">
        <f t="shared" si="4"/>
        <v>59712.04</v>
      </c>
      <c r="U25" s="178">
        <f t="shared" si="5"/>
        <v>39801</v>
      </c>
      <c r="V25" s="180"/>
      <c r="W25" s="179">
        <f t="shared" ref="W25:W26" si="87">SUM(R25:V25)</f>
        <v>11212885.509999998</v>
      </c>
      <c r="X25" s="19">
        <v>44136</v>
      </c>
      <c r="Y25" s="20">
        <v>10000000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>
        <v>1</v>
      </c>
      <c r="AS25" s="14"/>
      <c r="AT25" s="14"/>
      <c r="AU25" s="14"/>
      <c r="AV25" s="45">
        <f t="shared" si="51"/>
        <v>1</v>
      </c>
      <c r="AX25" s="38">
        <f t="shared" ref="AX25:AX26" si="88">AA25*$W25</f>
        <v>0</v>
      </c>
      <c r="AY25" s="38">
        <f t="shared" ref="AY25:AY26" si="89">AB25*$W25</f>
        <v>0</v>
      </c>
      <c r="AZ25" s="38">
        <f t="shared" ref="AZ25:AZ26" si="90">AC25*$W25</f>
        <v>0</v>
      </c>
      <c r="BA25" s="38">
        <f t="shared" ref="BA25:BA26" si="91">AD25*$W25</f>
        <v>0</v>
      </c>
      <c r="BB25" s="38">
        <f t="shared" ref="BB25:BB26" si="92">AE25*$W25</f>
        <v>0</v>
      </c>
      <c r="BC25" s="38">
        <f t="shared" ref="BC25:BC26" si="93">AF25*$W25</f>
        <v>0</v>
      </c>
      <c r="BD25" s="38">
        <f t="shared" ref="BD25:BD26" si="94">AG25*$W25</f>
        <v>0</v>
      </c>
      <c r="BE25" s="38">
        <f t="shared" ref="BE25:BE26" si="95">AH25*$W25</f>
        <v>0</v>
      </c>
      <c r="BF25" s="38">
        <f t="shared" ref="BF25:BF26" si="96">AI25*$W25</f>
        <v>0</v>
      </c>
      <c r="BG25" s="38">
        <f t="shared" ref="BG25:BG26" si="97">AJ25*$W25</f>
        <v>0</v>
      </c>
      <c r="BH25" s="38">
        <f t="shared" ref="BH25:BH26" si="98">AK25*$W25</f>
        <v>0</v>
      </c>
      <c r="BI25" s="38">
        <f t="shared" ref="BI25:BI26" si="99">AL25*$W25</f>
        <v>0</v>
      </c>
      <c r="BJ25" s="38">
        <f t="shared" ref="BJ25:BJ26" si="100">AM25*$W25</f>
        <v>0</v>
      </c>
      <c r="BK25" s="38">
        <f t="shared" ref="BK25:BK26" si="101">AN25*$W25</f>
        <v>0</v>
      </c>
      <c r="BL25" s="38">
        <f t="shared" ref="BL25:BL26" si="102">AO25*$W25</f>
        <v>0</v>
      </c>
      <c r="BM25" s="38">
        <f t="shared" ref="BM25:BM26" si="103">AP25*$W25</f>
        <v>0</v>
      </c>
      <c r="BN25" s="38">
        <f t="shared" ref="BN25:BN26" si="104">AQ25*$W25</f>
        <v>0</v>
      </c>
      <c r="BO25" s="38">
        <f t="shared" ref="BO25:BO26" si="105">AR25*$W25</f>
        <v>11212885.509999998</v>
      </c>
      <c r="BP25" s="38">
        <f t="shared" ref="BP25:BP26" si="106">AS25*$W25</f>
        <v>0</v>
      </c>
      <c r="BQ25" s="38">
        <f t="shared" ref="BQ25:BQ26" si="107">AT25*$W25</f>
        <v>0</v>
      </c>
      <c r="BR25" s="38">
        <f t="shared" ref="BR25:BR26" si="108">AU25*$W25</f>
        <v>0</v>
      </c>
      <c r="BS25" s="39">
        <f t="shared" si="52"/>
        <v>11212885.509999998</v>
      </c>
      <c r="BT25" s="48">
        <f t="shared" si="28"/>
        <v>0</v>
      </c>
      <c r="BU25" s="193">
        <f>'[1]Primary and Summary'!$D$105</f>
        <v>0.11529999999999996</v>
      </c>
      <c r="BV25" s="193">
        <f>'[1]Primary and Summary'!$D$105</f>
        <v>0.11529999999999996</v>
      </c>
      <c r="BW25" s="193">
        <f>'[1]Primary and Summary'!$D$111</f>
        <v>0.10809999999999997</v>
      </c>
      <c r="BX25" s="193">
        <f>'[1]Primary and Summary'!$D$111</f>
        <v>0.10809999999999997</v>
      </c>
      <c r="BY25" s="193">
        <f>'[1]Primary and Summary'!$D$111</f>
        <v>0.10809999999999997</v>
      </c>
      <c r="BZ25" s="193">
        <f>'[1]Primary and Summary'!$D$111</f>
        <v>0.10809999999999997</v>
      </c>
      <c r="CA25" s="193">
        <f>'[1]Primary and Summary'!$D$111</f>
        <v>0.10809999999999997</v>
      </c>
      <c r="CB25" s="193">
        <f>'[1]Primary and Summary'!$D$111</f>
        <v>0.10809999999999997</v>
      </c>
      <c r="CC25" s="193">
        <f>'[1]Primary and Summary'!$D$111</f>
        <v>0.10809999999999997</v>
      </c>
      <c r="CD25" s="193">
        <f>'[1]Primary and Summary'!$D$111</f>
        <v>0.10809999999999997</v>
      </c>
      <c r="CE25" s="193">
        <f>'[1]Primary and Summary'!$D$111</f>
        <v>0.10809999999999997</v>
      </c>
      <c r="CF25" s="193">
        <f>'[1]Primary and Summary'!$D$111</f>
        <v>0.10809999999999997</v>
      </c>
      <c r="CG25" s="193">
        <f>'[1]Primary and Summary'!$D$120</f>
        <v>1</v>
      </c>
      <c r="CH25" s="193">
        <f>'[1]Primary and Summary'!$D$120</f>
        <v>1</v>
      </c>
      <c r="CI25" s="193">
        <f>'[1]Primary and Summary'!$D$120</f>
        <v>1</v>
      </c>
      <c r="CJ25" s="193">
        <f>'[1]Primary and Summary'!$D$120</f>
        <v>1</v>
      </c>
      <c r="CK25" s="193">
        <f>'[1]Primary and Summary'!$D$120</f>
        <v>1</v>
      </c>
      <c r="CL25" s="193">
        <f>'[1]Primary and Summary'!$D$120</f>
        <v>1</v>
      </c>
      <c r="CM25" s="193">
        <f>'[1]Primary and Summary'!$D$105</f>
        <v>0.11529999999999996</v>
      </c>
      <c r="CN25" s="193">
        <f>'[1]Primary and Summary'!$D$105</f>
        <v>0.11529999999999996</v>
      </c>
      <c r="CO25" s="193">
        <v>1</v>
      </c>
      <c r="CP25" s="39"/>
      <c r="CR25" s="38">
        <f t="shared" ref="CR25:CR26" si="109">BU25*AX25</f>
        <v>0</v>
      </c>
      <c r="CS25" s="38">
        <f t="shared" ref="CS25:CS26" si="110">BV25*AY25</f>
        <v>0</v>
      </c>
      <c r="CT25" s="38">
        <f t="shared" ref="CT25:CT26" si="111">BW25*AZ25</f>
        <v>0</v>
      </c>
      <c r="CU25" s="38">
        <f t="shared" ref="CU25:CU26" si="112">BX25*BA25</f>
        <v>0</v>
      </c>
      <c r="CV25" s="38">
        <f t="shared" ref="CV25:CV26" si="113">BY25*BB25</f>
        <v>0</v>
      </c>
      <c r="CW25" s="38">
        <f t="shared" ref="CW25:CW26" si="114">BZ25*BC25</f>
        <v>0</v>
      </c>
      <c r="CX25" s="38">
        <f t="shared" ref="CX25:CX26" si="115">CA25*BD25</f>
        <v>0</v>
      </c>
      <c r="CY25" s="38">
        <f t="shared" ref="CY25:CY26" si="116">CB25*BE25</f>
        <v>0</v>
      </c>
      <c r="CZ25" s="38">
        <f t="shared" ref="CZ25:CZ26" si="117">CC25*BF25</f>
        <v>0</v>
      </c>
      <c r="DA25" s="38">
        <f t="shared" ref="DA25:DA26" si="118">CD25*BG25</f>
        <v>0</v>
      </c>
      <c r="DB25" s="38">
        <f t="shared" ref="DB25:DB26" si="119">CE25*BH25</f>
        <v>0</v>
      </c>
      <c r="DC25" s="38">
        <f t="shared" ref="DC25:DC26" si="120">CF25*BI25</f>
        <v>0</v>
      </c>
      <c r="DD25" s="38">
        <f t="shared" ref="DD25:DD26" si="121">CG25*BJ25</f>
        <v>0</v>
      </c>
      <c r="DE25" s="38">
        <f t="shared" ref="DE25:DE26" si="122">CH25*BK25</f>
        <v>0</v>
      </c>
      <c r="DF25" s="38">
        <f t="shared" ref="DF25:DF26" si="123">CI25*BL25</f>
        <v>0</v>
      </c>
      <c r="DG25" s="38">
        <f t="shared" ref="DG25:DG26" si="124">CJ25*BM25</f>
        <v>0</v>
      </c>
      <c r="DH25" s="38">
        <f t="shared" ref="DH25:DH26" si="125">CK25*BN25</f>
        <v>0</v>
      </c>
      <c r="DI25" s="38">
        <f t="shared" ref="DI25:DI26" si="126">CL25*BO25</f>
        <v>11212885.509999998</v>
      </c>
      <c r="DJ25" s="38">
        <f t="shared" ref="DJ25:DJ26" si="127">CM25*BP25</f>
        <v>0</v>
      </c>
      <c r="DK25" s="38">
        <f t="shared" ref="DK25:DK26" si="128">CN25*BQ25</f>
        <v>0</v>
      </c>
      <c r="DL25" s="38">
        <f t="shared" ref="DL25:DL26" si="129">CO25*BR25</f>
        <v>0</v>
      </c>
      <c r="DM25" s="83">
        <f t="shared" si="53"/>
        <v>11212885.509999998</v>
      </c>
      <c r="DO25" s="195">
        <v>6.7799999999999999E-2</v>
      </c>
      <c r="DP25" s="194">
        <f t="shared" si="30"/>
        <v>0.1</v>
      </c>
      <c r="DQ25" s="195">
        <v>1.4999999999999999E-2</v>
      </c>
      <c r="DR25" s="195">
        <v>1.4999999999999999E-2</v>
      </c>
      <c r="DS25" s="195">
        <v>2.06E-2</v>
      </c>
      <c r="DT25" s="195">
        <v>1.78E-2</v>
      </c>
      <c r="DU25" s="195">
        <v>2.2700000000000001E-2</v>
      </c>
      <c r="DV25" s="195">
        <v>2.1700000000000001E-2</v>
      </c>
      <c r="DW25" s="195">
        <v>4.3299999999999998E-2</v>
      </c>
      <c r="DX25" s="195">
        <v>1.3100000000000001E-2</v>
      </c>
      <c r="DY25" s="195">
        <v>4.7000000000000002E-3</v>
      </c>
      <c r="DZ25" s="195">
        <v>3.09E-2</v>
      </c>
      <c r="EA25" s="195">
        <v>1.8800000000000001E-2</v>
      </c>
      <c r="EB25" s="195">
        <v>1.4999999999999999E-2</v>
      </c>
      <c r="EC25" s="195">
        <v>2.5399999999999999E-2</v>
      </c>
      <c r="ED25" s="195">
        <v>2.3199999999999998E-2</v>
      </c>
      <c r="EE25" s="195">
        <v>2.18E-2</v>
      </c>
      <c r="EF25" s="195">
        <v>2.2700000000000001E-2</v>
      </c>
      <c r="EG25" s="195">
        <v>0.2</v>
      </c>
      <c r="EH25" s="195">
        <v>6.6699999999999995E-2</v>
      </c>
      <c r="EI25" s="195">
        <v>3.0200000000000001E-2</v>
      </c>
      <c r="EL25" s="107">
        <f t="shared" si="31"/>
        <v>0</v>
      </c>
      <c r="EM25" s="107">
        <f t="shared" si="32"/>
        <v>0</v>
      </c>
      <c r="EN25" s="107">
        <f t="shared" si="33"/>
        <v>0</v>
      </c>
      <c r="EO25" s="107">
        <f t="shared" si="34"/>
        <v>0</v>
      </c>
      <c r="EP25" s="107">
        <f t="shared" si="35"/>
        <v>0</v>
      </c>
      <c r="EQ25" s="107">
        <f t="shared" si="54"/>
        <v>0</v>
      </c>
      <c r="ER25" s="107">
        <f t="shared" si="36"/>
        <v>0</v>
      </c>
      <c r="ES25" s="107">
        <f t="shared" si="37"/>
        <v>0</v>
      </c>
      <c r="ET25" s="107">
        <f t="shared" si="38"/>
        <v>0</v>
      </c>
      <c r="EU25" s="107">
        <f t="shared" si="39"/>
        <v>0</v>
      </c>
      <c r="EV25" s="107">
        <f t="shared" si="40"/>
        <v>0</v>
      </c>
      <c r="EW25" s="107">
        <f t="shared" si="41"/>
        <v>0</v>
      </c>
      <c r="EX25" s="107">
        <f t="shared" si="42"/>
        <v>0</v>
      </c>
      <c r="EY25" s="107">
        <f t="shared" si="43"/>
        <v>0</v>
      </c>
      <c r="EZ25" s="107">
        <f t="shared" si="44"/>
        <v>0</v>
      </c>
      <c r="FA25" s="107">
        <f t="shared" si="45"/>
        <v>0</v>
      </c>
      <c r="FB25" s="107">
        <f t="shared" si="46"/>
        <v>0</v>
      </c>
      <c r="FC25" s="107">
        <f t="shared" si="47"/>
        <v>254532.50107699996</v>
      </c>
      <c r="FD25" s="107">
        <f t="shared" si="48"/>
        <v>0</v>
      </c>
      <c r="FE25" s="107">
        <f t="shared" si="49"/>
        <v>0</v>
      </c>
      <c r="FF25" s="107">
        <f t="shared" si="50"/>
        <v>0</v>
      </c>
      <c r="FG25" s="107">
        <f t="shared" si="55"/>
        <v>254532.50107699996</v>
      </c>
      <c r="FH25" s="107"/>
      <c r="FI25" s="213">
        <v>12.5</v>
      </c>
      <c r="FJ25" s="219">
        <f t="shared" si="56"/>
        <v>265138.02195520827</v>
      </c>
      <c r="FK25" s="214">
        <f t="shared" si="57"/>
        <v>10947747.488044789</v>
      </c>
      <c r="FN25" s="386" t="s">
        <v>555</v>
      </c>
      <c r="FO25" s="386"/>
      <c r="FP25" s="386"/>
      <c r="FQ25" s="386"/>
      <c r="FR25" s="391">
        <v>80000</v>
      </c>
      <c r="FS25" s="386"/>
      <c r="FT25" s="391">
        <f>FR25*(1+'[2]KTW-3 p8 - Cost of Cap'!$C$28)</f>
        <v>83325.496346446729</v>
      </c>
      <c r="FU25" s="389"/>
      <c r="FV25" s="391">
        <f>FT25</f>
        <v>83325.496346446729</v>
      </c>
      <c r="FW25" s="391"/>
      <c r="FX25" s="391">
        <f t="shared" ref="FX25:FX26" si="130">FV25</f>
        <v>83325.496346446729</v>
      </c>
    </row>
    <row r="26" spans="1:180" outlineLevel="1" x14ac:dyDescent="0.35">
      <c r="B26" s="2" t="s">
        <v>329</v>
      </c>
      <c r="C26" s="61">
        <v>36</v>
      </c>
      <c r="D26" s="63">
        <v>0.13</v>
      </c>
      <c r="E26" s="61" t="s">
        <v>131</v>
      </c>
      <c r="F26" s="160" t="s">
        <v>348</v>
      </c>
      <c r="G26" s="176">
        <v>44835</v>
      </c>
      <c r="H26" s="177">
        <v>0</v>
      </c>
      <c r="I26" s="178">
        <v>0</v>
      </c>
      <c r="J26" s="178">
        <v>0</v>
      </c>
      <c r="K26" s="178">
        <v>0</v>
      </c>
      <c r="L26" s="179">
        <f t="shared" si="86"/>
        <v>0</v>
      </c>
      <c r="M26" s="177">
        <v>4000000</v>
      </c>
      <c r="N26" s="178">
        <v>630761</v>
      </c>
      <c r="O26" s="178">
        <v>10127</v>
      </c>
      <c r="P26" s="178">
        <v>24085</v>
      </c>
      <c r="Q26" s="179">
        <f>SUM(M26:P26)</f>
        <v>4664973</v>
      </c>
      <c r="R26" s="177">
        <f t="shared" ref="R26" si="131">IFERROR(H26+M26,"")</f>
        <v>4000000</v>
      </c>
      <c r="S26" s="178">
        <f t="shared" ref="S26" si="132">IFERROR(I26+N26,"")</f>
        <v>630761</v>
      </c>
      <c r="T26" s="178">
        <v>10567</v>
      </c>
      <c r="U26" s="178">
        <v>25412</v>
      </c>
      <c r="V26" s="180"/>
      <c r="W26" s="179">
        <f t="shared" si="87"/>
        <v>4666740</v>
      </c>
      <c r="X26" s="19">
        <v>44835</v>
      </c>
      <c r="Y26" s="20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>
        <v>1</v>
      </c>
      <c r="AS26" s="14"/>
      <c r="AT26" s="14"/>
      <c r="AU26" s="14"/>
      <c r="AV26" s="45">
        <f t="shared" si="51"/>
        <v>1</v>
      </c>
      <c r="AX26" s="38">
        <f t="shared" si="88"/>
        <v>0</v>
      </c>
      <c r="AY26" s="38">
        <f t="shared" si="89"/>
        <v>0</v>
      </c>
      <c r="AZ26" s="38">
        <f t="shared" si="90"/>
        <v>0</v>
      </c>
      <c r="BA26" s="38">
        <f t="shared" si="91"/>
        <v>0</v>
      </c>
      <c r="BB26" s="38">
        <f t="shared" si="92"/>
        <v>0</v>
      </c>
      <c r="BC26" s="38">
        <f t="shared" si="93"/>
        <v>0</v>
      </c>
      <c r="BD26" s="38">
        <f t="shared" si="94"/>
        <v>0</v>
      </c>
      <c r="BE26" s="38">
        <f t="shared" si="95"/>
        <v>0</v>
      </c>
      <c r="BF26" s="38">
        <f t="shared" si="96"/>
        <v>0</v>
      </c>
      <c r="BG26" s="38">
        <f t="shared" si="97"/>
        <v>0</v>
      </c>
      <c r="BH26" s="38">
        <f t="shared" si="98"/>
        <v>0</v>
      </c>
      <c r="BI26" s="38">
        <f t="shared" si="99"/>
        <v>0</v>
      </c>
      <c r="BJ26" s="38">
        <f t="shared" si="100"/>
        <v>0</v>
      </c>
      <c r="BK26" s="38">
        <f t="shared" si="101"/>
        <v>0</v>
      </c>
      <c r="BL26" s="38">
        <f t="shared" si="102"/>
        <v>0</v>
      </c>
      <c r="BM26" s="38">
        <f t="shared" si="103"/>
        <v>0</v>
      </c>
      <c r="BN26" s="38">
        <f t="shared" si="104"/>
        <v>0</v>
      </c>
      <c r="BO26" s="38">
        <f t="shared" si="105"/>
        <v>4666740</v>
      </c>
      <c r="BP26" s="38">
        <f t="shared" si="106"/>
        <v>0</v>
      </c>
      <c r="BQ26" s="38">
        <f t="shared" si="107"/>
        <v>0</v>
      </c>
      <c r="BR26" s="38">
        <f t="shared" si="108"/>
        <v>0</v>
      </c>
      <c r="BS26" s="39">
        <f t="shared" si="52"/>
        <v>4666740</v>
      </c>
      <c r="BT26" s="48">
        <f t="shared" si="28"/>
        <v>0</v>
      </c>
      <c r="BU26" s="193">
        <f>'[1]Primary and Summary'!$D$105</f>
        <v>0.11529999999999996</v>
      </c>
      <c r="BV26" s="193">
        <f>'[1]Primary and Summary'!$D$105</f>
        <v>0.11529999999999996</v>
      </c>
      <c r="BW26" s="193">
        <f>'[1]Primary and Summary'!$D$111</f>
        <v>0.10809999999999997</v>
      </c>
      <c r="BX26" s="193">
        <f>'[1]Primary and Summary'!$D$111</f>
        <v>0.10809999999999997</v>
      </c>
      <c r="BY26" s="193">
        <f>'[1]Primary and Summary'!$D$111</f>
        <v>0.10809999999999997</v>
      </c>
      <c r="BZ26" s="193">
        <f>'[1]Primary and Summary'!$D$111</f>
        <v>0.10809999999999997</v>
      </c>
      <c r="CA26" s="193">
        <f>'[1]Primary and Summary'!$D$111</f>
        <v>0.10809999999999997</v>
      </c>
      <c r="CB26" s="193">
        <f>'[1]Primary and Summary'!$D$111</f>
        <v>0.10809999999999997</v>
      </c>
      <c r="CC26" s="193">
        <f>'[1]Primary and Summary'!$D$111</f>
        <v>0.10809999999999997</v>
      </c>
      <c r="CD26" s="193">
        <f>'[1]Primary and Summary'!$D$111</f>
        <v>0.10809999999999997</v>
      </c>
      <c r="CE26" s="193">
        <f>'[1]Primary and Summary'!$D$111</f>
        <v>0.10809999999999997</v>
      </c>
      <c r="CF26" s="193">
        <f>'[1]Primary and Summary'!$D$111</f>
        <v>0.10809999999999997</v>
      </c>
      <c r="CG26" s="193">
        <f>'[1]Primary and Summary'!$D$120</f>
        <v>1</v>
      </c>
      <c r="CH26" s="193">
        <f>'[1]Primary and Summary'!$D$120</f>
        <v>1</v>
      </c>
      <c r="CI26" s="193">
        <f>'[1]Primary and Summary'!$D$120</f>
        <v>1</v>
      </c>
      <c r="CJ26" s="193">
        <f>'[1]Primary and Summary'!$D$120</f>
        <v>1</v>
      </c>
      <c r="CK26" s="193">
        <f>'[1]Primary and Summary'!$D$120</f>
        <v>1</v>
      </c>
      <c r="CL26" s="193">
        <f>'[1]Primary and Summary'!$D$120</f>
        <v>1</v>
      </c>
      <c r="CM26" s="193">
        <f>'[1]Primary and Summary'!$D$105</f>
        <v>0.11529999999999996</v>
      </c>
      <c r="CN26" s="193">
        <f>'[1]Primary and Summary'!$D$105</f>
        <v>0.11529999999999996</v>
      </c>
      <c r="CO26" s="193">
        <v>1</v>
      </c>
      <c r="CP26" s="39"/>
      <c r="CR26" s="38">
        <f t="shared" si="109"/>
        <v>0</v>
      </c>
      <c r="CS26" s="38">
        <f t="shared" si="110"/>
        <v>0</v>
      </c>
      <c r="CT26" s="38">
        <f t="shared" si="111"/>
        <v>0</v>
      </c>
      <c r="CU26" s="38">
        <f t="shared" si="112"/>
        <v>0</v>
      </c>
      <c r="CV26" s="38">
        <f t="shared" si="113"/>
        <v>0</v>
      </c>
      <c r="CW26" s="38">
        <f t="shared" si="114"/>
        <v>0</v>
      </c>
      <c r="CX26" s="38">
        <f t="shared" si="115"/>
        <v>0</v>
      </c>
      <c r="CY26" s="38">
        <f t="shared" si="116"/>
        <v>0</v>
      </c>
      <c r="CZ26" s="38">
        <f t="shared" si="117"/>
        <v>0</v>
      </c>
      <c r="DA26" s="38">
        <f t="shared" si="118"/>
        <v>0</v>
      </c>
      <c r="DB26" s="38">
        <f t="shared" si="119"/>
        <v>0</v>
      </c>
      <c r="DC26" s="38">
        <f t="shared" si="120"/>
        <v>0</v>
      </c>
      <c r="DD26" s="38">
        <f t="shared" si="121"/>
        <v>0</v>
      </c>
      <c r="DE26" s="38">
        <f t="shared" si="122"/>
        <v>0</v>
      </c>
      <c r="DF26" s="38">
        <f t="shared" si="123"/>
        <v>0</v>
      </c>
      <c r="DG26" s="38">
        <f t="shared" si="124"/>
        <v>0</v>
      </c>
      <c r="DH26" s="38">
        <f t="shared" si="125"/>
        <v>0</v>
      </c>
      <c r="DI26" s="38">
        <f t="shared" si="126"/>
        <v>4666740</v>
      </c>
      <c r="DJ26" s="38">
        <f t="shared" si="127"/>
        <v>0</v>
      </c>
      <c r="DK26" s="38">
        <f t="shared" si="128"/>
        <v>0</v>
      </c>
      <c r="DL26" s="38">
        <f t="shared" si="129"/>
        <v>0</v>
      </c>
      <c r="DM26" s="83">
        <f t="shared" si="53"/>
        <v>4666740</v>
      </c>
      <c r="DO26" s="195">
        <v>6.7799999999999999E-2</v>
      </c>
      <c r="DP26" s="194">
        <f t="shared" si="30"/>
        <v>0.1</v>
      </c>
      <c r="DQ26" s="195">
        <v>1.4999999999999999E-2</v>
      </c>
      <c r="DR26" s="195">
        <v>1.4999999999999999E-2</v>
      </c>
      <c r="DS26" s="195">
        <v>2.06E-2</v>
      </c>
      <c r="DT26" s="195">
        <v>1.78E-2</v>
      </c>
      <c r="DU26" s="195">
        <v>2.2700000000000001E-2</v>
      </c>
      <c r="DV26" s="195">
        <v>2.1700000000000001E-2</v>
      </c>
      <c r="DW26" s="195">
        <v>4.3299999999999998E-2</v>
      </c>
      <c r="DX26" s="195">
        <v>1.3100000000000001E-2</v>
      </c>
      <c r="DY26" s="195">
        <v>4.7000000000000002E-3</v>
      </c>
      <c r="DZ26" s="195">
        <v>3.09E-2</v>
      </c>
      <c r="EA26" s="195">
        <v>1.8800000000000001E-2</v>
      </c>
      <c r="EB26" s="195">
        <v>1.4999999999999999E-2</v>
      </c>
      <c r="EC26" s="195">
        <v>2.5399999999999999E-2</v>
      </c>
      <c r="ED26" s="195">
        <v>2.3199999999999998E-2</v>
      </c>
      <c r="EE26" s="195">
        <v>2.18E-2</v>
      </c>
      <c r="EF26" s="195">
        <v>2.2700000000000001E-2</v>
      </c>
      <c r="EG26" s="195">
        <v>0.2</v>
      </c>
      <c r="EH26" s="195">
        <v>6.6699999999999995E-2</v>
      </c>
      <c r="EI26" s="195">
        <v>3.0200000000000001E-2</v>
      </c>
      <c r="EL26" s="107">
        <f t="shared" si="31"/>
        <v>0</v>
      </c>
      <c r="EM26" s="107">
        <f t="shared" si="32"/>
        <v>0</v>
      </c>
      <c r="EN26" s="107">
        <f t="shared" si="33"/>
        <v>0</v>
      </c>
      <c r="EO26" s="107">
        <f t="shared" si="34"/>
        <v>0</v>
      </c>
      <c r="EP26" s="107">
        <f t="shared" si="35"/>
        <v>0</v>
      </c>
      <c r="EQ26" s="107">
        <f t="shared" si="54"/>
        <v>0</v>
      </c>
      <c r="ER26" s="107">
        <f t="shared" si="36"/>
        <v>0</v>
      </c>
      <c r="ES26" s="107">
        <f t="shared" si="37"/>
        <v>0</v>
      </c>
      <c r="ET26" s="107">
        <f t="shared" si="38"/>
        <v>0</v>
      </c>
      <c r="EU26" s="107">
        <f t="shared" si="39"/>
        <v>0</v>
      </c>
      <c r="EV26" s="107">
        <f t="shared" si="40"/>
        <v>0</v>
      </c>
      <c r="EW26" s="107">
        <f t="shared" si="41"/>
        <v>0</v>
      </c>
      <c r="EX26" s="107">
        <f t="shared" si="42"/>
        <v>0</v>
      </c>
      <c r="EY26" s="107">
        <f t="shared" si="43"/>
        <v>0</v>
      </c>
      <c r="EZ26" s="107">
        <f t="shared" si="44"/>
        <v>0</v>
      </c>
      <c r="FA26" s="107">
        <f t="shared" si="45"/>
        <v>0</v>
      </c>
      <c r="FB26" s="107">
        <f t="shared" si="46"/>
        <v>0</v>
      </c>
      <c r="FC26" s="107">
        <f t="shared" si="47"/>
        <v>105934.99800000001</v>
      </c>
      <c r="FD26" s="107">
        <f t="shared" si="48"/>
        <v>0</v>
      </c>
      <c r="FE26" s="107">
        <f t="shared" si="49"/>
        <v>0</v>
      </c>
      <c r="FF26" s="107">
        <f t="shared" si="50"/>
        <v>0</v>
      </c>
      <c r="FG26" s="107">
        <f t="shared" si="55"/>
        <v>105934.99800000001</v>
      </c>
      <c r="FH26" s="107"/>
      <c r="FI26" s="213">
        <v>0.5</v>
      </c>
      <c r="FJ26" s="219">
        <f t="shared" si="56"/>
        <v>4413.9582500000006</v>
      </c>
      <c r="FK26" s="214">
        <f t="shared" si="57"/>
        <v>4662326.0417499999</v>
      </c>
      <c r="FN26" s="392" t="s">
        <v>556</v>
      </c>
      <c r="FO26" s="392"/>
      <c r="FP26" s="392"/>
      <c r="FQ26" s="392"/>
      <c r="FR26" s="391">
        <f>148000/2</f>
        <v>74000</v>
      </c>
      <c r="FS26" s="396"/>
      <c r="FT26" s="391">
        <f>FR26*(1+'[2]KTW-3 p8 - Cost of Cap'!$C$28)</f>
        <v>77076.084120463231</v>
      </c>
      <c r="FU26" s="389"/>
      <c r="FV26" s="391">
        <f>FT26</f>
        <v>77076.084120463231</v>
      </c>
      <c r="FW26" s="391"/>
      <c r="FX26" s="391">
        <f t="shared" si="130"/>
        <v>77076.084120463231</v>
      </c>
    </row>
    <row r="27" spans="1:180" outlineLevel="1" x14ac:dyDescent="0.35">
      <c r="D27" s="8"/>
      <c r="F27" s="4"/>
      <c r="G27" s="1"/>
      <c r="H27" s="52" t="str">
        <f>IFERROR(VLOOKUP($E27,'Actuals (BI Report)'!$A$2:$H$35,4,FALSE),"")</f>
        <v/>
      </c>
      <c r="I27" s="53" t="str">
        <f>IFERROR(VLOOKUP($E27,'Actuals (BI Report)'!$A$2:$H$35,7,FALSE),"")</f>
        <v/>
      </c>
      <c r="J27" s="53" t="str">
        <f>IFERROR(VLOOKUP($E27,'Actuals (BI Report)'!$A$2:$H$35,5,FALSE),"")</f>
        <v/>
      </c>
      <c r="K27" s="53" t="str">
        <f>IFERROR(VLOOKUP($E27,'Actuals (BI Report)'!$A$2:$H$35,6,FALSE),"")</f>
        <v/>
      </c>
      <c r="L27" s="55"/>
      <c r="M27" s="52"/>
      <c r="N27" s="53"/>
      <c r="O27" s="53"/>
      <c r="P27" s="53"/>
      <c r="Q27" s="55"/>
      <c r="R27" s="52" t="str">
        <f t="shared" si="2"/>
        <v/>
      </c>
      <c r="S27" s="53" t="str">
        <f t="shared" si="3"/>
        <v/>
      </c>
      <c r="T27" s="53" t="str">
        <f t="shared" si="4"/>
        <v/>
      </c>
      <c r="U27" s="53" t="str">
        <f t="shared" si="5"/>
        <v/>
      </c>
      <c r="V27" s="66"/>
      <c r="W27" s="55"/>
      <c r="X27" s="19"/>
      <c r="Y27" s="21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45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L27" s="61"/>
      <c r="BM27" s="61"/>
      <c r="BO27" s="61"/>
      <c r="BP27" s="61"/>
      <c r="BQ27" s="61"/>
      <c r="BS27" s="39"/>
      <c r="BT27" s="48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39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F27" s="61"/>
      <c r="DG27" s="61"/>
      <c r="DI27" s="61"/>
      <c r="DJ27" s="61"/>
      <c r="DK27" s="61"/>
      <c r="DM27" s="83"/>
      <c r="DO27" s="195"/>
      <c r="DP27" s="194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L27" s="107">
        <f t="shared" si="31"/>
        <v>0</v>
      </c>
      <c r="EM27" s="107">
        <f t="shared" si="32"/>
        <v>0</v>
      </c>
      <c r="EN27" s="107">
        <f t="shared" si="33"/>
        <v>0</v>
      </c>
      <c r="EO27" s="107">
        <f t="shared" si="34"/>
        <v>0</v>
      </c>
      <c r="EP27" s="107">
        <f t="shared" si="35"/>
        <v>0</v>
      </c>
      <c r="EQ27" s="107">
        <f t="shared" si="54"/>
        <v>0</v>
      </c>
      <c r="ER27" s="107">
        <f t="shared" si="36"/>
        <v>0</v>
      </c>
      <c r="ES27" s="107">
        <f t="shared" si="37"/>
        <v>0</v>
      </c>
      <c r="ET27" s="107">
        <f t="shared" si="38"/>
        <v>0</v>
      </c>
      <c r="EU27" s="107">
        <f t="shared" si="39"/>
        <v>0</v>
      </c>
      <c r="EV27" s="107">
        <f t="shared" si="40"/>
        <v>0</v>
      </c>
      <c r="EW27" s="107">
        <f t="shared" si="41"/>
        <v>0</v>
      </c>
      <c r="EX27" s="107">
        <f t="shared" si="42"/>
        <v>0</v>
      </c>
      <c r="EY27" s="107">
        <f t="shared" si="43"/>
        <v>0</v>
      </c>
      <c r="EZ27" s="107">
        <f t="shared" si="44"/>
        <v>0</v>
      </c>
      <c r="FA27" s="107">
        <f t="shared" si="45"/>
        <v>0</v>
      </c>
      <c r="FB27" s="107">
        <f t="shared" si="46"/>
        <v>0</v>
      </c>
      <c r="FC27" s="107">
        <f t="shared" si="47"/>
        <v>0</v>
      </c>
      <c r="FD27" s="107">
        <f t="shared" si="48"/>
        <v>0</v>
      </c>
      <c r="FE27" s="107">
        <f t="shared" si="49"/>
        <v>0</v>
      </c>
      <c r="FF27" s="107">
        <f t="shared" si="50"/>
        <v>0</v>
      </c>
      <c r="FG27" s="107">
        <f t="shared" si="55"/>
        <v>0</v>
      </c>
      <c r="FH27" s="107"/>
      <c r="FI27" s="213"/>
      <c r="FJ27" s="219">
        <f t="shared" si="56"/>
        <v>0</v>
      </c>
      <c r="FK27" s="214">
        <f t="shared" si="57"/>
        <v>0</v>
      </c>
      <c r="FN27" s="389"/>
      <c r="FO27" s="389"/>
      <c r="FP27" s="389"/>
      <c r="FQ27" s="389"/>
      <c r="FR27" s="389"/>
      <c r="FS27" s="389"/>
      <c r="FT27" s="389"/>
      <c r="FU27" s="389"/>
      <c r="FV27" s="389"/>
      <c r="FW27" s="389"/>
      <c r="FX27" s="389"/>
    </row>
    <row r="28" spans="1:180" ht="15" thickBot="1" x14ac:dyDescent="0.4">
      <c r="C28" s="6" t="s">
        <v>30</v>
      </c>
      <c r="D28" s="6" t="s">
        <v>31</v>
      </c>
      <c r="E28" s="6" t="s">
        <v>37</v>
      </c>
      <c r="F28" s="161" t="s">
        <v>322</v>
      </c>
      <c r="G28" s="181"/>
      <c r="H28" s="182"/>
      <c r="I28" s="183"/>
      <c r="J28" s="183"/>
      <c r="K28" s="183"/>
      <c r="L28" s="184"/>
      <c r="M28" s="182"/>
      <c r="N28" s="183"/>
      <c r="O28" s="183"/>
      <c r="P28" s="183"/>
      <c r="Q28" s="184"/>
      <c r="R28" s="182"/>
      <c r="S28" s="183"/>
      <c r="T28" s="183"/>
      <c r="U28" s="183"/>
      <c r="V28" s="185"/>
      <c r="W28" s="184"/>
      <c r="X28" s="21"/>
      <c r="Y28" s="21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45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L28" s="61"/>
      <c r="BM28" s="61"/>
      <c r="BO28" s="61"/>
      <c r="BP28" s="61"/>
      <c r="BQ28" s="61"/>
      <c r="BS28" s="39"/>
      <c r="BT28" s="48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39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F28" s="61"/>
      <c r="DG28" s="61"/>
      <c r="DI28" s="61"/>
      <c r="DJ28" s="61"/>
      <c r="DK28" s="61"/>
      <c r="DM28" s="83"/>
      <c r="DO28" s="195"/>
      <c r="DP28" s="194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L28" s="107">
        <f t="shared" si="31"/>
        <v>0</v>
      </c>
      <c r="EM28" s="107">
        <f t="shared" si="32"/>
        <v>0</v>
      </c>
      <c r="EN28" s="107">
        <f t="shared" si="33"/>
        <v>0</v>
      </c>
      <c r="EO28" s="107">
        <f t="shared" si="34"/>
        <v>0</v>
      </c>
      <c r="EP28" s="107">
        <f t="shared" si="35"/>
        <v>0</v>
      </c>
      <c r="EQ28" s="107">
        <f t="shared" si="54"/>
        <v>0</v>
      </c>
      <c r="ER28" s="107">
        <f t="shared" si="36"/>
        <v>0</v>
      </c>
      <c r="ES28" s="107">
        <f t="shared" si="37"/>
        <v>0</v>
      </c>
      <c r="ET28" s="107">
        <f t="shared" si="38"/>
        <v>0</v>
      </c>
      <c r="EU28" s="107">
        <f t="shared" si="39"/>
        <v>0</v>
      </c>
      <c r="EV28" s="107">
        <f t="shared" si="40"/>
        <v>0</v>
      </c>
      <c r="EW28" s="107">
        <f t="shared" si="41"/>
        <v>0</v>
      </c>
      <c r="EX28" s="107">
        <f t="shared" si="42"/>
        <v>0</v>
      </c>
      <c r="EY28" s="107">
        <f t="shared" si="43"/>
        <v>0</v>
      </c>
      <c r="EZ28" s="107">
        <f t="shared" si="44"/>
        <v>0</v>
      </c>
      <c r="FA28" s="107">
        <f t="shared" si="45"/>
        <v>0</v>
      </c>
      <c r="FB28" s="107">
        <f t="shared" si="46"/>
        <v>0</v>
      </c>
      <c r="FC28" s="107">
        <f t="shared" si="47"/>
        <v>0</v>
      </c>
      <c r="FD28" s="107">
        <f t="shared" si="48"/>
        <v>0</v>
      </c>
      <c r="FE28" s="107">
        <f t="shared" si="49"/>
        <v>0</v>
      </c>
      <c r="FF28" s="107">
        <f t="shared" si="50"/>
        <v>0</v>
      </c>
      <c r="FG28" s="107">
        <f t="shared" si="55"/>
        <v>0</v>
      </c>
      <c r="FH28" s="107"/>
      <c r="FI28" s="215"/>
      <c r="FJ28" s="219">
        <f t="shared" si="56"/>
        <v>0</v>
      </c>
      <c r="FK28" s="214">
        <f t="shared" si="57"/>
        <v>0</v>
      </c>
      <c r="FN28" s="402" t="s">
        <v>551</v>
      </c>
      <c r="FO28" s="402"/>
      <c r="FP28" s="402"/>
      <c r="FQ28" s="397"/>
      <c r="FR28" s="398">
        <f>SUM(FR11:FR17)+FR22+FR25+FR26</f>
        <v>1430077.2187454528</v>
      </c>
      <c r="FS28" s="398"/>
      <c r="FT28" s="398">
        <f t="shared" ref="FT28" si="133">SUM(FT11:FT17)+FT22+FT25+FT26</f>
        <v>3310501.6117725731</v>
      </c>
      <c r="FU28" s="389"/>
      <c r="FV28" s="398">
        <f>SUM(FV11:FV17)+FV18+FV25+FV26</f>
        <v>2965054.3296181681</v>
      </c>
      <c r="FW28" s="389"/>
      <c r="FX28" s="398">
        <f>SUM(FX11:FX17)+FX18+FX25+FX26</f>
        <v>3105519.6045332942</v>
      </c>
    </row>
    <row r="29" spans="1:180" ht="15.5" thickTop="1" thickBot="1" x14ac:dyDescent="0.4">
      <c r="B29" s="2" t="s">
        <v>329</v>
      </c>
      <c r="C29" s="61">
        <v>38</v>
      </c>
      <c r="D29" s="63">
        <v>0.12</v>
      </c>
      <c r="E29" s="31">
        <v>202168</v>
      </c>
      <c r="F29" s="162" t="s">
        <v>133</v>
      </c>
      <c r="G29" s="181">
        <v>44166</v>
      </c>
      <c r="H29" s="182">
        <f>IFERROR(VLOOKUP($E29,'Actuals (BI Report)'!$A$2:$H$35,4,FALSE),"")</f>
        <v>1630649.7900000003</v>
      </c>
      <c r="I29" s="183">
        <f>IFERROR(VLOOKUP($E29,'Actuals (BI Report)'!$A$2:$H$35,7,FALSE),"")</f>
        <v>142156.65</v>
      </c>
      <c r="J29" s="183">
        <f>IFERROR(VLOOKUP($E29,'Actuals (BI Report)'!$A$2:$H$35,5,FALSE),"")</f>
        <v>8571.6299999999992</v>
      </c>
      <c r="K29" s="183">
        <f>IFERROR(VLOOKUP($E29,'Actuals (BI Report)'!$A$2:$H$35,6,FALSE),"")</f>
        <v>0</v>
      </c>
      <c r="L29" s="184">
        <f t="shared" ref="L29:L39" si="134">SUM(H29:K29)</f>
        <v>1781378.07</v>
      </c>
      <c r="M29" s="182">
        <v>173198</v>
      </c>
      <c r="N29" s="183">
        <v>10689</v>
      </c>
      <c r="O29" s="183">
        <v>143</v>
      </c>
      <c r="P29" s="183">
        <v>274</v>
      </c>
      <c r="Q29" s="184">
        <f t="shared" si="1"/>
        <v>184304</v>
      </c>
      <c r="R29" s="182">
        <f t="shared" si="2"/>
        <v>1803847.7900000003</v>
      </c>
      <c r="S29" s="183">
        <f t="shared" si="3"/>
        <v>152845.65</v>
      </c>
      <c r="T29" s="183">
        <f t="shared" si="4"/>
        <v>8714.6299999999992</v>
      </c>
      <c r="U29" s="183">
        <f t="shared" si="5"/>
        <v>274</v>
      </c>
      <c r="V29" s="185"/>
      <c r="W29" s="184">
        <f>SUM(R29:V29)</f>
        <v>1965682.07</v>
      </c>
      <c r="X29" s="19">
        <v>44166</v>
      </c>
      <c r="Y29" s="20"/>
      <c r="AA29" s="14">
        <v>1</v>
      </c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45">
        <f t="shared" si="51"/>
        <v>1</v>
      </c>
      <c r="AX29" s="38">
        <f t="shared" ref="AX29:AX35" si="135">AA29*$W29</f>
        <v>1965682.07</v>
      </c>
      <c r="AY29" s="38">
        <f t="shared" ref="AY29:AY47" si="136">AB29*$W29</f>
        <v>0</v>
      </c>
      <c r="AZ29" s="38">
        <f t="shared" ref="AZ29:AZ47" si="137">AC29*$W29</f>
        <v>0</v>
      </c>
      <c r="BA29" s="38">
        <f t="shared" ref="BA29:BA47" si="138">AD29*$W29</f>
        <v>0</v>
      </c>
      <c r="BB29" s="38">
        <f t="shared" ref="BB29:BB47" si="139">AE29*$W29</f>
        <v>0</v>
      </c>
      <c r="BC29" s="38">
        <f t="shared" ref="BC29:BC47" si="140">AF29*$W29</f>
        <v>0</v>
      </c>
      <c r="BD29" s="38">
        <f t="shared" ref="BD29:BD47" si="141">AG29*$W29</f>
        <v>0</v>
      </c>
      <c r="BE29" s="38">
        <f t="shared" ref="BE29:BE47" si="142">AH29*$W29</f>
        <v>0</v>
      </c>
      <c r="BF29" s="38">
        <f t="shared" ref="BF29:BF47" si="143">AI29*$W29</f>
        <v>0</v>
      </c>
      <c r="BG29" s="38">
        <f t="shared" ref="BG29:BG47" si="144">AJ29*$W29</f>
        <v>0</v>
      </c>
      <c r="BH29" s="38">
        <f t="shared" ref="BH29:BH47" si="145">AK29*$W29</f>
        <v>0</v>
      </c>
      <c r="BI29" s="38">
        <f t="shared" ref="BI29:BI47" si="146">AL29*$W29</f>
        <v>0</v>
      </c>
      <c r="BJ29" s="38">
        <f t="shared" ref="BJ29:BJ47" si="147">AM29*$W29</f>
        <v>0</v>
      </c>
      <c r="BK29" s="38">
        <f t="shared" ref="BK29:BK47" si="148">AN29*$W29</f>
        <v>0</v>
      </c>
      <c r="BL29" s="38">
        <f t="shared" ref="BL29:BL47" si="149">AO29*$W29</f>
        <v>0</v>
      </c>
      <c r="BM29" s="38">
        <f t="shared" ref="BM29:BM47" si="150">AP29*$W29</f>
        <v>0</v>
      </c>
      <c r="BN29" s="38">
        <f t="shared" ref="BN29:BN47" si="151">AQ29*$W29</f>
        <v>0</v>
      </c>
      <c r="BO29" s="38">
        <f t="shared" ref="BO29:BO47" si="152">AR29*$W29</f>
        <v>0</v>
      </c>
      <c r="BP29" s="38">
        <f t="shared" ref="BP29:BP47" si="153">AS29*$W29</f>
        <v>0</v>
      </c>
      <c r="BQ29" s="38">
        <f t="shared" ref="BQ29:BQ47" si="154">AT29*$W29</f>
        <v>0</v>
      </c>
      <c r="BR29" s="38">
        <f t="shared" ref="BR29:BR47" si="155">AU29*$W29</f>
        <v>0</v>
      </c>
      <c r="BS29" s="39">
        <f t="shared" si="52"/>
        <v>1965682.07</v>
      </c>
      <c r="BT29" s="48">
        <f t="shared" si="28"/>
        <v>0</v>
      </c>
      <c r="BU29" s="193">
        <f>'[1]Primary and Summary'!$D$105</f>
        <v>0.11529999999999996</v>
      </c>
      <c r="BV29" s="193">
        <f>'[1]Primary and Summary'!$D$105</f>
        <v>0.11529999999999996</v>
      </c>
      <c r="BW29" s="193">
        <f>'[1]Primary and Summary'!$D$111</f>
        <v>0.10809999999999997</v>
      </c>
      <c r="BX29" s="193">
        <f>'[1]Primary and Summary'!$D$111</f>
        <v>0.10809999999999997</v>
      </c>
      <c r="BY29" s="193">
        <f>'[1]Primary and Summary'!$D$111</f>
        <v>0.10809999999999997</v>
      </c>
      <c r="BZ29" s="193">
        <f>'[1]Primary and Summary'!$D$111</f>
        <v>0.10809999999999997</v>
      </c>
      <c r="CA29" s="193">
        <f>'[1]Primary and Summary'!$D$111</f>
        <v>0.10809999999999997</v>
      </c>
      <c r="CB29" s="193">
        <f>'[1]Primary and Summary'!$D$111</f>
        <v>0.10809999999999997</v>
      </c>
      <c r="CC29" s="193">
        <f>'[1]Primary and Summary'!$D$111</f>
        <v>0.10809999999999997</v>
      </c>
      <c r="CD29" s="193">
        <f>'[1]Primary and Summary'!$D$111</f>
        <v>0.10809999999999997</v>
      </c>
      <c r="CE29" s="193">
        <f>'[1]Primary and Summary'!$D$111</f>
        <v>0.10809999999999997</v>
      </c>
      <c r="CF29" s="193">
        <f>'[1]Primary and Summary'!$D$111</f>
        <v>0.10809999999999997</v>
      </c>
      <c r="CG29" s="193">
        <f>'[1]Primary and Summary'!$D$120</f>
        <v>1</v>
      </c>
      <c r="CH29" s="193">
        <f>'[1]Primary and Summary'!$D$120</f>
        <v>1</v>
      </c>
      <c r="CI29" s="193">
        <f>'[1]Primary and Summary'!$D$120</f>
        <v>1</v>
      </c>
      <c r="CJ29" s="193">
        <f>'[1]Primary and Summary'!$D$120</f>
        <v>1</v>
      </c>
      <c r="CK29" s="193">
        <f>'[1]Primary and Summary'!$D$120</f>
        <v>1</v>
      </c>
      <c r="CL29" s="193">
        <f>'[1]Primary and Summary'!$D$120</f>
        <v>1</v>
      </c>
      <c r="CM29" s="193">
        <f>'[1]Primary and Summary'!$D$105</f>
        <v>0.11529999999999996</v>
      </c>
      <c r="CN29" s="193">
        <f>'[1]Primary and Summary'!$D$105</f>
        <v>0.11529999999999996</v>
      </c>
      <c r="CO29" s="193">
        <v>1</v>
      </c>
      <c r="CP29" s="39"/>
      <c r="CR29" s="38">
        <f t="shared" ref="CR29:CR35" si="156">BU29*AX29</f>
        <v>226643.14267099992</v>
      </c>
      <c r="CS29" s="38">
        <f t="shared" ref="CS29:CS47" si="157">BV29*AY29</f>
        <v>0</v>
      </c>
      <c r="CT29" s="38">
        <f t="shared" ref="CT29:CT47" si="158">BW29*AZ29</f>
        <v>0</v>
      </c>
      <c r="CU29" s="38">
        <f t="shared" ref="CU29:CU47" si="159">BX29*BA29</f>
        <v>0</v>
      </c>
      <c r="CV29" s="38">
        <f t="shared" ref="CV29:CV47" si="160">BY29*BB29</f>
        <v>0</v>
      </c>
      <c r="CW29" s="38">
        <f t="shared" ref="CW29:CW47" si="161">BZ29*BC29</f>
        <v>0</v>
      </c>
      <c r="CX29" s="38">
        <f t="shared" ref="CX29:CX47" si="162">CA29*BD29</f>
        <v>0</v>
      </c>
      <c r="CY29" s="38">
        <f t="shared" ref="CY29:CY47" si="163">CB29*BE29</f>
        <v>0</v>
      </c>
      <c r="CZ29" s="38">
        <f t="shared" ref="CZ29:CZ47" si="164">CC29*BF29</f>
        <v>0</v>
      </c>
      <c r="DA29" s="38">
        <f t="shared" ref="DA29:DA47" si="165">CD29*BG29</f>
        <v>0</v>
      </c>
      <c r="DB29" s="38">
        <f t="shared" ref="DB29:DB47" si="166">CE29*BH29</f>
        <v>0</v>
      </c>
      <c r="DC29" s="38">
        <f t="shared" ref="DC29:DC47" si="167">CF29*BI29</f>
        <v>0</v>
      </c>
      <c r="DD29" s="38">
        <f t="shared" ref="DD29:DD47" si="168">CG29*BJ29</f>
        <v>0</v>
      </c>
      <c r="DE29" s="38">
        <f t="shared" ref="DE29:DE47" si="169">CH29*BK29</f>
        <v>0</v>
      </c>
      <c r="DF29" s="38">
        <f t="shared" ref="DF29:DF47" si="170">CI29*BL29</f>
        <v>0</v>
      </c>
      <c r="DG29" s="38">
        <f t="shared" ref="DG29:DG47" si="171">CJ29*BM29</f>
        <v>0</v>
      </c>
      <c r="DH29" s="38">
        <f t="shared" ref="DH29:DH47" si="172">CK29*BN29</f>
        <v>0</v>
      </c>
      <c r="DI29" s="38">
        <f t="shared" ref="DI29:DI47" si="173">CL29*BO29</f>
        <v>0</v>
      </c>
      <c r="DJ29" s="38">
        <f t="shared" ref="DJ29:DJ47" si="174">CM29*BP29</f>
        <v>0</v>
      </c>
      <c r="DK29" s="38">
        <f t="shared" ref="DK29:DK47" si="175">CN29*BQ29</f>
        <v>0</v>
      </c>
      <c r="DL29" s="38">
        <f t="shared" ref="DL29:DL47" si="176">CO29*BR29</f>
        <v>0</v>
      </c>
      <c r="DM29" s="83">
        <f t="shared" si="53"/>
        <v>226643.14267099992</v>
      </c>
      <c r="DO29" s="195">
        <v>6.7799999999999999E-2</v>
      </c>
      <c r="DP29" s="194">
        <v>0.1</v>
      </c>
      <c r="DQ29" s="195">
        <v>1.4999999999999999E-2</v>
      </c>
      <c r="DR29" s="195">
        <v>1.4999999999999999E-2</v>
      </c>
      <c r="DS29" s="195">
        <v>2.06E-2</v>
      </c>
      <c r="DT29" s="195">
        <v>1.78E-2</v>
      </c>
      <c r="DU29" s="195">
        <v>2.2700000000000001E-2</v>
      </c>
      <c r="DV29" s="195">
        <v>2.1700000000000001E-2</v>
      </c>
      <c r="DW29" s="195">
        <v>4.3299999999999998E-2</v>
      </c>
      <c r="DX29" s="195">
        <v>1.3100000000000001E-2</v>
      </c>
      <c r="DY29" s="195">
        <v>4.7000000000000002E-3</v>
      </c>
      <c r="DZ29" s="195">
        <v>3.09E-2</v>
      </c>
      <c r="EA29" s="195">
        <v>1.8800000000000001E-2</v>
      </c>
      <c r="EB29" s="195">
        <v>1.4999999999999999E-2</v>
      </c>
      <c r="EC29" s="195">
        <v>2.5399999999999999E-2</v>
      </c>
      <c r="ED29" s="195">
        <v>2.3199999999999998E-2</v>
      </c>
      <c r="EE29" s="195">
        <v>2.18E-2</v>
      </c>
      <c r="EF29" s="195">
        <v>2.2700000000000001E-2</v>
      </c>
      <c r="EG29" s="195">
        <v>0.2</v>
      </c>
      <c r="EH29" s="195">
        <v>6.6699999999999995E-2</v>
      </c>
      <c r="EI29" s="195">
        <v>3.0200000000000001E-2</v>
      </c>
      <c r="EL29" s="107">
        <f t="shared" si="31"/>
        <v>15366.405073093794</v>
      </c>
      <c r="EM29" s="107">
        <f t="shared" si="32"/>
        <v>0</v>
      </c>
      <c r="EN29" s="107">
        <f t="shared" si="33"/>
        <v>0</v>
      </c>
      <c r="EO29" s="107">
        <f t="shared" si="34"/>
        <v>0</v>
      </c>
      <c r="EP29" s="107">
        <f t="shared" si="35"/>
        <v>0</v>
      </c>
      <c r="EQ29" s="107">
        <f t="shared" si="54"/>
        <v>0</v>
      </c>
      <c r="ER29" s="107">
        <f t="shared" si="36"/>
        <v>0</v>
      </c>
      <c r="ES29" s="107">
        <f t="shared" si="37"/>
        <v>0</v>
      </c>
      <c r="ET29" s="107">
        <f t="shared" si="38"/>
        <v>0</v>
      </c>
      <c r="EU29" s="107">
        <f t="shared" si="39"/>
        <v>0</v>
      </c>
      <c r="EV29" s="107">
        <f t="shared" si="40"/>
        <v>0</v>
      </c>
      <c r="EW29" s="107">
        <f t="shared" si="41"/>
        <v>0</v>
      </c>
      <c r="EX29" s="107">
        <f t="shared" si="42"/>
        <v>0</v>
      </c>
      <c r="EY29" s="107">
        <f t="shared" si="43"/>
        <v>0</v>
      </c>
      <c r="EZ29" s="107">
        <f t="shared" si="44"/>
        <v>0</v>
      </c>
      <c r="FA29" s="107">
        <f t="shared" si="45"/>
        <v>0</v>
      </c>
      <c r="FB29" s="107">
        <f t="shared" si="46"/>
        <v>0</v>
      </c>
      <c r="FC29" s="107">
        <f t="shared" si="47"/>
        <v>0</v>
      </c>
      <c r="FD29" s="107">
        <f t="shared" si="48"/>
        <v>0</v>
      </c>
      <c r="FE29" s="107">
        <f t="shared" si="49"/>
        <v>0</v>
      </c>
      <c r="FF29" s="107">
        <f t="shared" si="50"/>
        <v>0</v>
      </c>
      <c r="FG29" s="107">
        <f t="shared" si="55"/>
        <v>15366.405073093794</v>
      </c>
      <c r="FH29" s="107"/>
      <c r="FI29" s="215">
        <f>22.5</f>
        <v>22.5</v>
      </c>
      <c r="FJ29" s="219">
        <f t="shared" si="56"/>
        <v>28812.009512050867</v>
      </c>
      <c r="FK29" s="214">
        <f t="shared" si="57"/>
        <v>197831.13315894906</v>
      </c>
      <c r="FN29" s="412" t="s">
        <v>545</v>
      </c>
      <c r="FO29" s="412"/>
      <c r="FP29" s="412"/>
      <c r="FQ29" s="401"/>
      <c r="FR29" s="401"/>
      <c r="FS29" s="401"/>
      <c r="FT29" s="404">
        <v>3000000</v>
      </c>
      <c r="FU29" s="408"/>
      <c r="FV29" s="399">
        <v>3000000</v>
      </c>
      <c r="FW29" s="389"/>
      <c r="FX29" s="399">
        <v>3000000</v>
      </c>
    </row>
    <row r="30" spans="1:180" s="49" customFormat="1" ht="15.5" thickTop="1" thickBot="1" x14ac:dyDescent="0.4">
      <c r="B30" s="2" t="s">
        <v>329</v>
      </c>
      <c r="C30" s="61">
        <v>38</v>
      </c>
      <c r="D30" s="63">
        <v>0.12</v>
      </c>
      <c r="E30" s="31" t="s">
        <v>131</v>
      </c>
      <c r="F30" s="162" t="s">
        <v>198</v>
      </c>
      <c r="G30" s="181">
        <v>44489</v>
      </c>
      <c r="H30" s="182">
        <v>0</v>
      </c>
      <c r="I30" s="183">
        <v>0</v>
      </c>
      <c r="J30" s="183">
        <v>0</v>
      </c>
      <c r="K30" s="183">
        <v>0</v>
      </c>
      <c r="L30" s="184">
        <f>SUM(H30:K30)</f>
        <v>0</v>
      </c>
      <c r="M30" s="182">
        <f>'Accounting Alignment'!M37</f>
        <v>267700</v>
      </c>
      <c r="N30" s="183">
        <v>18404</v>
      </c>
      <c r="O30" s="183">
        <v>766</v>
      </c>
      <c r="P30" s="183">
        <v>1855</v>
      </c>
      <c r="Q30" s="184">
        <f>SUM(M30:P30)</f>
        <v>288725</v>
      </c>
      <c r="R30" s="182">
        <f t="shared" ref="R30:R36" si="177">IFERROR(H30+M30,"")</f>
        <v>267700</v>
      </c>
      <c r="S30" s="183">
        <f t="shared" ref="S30" si="178">IFERROR(I30+N30,"")</f>
        <v>18404</v>
      </c>
      <c r="T30" s="183">
        <f t="shared" ref="T30" si="179">IFERROR(J30+O30,"")</f>
        <v>766</v>
      </c>
      <c r="U30" s="183">
        <f t="shared" ref="U30" si="180">IFERROR(K30+P30,"")</f>
        <v>1855</v>
      </c>
      <c r="V30" s="185"/>
      <c r="W30" s="184">
        <f>SUM(R30:V30)</f>
        <v>288725</v>
      </c>
      <c r="X30" s="19"/>
      <c r="Y30" s="20"/>
      <c r="AA30" s="14">
        <v>1</v>
      </c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45">
        <f t="shared" si="51"/>
        <v>1</v>
      </c>
      <c r="AX30" s="38">
        <f>AA30*$W30</f>
        <v>288725</v>
      </c>
      <c r="AY30" s="38">
        <f t="shared" si="136"/>
        <v>0</v>
      </c>
      <c r="AZ30" s="38">
        <f t="shared" si="137"/>
        <v>0</v>
      </c>
      <c r="BA30" s="38">
        <f t="shared" si="138"/>
        <v>0</v>
      </c>
      <c r="BB30" s="38">
        <f t="shared" si="139"/>
        <v>0</v>
      </c>
      <c r="BC30" s="38">
        <f t="shared" si="140"/>
        <v>0</v>
      </c>
      <c r="BD30" s="38">
        <f t="shared" si="141"/>
        <v>0</v>
      </c>
      <c r="BE30" s="38">
        <f t="shared" si="142"/>
        <v>0</v>
      </c>
      <c r="BF30" s="38">
        <f t="shared" si="143"/>
        <v>0</v>
      </c>
      <c r="BG30" s="38">
        <f t="shared" si="144"/>
        <v>0</v>
      </c>
      <c r="BH30" s="38">
        <f t="shared" si="145"/>
        <v>0</v>
      </c>
      <c r="BI30" s="38">
        <f t="shared" si="146"/>
        <v>0</v>
      </c>
      <c r="BJ30" s="38">
        <f t="shared" si="147"/>
        <v>0</v>
      </c>
      <c r="BK30" s="38">
        <f t="shared" si="148"/>
        <v>0</v>
      </c>
      <c r="BL30" s="38">
        <f t="shared" si="149"/>
        <v>0</v>
      </c>
      <c r="BM30" s="38">
        <f t="shared" si="150"/>
        <v>0</v>
      </c>
      <c r="BN30" s="38">
        <f t="shared" si="151"/>
        <v>0</v>
      </c>
      <c r="BO30" s="38">
        <f t="shared" si="152"/>
        <v>0</v>
      </c>
      <c r="BP30" s="38">
        <f t="shared" si="153"/>
        <v>0</v>
      </c>
      <c r="BQ30" s="38">
        <f t="shared" si="154"/>
        <v>0</v>
      </c>
      <c r="BR30" s="38">
        <f t="shared" si="155"/>
        <v>0</v>
      </c>
      <c r="BS30" s="39">
        <f t="shared" si="52"/>
        <v>288725</v>
      </c>
      <c r="BT30" s="48">
        <f t="shared" ref="BT30" si="181">BS30-W30</f>
        <v>0</v>
      </c>
      <c r="BU30" s="193">
        <f>'[1]Primary and Summary'!$D$105</f>
        <v>0.11529999999999996</v>
      </c>
      <c r="BV30" s="193">
        <f>'[1]Primary and Summary'!$D$105</f>
        <v>0.11529999999999996</v>
      </c>
      <c r="BW30" s="193">
        <f>'[1]Primary and Summary'!$D$111</f>
        <v>0.10809999999999997</v>
      </c>
      <c r="BX30" s="193">
        <f>'[1]Primary and Summary'!$D$111</f>
        <v>0.10809999999999997</v>
      </c>
      <c r="BY30" s="193">
        <f>'[1]Primary and Summary'!$D$111</f>
        <v>0.10809999999999997</v>
      </c>
      <c r="BZ30" s="193">
        <f>'[1]Primary and Summary'!$D$111</f>
        <v>0.10809999999999997</v>
      </c>
      <c r="CA30" s="193">
        <f>'[1]Primary and Summary'!$D$111</f>
        <v>0.10809999999999997</v>
      </c>
      <c r="CB30" s="193">
        <f>'[1]Primary and Summary'!$D$111</f>
        <v>0.10809999999999997</v>
      </c>
      <c r="CC30" s="193">
        <f>'[1]Primary and Summary'!$D$111</f>
        <v>0.10809999999999997</v>
      </c>
      <c r="CD30" s="193">
        <f>'[1]Primary and Summary'!$D$111</f>
        <v>0.10809999999999997</v>
      </c>
      <c r="CE30" s="193">
        <f>'[1]Primary and Summary'!$D$111</f>
        <v>0.10809999999999997</v>
      </c>
      <c r="CF30" s="193">
        <f>'[1]Primary and Summary'!$D$111</f>
        <v>0.10809999999999997</v>
      </c>
      <c r="CG30" s="193">
        <f>'[1]Primary and Summary'!$D$120</f>
        <v>1</v>
      </c>
      <c r="CH30" s="193">
        <f>'[1]Primary and Summary'!$D$120</f>
        <v>1</v>
      </c>
      <c r="CI30" s="193">
        <f>'[1]Primary and Summary'!$D$120</f>
        <v>1</v>
      </c>
      <c r="CJ30" s="193">
        <f>'[1]Primary and Summary'!$D$120</f>
        <v>1</v>
      </c>
      <c r="CK30" s="193">
        <f>'[1]Primary and Summary'!$D$120</f>
        <v>1</v>
      </c>
      <c r="CL30" s="193">
        <f>'[1]Primary and Summary'!$D$120</f>
        <v>1</v>
      </c>
      <c r="CM30" s="193">
        <f>'[1]Primary and Summary'!$D$105</f>
        <v>0.11529999999999996</v>
      </c>
      <c r="CN30" s="193">
        <f>'[1]Primary and Summary'!$D$105</f>
        <v>0.11529999999999996</v>
      </c>
      <c r="CO30" s="193">
        <v>1</v>
      </c>
      <c r="CP30" s="39"/>
      <c r="CR30" s="38">
        <f t="shared" ref="CR30" si="182">BU30*AX30</f>
        <v>33289.992499999986</v>
      </c>
      <c r="CS30" s="38">
        <f t="shared" si="157"/>
        <v>0</v>
      </c>
      <c r="CT30" s="38">
        <f t="shared" si="158"/>
        <v>0</v>
      </c>
      <c r="CU30" s="38">
        <f t="shared" si="159"/>
        <v>0</v>
      </c>
      <c r="CV30" s="38">
        <f t="shared" si="160"/>
        <v>0</v>
      </c>
      <c r="CW30" s="38">
        <f t="shared" si="161"/>
        <v>0</v>
      </c>
      <c r="CX30" s="38">
        <f t="shared" si="162"/>
        <v>0</v>
      </c>
      <c r="CY30" s="38">
        <f t="shared" si="163"/>
        <v>0</v>
      </c>
      <c r="CZ30" s="38">
        <f t="shared" si="164"/>
        <v>0</v>
      </c>
      <c r="DA30" s="38">
        <f t="shared" si="165"/>
        <v>0</v>
      </c>
      <c r="DB30" s="38">
        <f t="shared" si="166"/>
        <v>0</v>
      </c>
      <c r="DC30" s="38">
        <f t="shared" si="167"/>
        <v>0</v>
      </c>
      <c r="DD30" s="38">
        <f t="shared" si="168"/>
        <v>0</v>
      </c>
      <c r="DE30" s="38">
        <f t="shared" si="169"/>
        <v>0</v>
      </c>
      <c r="DF30" s="38">
        <f t="shared" si="170"/>
        <v>0</v>
      </c>
      <c r="DG30" s="38">
        <f t="shared" si="171"/>
        <v>0</v>
      </c>
      <c r="DH30" s="38">
        <f t="shared" si="172"/>
        <v>0</v>
      </c>
      <c r="DI30" s="38">
        <f t="shared" si="173"/>
        <v>0</v>
      </c>
      <c r="DJ30" s="38">
        <f t="shared" si="174"/>
        <v>0</v>
      </c>
      <c r="DK30" s="38">
        <f t="shared" si="175"/>
        <v>0</v>
      </c>
      <c r="DL30" s="38">
        <f t="shared" si="176"/>
        <v>0</v>
      </c>
      <c r="DM30" s="83">
        <f t="shared" si="53"/>
        <v>33289.992499999986</v>
      </c>
      <c r="DO30" s="195">
        <v>6.7799999999999999E-2</v>
      </c>
      <c r="DP30" s="194">
        <v>0.1</v>
      </c>
      <c r="DQ30" s="195">
        <v>1.4999999999999999E-2</v>
      </c>
      <c r="DR30" s="195">
        <v>1.4999999999999999E-2</v>
      </c>
      <c r="DS30" s="195">
        <v>2.06E-2</v>
      </c>
      <c r="DT30" s="195">
        <v>1.78E-2</v>
      </c>
      <c r="DU30" s="195">
        <v>2.2700000000000001E-2</v>
      </c>
      <c r="DV30" s="195">
        <v>2.1700000000000001E-2</v>
      </c>
      <c r="DW30" s="195">
        <v>4.3299999999999998E-2</v>
      </c>
      <c r="DX30" s="195">
        <v>1.3100000000000001E-2</v>
      </c>
      <c r="DY30" s="195">
        <v>4.7000000000000002E-3</v>
      </c>
      <c r="DZ30" s="195">
        <v>3.09E-2</v>
      </c>
      <c r="EA30" s="195">
        <v>1.8800000000000001E-2</v>
      </c>
      <c r="EB30" s="195">
        <v>1.4999999999999999E-2</v>
      </c>
      <c r="EC30" s="195">
        <v>2.5399999999999999E-2</v>
      </c>
      <c r="ED30" s="195">
        <v>2.3199999999999998E-2</v>
      </c>
      <c r="EE30" s="195">
        <v>2.18E-2</v>
      </c>
      <c r="EF30" s="195">
        <v>2.2700000000000001E-2</v>
      </c>
      <c r="EG30" s="195">
        <v>0.2</v>
      </c>
      <c r="EH30" s="195">
        <v>6.6699999999999995E-2</v>
      </c>
      <c r="EI30" s="195">
        <v>3.0200000000000001E-2</v>
      </c>
      <c r="EL30" s="107">
        <f t="shared" si="31"/>
        <v>2257.0614914999992</v>
      </c>
      <c r="EM30" s="107">
        <f t="shared" si="32"/>
        <v>0</v>
      </c>
      <c r="EN30" s="107">
        <f t="shared" si="33"/>
        <v>0</v>
      </c>
      <c r="EO30" s="107">
        <f t="shared" si="34"/>
        <v>0</v>
      </c>
      <c r="EP30" s="107">
        <f t="shared" si="35"/>
        <v>0</v>
      </c>
      <c r="EQ30" s="107">
        <f t="shared" si="54"/>
        <v>0</v>
      </c>
      <c r="ER30" s="107">
        <f t="shared" si="36"/>
        <v>0</v>
      </c>
      <c r="ES30" s="107">
        <f t="shared" si="37"/>
        <v>0</v>
      </c>
      <c r="ET30" s="107">
        <f t="shared" si="38"/>
        <v>0</v>
      </c>
      <c r="EU30" s="107">
        <f t="shared" si="39"/>
        <v>0</v>
      </c>
      <c r="EV30" s="107">
        <f t="shared" si="40"/>
        <v>0</v>
      </c>
      <c r="EW30" s="107">
        <f t="shared" si="41"/>
        <v>0</v>
      </c>
      <c r="EX30" s="107">
        <f t="shared" si="42"/>
        <v>0</v>
      </c>
      <c r="EY30" s="107">
        <f t="shared" si="43"/>
        <v>0</v>
      </c>
      <c r="EZ30" s="107">
        <f t="shared" si="44"/>
        <v>0</v>
      </c>
      <c r="FA30" s="107">
        <f t="shared" si="45"/>
        <v>0</v>
      </c>
      <c r="FB30" s="107">
        <f t="shared" si="46"/>
        <v>0</v>
      </c>
      <c r="FC30" s="107">
        <f t="shared" si="47"/>
        <v>0</v>
      </c>
      <c r="FD30" s="107">
        <f t="shared" si="48"/>
        <v>0</v>
      </c>
      <c r="FE30" s="107">
        <f t="shared" si="49"/>
        <v>0</v>
      </c>
      <c r="FF30" s="107">
        <f t="shared" si="50"/>
        <v>0</v>
      </c>
      <c r="FG30" s="107">
        <f t="shared" si="55"/>
        <v>2257.0614914999992</v>
      </c>
      <c r="FH30" s="107"/>
      <c r="FI30" s="215">
        <v>12.5</v>
      </c>
      <c r="FJ30" s="219">
        <f t="shared" si="56"/>
        <v>2351.1057203124992</v>
      </c>
      <c r="FK30" s="214">
        <f t="shared" si="57"/>
        <v>30938.886779687487</v>
      </c>
      <c r="FN30" s="411"/>
      <c r="FO30" s="411"/>
      <c r="FP30" s="411"/>
      <c r="FQ30" s="405"/>
      <c r="FR30" s="406"/>
      <c r="FS30" s="406"/>
      <c r="FT30" s="406"/>
      <c r="FU30" s="407"/>
      <c r="FV30" s="398">
        <f>IF(FV28&gt;FV29,FV29,FV28)</f>
        <v>2965054.3296181681</v>
      </c>
      <c r="FW30" s="389"/>
      <c r="FX30" s="398">
        <f>IF(FX28&gt;FX29,FX29,FX28)</f>
        <v>3000000</v>
      </c>
    </row>
    <row r="31" spans="1:180" s="61" customFormat="1" ht="15" thickTop="1" x14ac:dyDescent="0.35">
      <c r="A31" s="190" t="s">
        <v>156</v>
      </c>
      <c r="B31" s="2" t="s">
        <v>329</v>
      </c>
      <c r="C31" s="61">
        <v>38</v>
      </c>
      <c r="D31" s="63">
        <v>0.12</v>
      </c>
      <c r="E31" s="31" t="s">
        <v>131</v>
      </c>
      <c r="F31" s="162" t="s">
        <v>199</v>
      </c>
      <c r="G31" s="181">
        <v>44489</v>
      </c>
      <c r="H31" s="182">
        <v>0</v>
      </c>
      <c r="I31" s="183">
        <v>0</v>
      </c>
      <c r="J31" s="183">
        <v>0</v>
      </c>
      <c r="K31" s="183">
        <v>0</v>
      </c>
      <c r="L31" s="184">
        <f>SUM(H31:K31)</f>
        <v>0</v>
      </c>
      <c r="M31" s="182">
        <f>'Accounting Alignment'!L37</f>
        <v>3327300</v>
      </c>
      <c r="N31" s="183">
        <v>228742</v>
      </c>
      <c r="O31" s="183">
        <v>9515</v>
      </c>
      <c r="P31" s="183">
        <v>23058</v>
      </c>
      <c r="Q31" s="184">
        <f>SUM(M31:P31)</f>
        <v>3588615</v>
      </c>
      <c r="R31" s="182">
        <f t="shared" ref="R31:R32" si="183">IFERROR(H31+M31,"")</f>
        <v>3327300</v>
      </c>
      <c r="S31" s="183">
        <f t="shared" ref="S31:S32" si="184">IFERROR(I31+N31,"")</f>
        <v>228742</v>
      </c>
      <c r="T31" s="183">
        <f t="shared" ref="T31:T32" si="185">IFERROR(J31+O31,"")</f>
        <v>9515</v>
      </c>
      <c r="U31" s="183">
        <f t="shared" ref="U31:U32" si="186">IFERROR(K31+P31,"")</f>
        <v>23058</v>
      </c>
      <c r="V31" s="185"/>
      <c r="W31" s="184">
        <f>SUM(R31:V31)</f>
        <v>3588615</v>
      </c>
      <c r="X31" s="19"/>
      <c r="Y31" s="20"/>
      <c r="AA31" s="14"/>
      <c r="AB31" s="14">
        <v>1</v>
      </c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45">
        <f t="shared" si="51"/>
        <v>1</v>
      </c>
      <c r="AX31" s="38">
        <f t="shared" ref="AX31:AX32" si="187">AA31*$W31</f>
        <v>0</v>
      </c>
      <c r="AY31" s="38">
        <f t="shared" si="136"/>
        <v>3588615</v>
      </c>
      <c r="AZ31" s="38">
        <f t="shared" si="137"/>
        <v>0</v>
      </c>
      <c r="BA31" s="38">
        <f t="shared" si="138"/>
        <v>0</v>
      </c>
      <c r="BB31" s="38">
        <f t="shared" si="139"/>
        <v>0</v>
      </c>
      <c r="BC31" s="38">
        <f t="shared" si="140"/>
        <v>0</v>
      </c>
      <c r="BD31" s="38">
        <f t="shared" si="141"/>
        <v>0</v>
      </c>
      <c r="BE31" s="38">
        <f t="shared" si="142"/>
        <v>0</v>
      </c>
      <c r="BF31" s="38">
        <f t="shared" si="143"/>
        <v>0</v>
      </c>
      <c r="BG31" s="38">
        <f t="shared" si="144"/>
        <v>0</v>
      </c>
      <c r="BH31" s="38">
        <f t="shared" si="145"/>
        <v>0</v>
      </c>
      <c r="BI31" s="38">
        <f t="shared" si="146"/>
        <v>0</v>
      </c>
      <c r="BJ31" s="38">
        <f t="shared" si="147"/>
        <v>0</v>
      </c>
      <c r="BK31" s="38">
        <f t="shared" si="148"/>
        <v>0</v>
      </c>
      <c r="BL31" s="38">
        <f t="shared" si="149"/>
        <v>0</v>
      </c>
      <c r="BM31" s="38">
        <f t="shared" si="150"/>
        <v>0</v>
      </c>
      <c r="BN31" s="38">
        <f t="shared" si="151"/>
        <v>0</v>
      </c>
      <c r="BO31" s="38">
        <f t="shared" si="152"/>
        <v>0</v>
      </c>
      <c r="BP31" s="38">
        <f t="shared" si="153"/>
        <v>0</v>
      </c>
      <c r="BQ31" s="38">
        <f t="shared" si="154"/>
        <v>0</v>
      </c>
      <c r="BR31" s="38">
        <f t="shared" si="155"/>
        <v>0</v>
      </c>
      <c r="BS31" s="39">
        <f t="shared" si="52"/>
        <v>3588615</v>
      </c>
      <c r="BT31" s="48">
        <f t="shared" ref="BT31:BT32" si="188">BS31-W31</f>
        <v>0</v>
      </c>
      <c r="BU31" s="193">
        <f>'[1]Primary and Summary'!$D$105</f>
        <v>0.11529999999999996</v>
      </c>
      <c r="BV31" s="193">
        <f>'[1]Primary and Summary'!$D$105</f>
        <v>0.11529999999999996</v>
      </c>
      <c r="BW31" s="193">
        <f>'[1]Primary and Summary'!$D$111</f>
        <v>0.10809999999999997</v>
      </c>
      <c r="BX31" s="193">
        <f>'[1]Primary and Summary'!$D$111</f>
        <v>0.10809999999999997</v>
      </c>
      <c r="BY31" s="193">
        <f>'[1]Primary and Summary'!$D$111</f>
        <v>0.10809999999999997</v>
      </c>
      <c r="BZ31" s="193">
        <f>'[1]Primary and Summary'!$D$111</f>
        <v>0.10809999999999997</v>
      </c>
      <c r="CA31" s="193">
        <f>'[1]Primary and Summary'!$D$111</f>
        <v>0.10809999999999997</v>
      </c>
      <c r="CB31" s="193">
        <f>'[1]Primary and Summary'!$D$111</f>
        <v>0.10809999999999997</v>
      </c>
      <c r="CC31" s="193">
        <f>'[1]Primary and Summary'!$D$111</f>
        <v>0.10809999999999997</v>
      </c>
      <c r="CD31" s="193">
        <f>'[1]Primary and Summary'!$D$111</f>
        <v>0.10809999999999997</v>
      </c>
      <c r="CE31" s="193">
        <f>'[1]Primary and Summary'!$D$111</f>
        <v>0.10809999999999997</v>
      </c>
      <c r="CF31" s="193">
        <f>'[1]Primary and Summary'!$D$111</f>
        <v>0.10809999999999997</v>
      </c>
      <c r="CG31" s="193">
        <f>'[1]Primary and Summary'!$D$120</f>
        <v>1</v>
      </c>
      <c r="CH31" s="193">
        <f>'[1]Primary and Summary'!$D$120</f>
        <v>1</v>
      </c>
      <c r="CI31" s="193">
        <f>'[1]Primary and Summary'!$D$120</f>
        <v>1</v>
      </c>
      <c r="CJ31" s="193">
        <f>'[1]Primary and Summary'!$D$120</f>
        <v>1</v>
      </c>
      <c r="CK31" s="193">
        <f>'[1]Primary and Summary'!$D$120</f>
        <v>1</v>
      </c>
      <c r="CL31" s="193">
        <f>'[1]Primary and Summary'!$D$120</f>
        <v>1</v>
      </c>
      <c r="CM31" s="193">
        <f>'[1]Primary and Summary'!$D$105</f>
        <v>0.11529999999999996</v>
      </c>
      <c r="CN31" s="193">
        <f>'[1]Primary and Summary'!$D$105</f>
        <v>0.11529999999999996</v>
      </c>
      <c r="CO31" s="193">
        <v>1</v>
      </c>
      <c r="CP31" s="39"/>
      <c r="CR31" s="38">
        <f t="shared" ref="CR31:CR32" si="189">BU31*AX31</f>
        <v>0</v>
      </c>
      <c r="CS31" s="38">
        <f t="shared" si="157"/>
        <v>413767.30949999986</v>
      </c>
      <c r="CT31" s="38">
        <f t="shared" si="158"/>
        <v>0</v>
      </c>
      <c r="CU31" s="38">
        <f t="shared" si="159"/>
        <v>0</v>
      </c>
      <c r="CV31" s="38">
        <f t="shared" si="160"/>
        <v>0</v>
      </c>
      <c r="CW31" s="38">
        <f t="shared" si="161"/>
        <v>0</v>
      </c>
      <c r="CX31" s="38">
        <f t="shared" si="162"/>
        <v>0</v>
      </c>
      <c r="CY31" s="38">
        <f t="shared" si="163"/>
        <v>0</v>
      </c>
      <c r="CZ31" s="38">
        <f t="shared" si="164"/>
        <v>0</v>
      </c>
      <c r="DA31" s="38">
        <f t="shared" si="165"/>
        <v>0</v>
      </c>
      <c r="DB31" s="38">
        <f t="shared" si="166"/>
        <v>0</v>
      </c>
      <c r="DC31" s="38">
        <f t="shared" si="167"/>
        <v>0</v>
      </c>
      <c r="DD31" s="38">
        <f t="shared" si="168"/>
        <v>0</v>
      </c>
      <c r="DE31" s="38">
        <f t="shared" si="169"/>
        <v>0</v>
      </c>
      <c r="DF31" s="38">
        <f t="shared" si="170"/>
        <v>0</v>
      </c>
      <c r="DG31" s="38">
        <f t="shared" si="171"/>
        <v>0</v>
      </c>
      <c r="DH31" s="38">
        <f t="shared" si="172"/>
        <v>0</v>
      </c>
      <c r="DI31" s="38">
        <f t="shared" si="173"/>
        <v>0</v>
      </c>
      <c r="DJ31" s="38">
        <f t="shared" si="174"/>
        <v>0</v>
      </c>
      <c r="DK31" s="38">
        <f t="shared" si="175"/>
        <v>0</v>
      </c>
      <c r="DL31" s="38">
        <f t="shared" si="176"/>
        <v>0</v>
      </c>
      <c r="DM31" s="83">
        <f t="shared" si="53"/>
        <v>413767.30949999986</v>
      </c>
      <c r="DO31" s="195">
        <v>6.7799999999999999E-2</v>
      </c>
      <c r="DP31" s="194">
        <v>0.1</v>
      </c>
      <c r="DQ31" s="195">
        <v>1.4999999999999999E-2</v>
      </c>
      <c r="DR31" s="195">
        <v>1.4999999999999999E-2</v>
      </c>
      <c r="DS31" s="195">
        <v>2.06E-2</v>
      </c>
      <c r="DT31" s="195">
        <v>1.78E-2</v>
      </c>
      <c r="DU31" s="195">
        <v>2.2700000000000001E-2</v>
      </c>
      <c r="DV31" s="195">
        <v>2.1700000000000001E-2</v>
      </c>
      <c r="DW31" s="195">
        <v>4.3299999999999998E-2</v>
      </c>
      <c r="DX31" s="195">
        <v>1.3100000000000001E-2</v>
      </c>
      <c r="DY31" s="195">
        <v>4.7000000000000002E-3</v>
      </c>
      <c r="DZ31" s="195">
        <v>3.09E-2</v>
      </c>
      <c r="EA31" s="195">
        <v>1.8800000000000001E-2</v>
      </c>
      <c r="EB31" s="195">
        <v>1.4999999999999999E-2</v>
      </c>
      <c r="EC31" s="195">
        <v>2.5399999999999999E-2</v>
      </c>
      <c r="ED31" s="195">
        <v>2.3199999999999998E-2</v>
      </c>
      <c r="EE31" s="195">
        <v>2.18E-2</v>
      </c>
      <c r="EF31" s="195">
        <v>2.2700000000000001E-2</v>
      </c>
      <c r="EG31" s="195">
        <v>0.2</v>
      </c>
      <c r="EH31" s="195">
        <v>6.6699999999999995E-2</v>
      </c>
      <c r="EI31" s="195">
        <v>3.0200000000000001E-2</v>
      </c>
      <c r="EL31" s="107">
        <f t="shared" si="31"/>
        <v>0</v>
      </c>
      <c r="EM31" s="107">
        <f t="shared" si="32"/>
        <v>41376.73094999999</v>
      </c>
      <c r="EN31" s="107">
        <f t="shared" si="33"/>
        <v>0</v>
      </c>
      <c r="EO31" s="107">
        <f t="shared" si="34"/>
        <v>0</v>
      </c>
      <c r="EP31" s="107">
        <f t="shared" si="35"/>
        <v>0</v>
      </c>
      <c r="EQ31" s="107">
        <f t="shared" si="54"/>
        <v>0</v>
      </c>
      <c r="ER31" s="107">
        <f t="shared" si="36"/>
        <v>0</v>
      </c>
      <c r="ES31" s="107">
        <f t="shared" si="37"/>
        <v>0</v>
      </c>
      <c r="ET31" s="107">
        <f t="shared" si="38"/>
        <v>0</v>
      </c>
      <c r="EU31" s="107">
        <f t="shared" si="39"/>
        <v>0</v>
      </c>
      <c r="EV31" s="107">
        <f t="shared" si="40"/>
        <v>0</v>
      </c>
      <c r="EW31" s="107">
        <f t="shared" si="41"/>
        <v>0</v>
      </c>
      <c r="EX31" s="107">
        <f t="shared" si="42"/>
        <v>0</v>
      </c>
      <c r="EY31" s="107">
        <f t="shared" si="43"/>
        <v>0</v>
      </c>
      <c r="EZ31" s="107">
        <f t="shared" si="44"/>
        <v>0</v>
      </c>
      <c r="FA31" s="107">
        <f t="shared" si="45"/>
        <v>0</v>
      </c>
      <c r="FB31" s="107">
        <f t="shared" si="46"/>
        <v>0</v>
      </c>
      <c r="FC31" s="107">
        <f t="shared" si="47"/>
        <v>0</v>
      </c>
      <c r="FD31" s="107">
        <f t="shared" si="48"/>
        <v>0</v>
      </c>
      <c r="FE31" s="107">
        <f t="shared" si="49"/>
        <v>0</v>
      </c>
      <c r="FF31" s="107">
        <f t="shared" si="50"/>
        <v>0</v>
      </c>
      <c r="FG31" s="107">
        <f t="shared" si="55"/>
        <v>41376.73094999999</v>
      </c>
      <c r="FH31" s="107"/>
      <c r="FI31" s="215">
        <v>12.5</v>
      </c>
      <c r="FJ31" s="219">
        <f t="shared" si="56"/>
        <v>43100.761406249992</v>
      </c>
      <c r="FK31" s="214">
        <f t="shared" si="57"/>
        <v>370666.54809374985</v>
      </c>
      <c r="FN31" s="414" t="s">
        <v>557</v>
      </c>
      <c r="FO31" s="414"/>
      <c r="FP31" s="414"/>
      <c r="FQ31" s="414"/>
      <c r="FR31" s="414"/>
      <c r="FS31" s="414"/>
      <c r="FT31" s="414"/>
    </row>
    <row r="32" spans="1:180" s="61" customFormat="1" x14ac:dyDescent="0.35">
      <c r="B32" s="2" t="s">
        <v>329</v>
      </c>
      <c r="C32" s="61">
        <v>38</v>
      </c>
      <c r="D32" s="63">
        <v>0.12</v>
      </c>
      <c r="E32" s="31" t="s">
        <v>131</v>
      </c>
      <c r="F32" s="162" t="s">
        <v>200</v>
      </c>
      <c r="G32" s="181">
        <v>44805</v>
      </c>
      <c r="H32" s="182">
        <v>0</v>
      </c>
      <c r="I32" s="183">
        <v>0</v>
      </c>
      <c r="J32" s="183">
        <v>0</v>
      </c>
      <c r="K32" s="183">
        <v>0</v>
      </c>
      <c r="L32" s="184">
        <f>SUM(H32:K32)</f>
        <v>0</v>
      </c>
      <c r="M32" s="182">
        <f>'Accounting Alignment'!K37</f>
        <v>664340</v>
      </c>
      <c r="N32" s="183">
        <v>45671</v>
      </c>
      <c r="O32" s="183">
        <v>5925</v>
      </c>
      <c r="P32" s="183">
        <v>14210</v>
      </c>
      <c r="Q32" s="184">
        <f>SUM(M32:P32)</f>
        <v>730146</v>
      </c>
      <c r="R32" s="182">
        <f t="shared" si="183"/>
        <v>664340</v>
      </c>
      <c r="S32" s="183">
        <f t="shared" si="184"/>
        <v>45671</v>
      </c>
      <c r="T32" s="183">
        <f t="shared" si="185"/>
        <v>5925</v>
      </c>
      <c r="U32" s="183">
        <f t="shared" si="186"/>
        <v>14210</v>
      </c>
      <c r="V32" s="185"/>
      <c r="W32" s="184">
        <f>SUM(R32:V32)</f>
        <v>730146</v>
      </c>
      <c r="X32" s="19"/>
      <c r="Y32" s="20"/>
      <c r="AA32" s="14">
        <v>1</v>
      </c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45">
        <f t="shared" si="51"/>
        <v>1</v>
      </c>
      <c r="AX32" s="38">
        <f t="shared" si="187"/>
        <v>730146</v>
      </c>
      <c r="AY32" s="38">
        <f t="shared" si="136"/>
        <v>0</v>
      </c>
      <c r="AZ32" s="38">
        <f t="shared" si="137"/>
        <v>0</v>
      </c>
      <c r="BA32" s="38">
        <f t="shared" si="138"/>
        <v>0</v>
      </c>
      <c r="BB32" s="38">
        <f t="shared" si="139"/>
        <v>0</v>
      </c>
      <c r="BC32" s="38">
        <f t="shared" si="140"/>
        <v>0</v>
      </c>
      <c r="BD32" s="38">
        <f t="shared" si="141"/>
        <v>0</v>
      </c>
      <c r="BE32" s="38">
        <f t="shared" si="142"/>
        <v>0</v>
      </c>
      <c r="BF32" s="38">
        <f t="shared" si="143"/>
        <v>0</v>
      </c>
      <c r="BG32" s="38">
        <f t="shared" si="144"/>
        <v>0</v>
      </c>
      <c r="BH32" s="38">
        <f t="shared" si="145"/>
        <v>0</v>
      </c>
      <c r="BI32" s="38">
        <f t="shared" si="146"/>
        <v>0</v>
      </c>
      <c r="BJ32" s="38">
        <f t="shared" si="147"/>
        <v>0</v>
      </c>
      <c r="BK32" s="38">
        <f t="shared" si="148"/>
        <v>0</v>
      </c>
      <c r="BL32" s="38">
        <f t="shared" si="149"/>
        <v>0</v>
      </c>
      <c r="BM32" s="38">
        <f t="shared" si="150"/>
        <v>0</v>
      </c>
      <c r="BN32" s="38">
        <f t="shared" si="151"/>
        <v>0</v>
      </c>
      <c r="BO32" s="38">
        <f t="shared" si="152"/>
        <v>0</v>
      </c>
      <c r="BP32" s="38">
        <f t="shared" si="153"/>
        <v>0</v>
      </c>
      <c r="BQ32" s="38">
        <f t="shared" si="154"/>
        <v>0</v>
      </c>
      <c r="BR32" s="38">
        <f t="shared" si="155"/>
        <v>0</v>
      </c>
      <c r="BS32" s="39">
        <f t="shared" si="52"/>
        <v>730146</v>
      </c>
      <c r="BT32" s="48">
        <f t="shared" si="188"/>
        <v>0</v>
      </c>
      <c r="BU32" s="193">
        <f>'[1]Primary and Summary'!$D$105</f>
        <v>0.11529999999999996</v>
      </c>
      <c r="BV32" s="193">
        <f>'[1]Primary and Summary'!$D$105</f>
        <v>0.11529999999999996</v>
      </c>
      <c r="BW32" s="193">
        <f>'[1]Primary and Summary'!$D$111</f>
        <v>0.10809999999999997</v>
      </c>
      <c r="BX32" s="193">
        <f>'[1]Primary and Summary'!$D$111</f>
        <v>0.10809999999999997</v>
      </c>
      <c r="BY32" s="193">
        <f>'[1]Primary and Summary'!$D$111</f>
        <v>0.10809999999999997</v>
      </c>
      <c r="BZ32" s="193">
        <f>'[1]Primary and Summary'!$D$111</f>
        <v>0.10809999999999997</v>
      </c>
      <c r="CA32" s="193">
        <f>'[1]Primary and Summary'!$D$111</f>
        <v>0.10809999999999997</v>
      </c>
      <c r="CB32" s="193">
        <f>'[1]Primary and Summary'!$D$111</f>
        <v>0.10809999999999997</v>
      </c>
      <c r="CC32" s="193">
        <f>'[1]Primary and Summary'!$D$111</f>
        <v>0.10809999999999997</v>
      </c>
      <c r="CD32" s="193">
        <f>'[1]Primary and Summary'!$D$111</f>
        <v>0.10809999999999997</v>
      </c>
      <c r="CE32" s="193">
        <f>'[1]Primary and Summary'!$D$111</f>
        <v>0.10809999999999997</v>
      </c>
      <c r="CF32" s="193">
        <f>'[1]Primary and Summary'!$D$111</f>
        <v>0.10809999999999997</v>
      </c>
      <c r="CG32" s="193">
        <f>'[1]Primary and Summary'!$D$120</f>
        <v>1</v>
      </c>
      <c r="CH32" s="193">
        <f>'[1]Primary and Summary'!$D$120</f>
        <v>1</v>
      </c>
      <c r="CI32" s="193">
        <f>'[1]Primary and Summary'!$D$120</f>
        <v>1</v>
      </c>
      <c r="CJ32" s="193">
        <f>'[1]Primary and Summary'!$D$120</f>
        <v>1</v>
      </c>
      <c r="CK32" s="193">
        <f>'[1]Primary and Summary'!$D$120</f>
        <v>1</v>
      </c>
      <c r="CL32" s="193">
        <f>'[1]Primary and Summary'!$D$120</f>
        <v>1</v>
      </c>
      <c r="CM32" s="193">
        <f>'[1]Primary and Summary'!$D$105</f>
        <v>0.11529999999999996</v>
      </c>
      <c r="CN32" s="193">
        <f>'[1]Primary and Summary'!$D$105</f>
        <v>0.11529999999999996</v>
      </c>
      <c r="CO32" s="193">
        <v>1</v>
      </c>
      <c r="CP32" s="39"/>
      <c r="CR32" s="38">
        <f t="shared" si="189"/>
        <v>84185.833799999964</v>
      </c>
      <c r="CS32" s="38">
        <f t="shared" si="157"/>
        <v>0</v>
      </c>
      <c r="CT32" s="38">
        <f t="shared" si="158"/>
        <v>0</v>
      </c>
      <c r="CU32" s="38">
        <f t="shared" si="159"/>
        <v>0</v>
      </c>
      <c r="CV32" s="38">
        <f t="shared" si="160"/>
        <v>0</v>
      </c>
      <c r="CW32" s="38">
        <f t="shared" si="161"/>
        <v>0</v>
      </c>
      <c r="CX32" s="38">
        <f t="shared" si="162"/>
        <v>0</v>
      </c>
      <c r="CY32" s="38">
        <f t="shared" si="163"/>
        <v>0</v>
      </c>
      <c r="CZ32" s="38">
        <f t="shared" si="164"/>
        <v>0</v>
      </c>
      <c r="DA32" s="38">
        <f t="shared" si="165"/>
        <v>0</v>
      </c>
      <c r="DB32" s="38">
        <f t="shared" si="166"/>
        <v>0</v>
      </c>
      <c r="DC32" s="38">
        <f t="shared" si="167"/>
        <v>0</v>
      </c>
      <c r="DD32" s="38">
        <f t="shared" si="168"/>
        <v>0</v>
      </c>
      <c r="DE32" s="38">
        <f t="shared" si="169"/>
        <v>0</v>
      </c>
      <c r="DF32" s="38">
        <f t="shared" si="170"/>
        <v>0</v>
      </c>
      <c r="DG32" s="38">
        <f t="shared" si="171"/>
        <v>0</v>
      </c>
      <c r="DH32" s="38">
        <f t="shared" si="172"/>
        <v>0</v>
      </c>
      <c r="DI32" s="38">
        <f t="shared" si="173"/>
        <v>0</v>
      </c>
      <c r="DJ32" s="38">
        <f t="shared" si="174"/>
        <v>0</v>
      </c>
      <c r="DK32" s="38">
        <f t="shared" si="175"/>
        <v>0</v>
      </c>
      <c r="DL32" s="38">
        <f t="shared" si="176"/>
        <v>0</v>
      </c>
      <c r="DM32" s="83">
        <f t="shared" si="53"/>
        <v>84185.833799999964</v>
      </c>
      <c r="DO32" s="195">
        <v>6.7799999999999999E-2</v>
      </c>
      <c r="DP32" s="194">
        <v>0.1</v>
      </c>
      <c r="DQ32" s="195">
        <v>1.4999999999999999E-2</v>
      </c>
      <c r="DR32" s="195">
        <v>1.4999999999999999E-2</v>
      </c>
      <c r="DS32" s="195">
        <v>2.06E-2</v>
      </c>
      <c r="DT32" s="195">
        <v>1.78E-2</v>
      </c>
      <c r="DU32" s="195">
        <v>2.2700000000000001E-2</v>
      </c>
      <c r="DV32" s="195">
        <v>2.1700000000000001E-2</v>
      </c>
      <c r="DW32" s="195">
        <v>4.3299999999999998E-2</v>
      </c>
      <c r="DX32" s="195">
        <v>1.3100000000000001E-2</v>
      </c>
      <c r="DY32" s="195">
        <v>4.7000000000000002E-3</v>
      </c>
      <c r="DZ32" s="195">
        <v>3.09E-2</v>
      </c>
      <c r="EA32" s="195">
        <v>1.8800000000000001E-2</v>
      </c>
      <c r="EB32" s="195">
        <v>1.4999999999999999E-2</v>
      </c>
      <c r="EC32" s="195">
        <v>2.5399999999999999E-2</v>
      </c>
      <c r="ED32" s="195">
        <v>2.3199999999999998E-2</v>
      </c>
      <c r="EE32" s="195">
        <v>2.18E-2</v>
      </c>
      <c r="EF32" s="195">
        <v>2.2700000000000001E-2</v>
      </c>
      <c r="EG32" s="195">
        <v>0.2</v>
      </c>
      <c r="EH32" s="195">
        <v>6.6699999999999995E-2</v>
      </c>
      <c r="EI32" s="195">
        <v>3.0200000000000001E-2</v>
      </c>
      <c r="EL32" s="107">
        <f t="shared" si="31"/>
        <v>5707.7995316399974</v>
      </c>
      <c r="EM32" s="107">
        <f t="shared" si="32"/>
        <v>0</v>
      </c>
      <c r="EN32" s="107">
        <f t="shared" si="33"/>
        <v>0</v>
      </c>
      <c r="EO32" s="107">
        <f t="shared" si="34"/>
        <v>0</v>
      </c>
      <c r="EP32" s="107">
        <f t="shared" si="35"/>
        <v>0</v>
      </c>
      <c r="EQ32" s="107">
        <f t="shared" si="54"/>
        <v>0</v>
      </c>
      <c r="ER32" s="107">
        <f t="shared" si="36"/>
        <v>0</v>
      </c>
      <c r="ES32" s="107">
        <f t="shared" si="37"/>
        <v>0</v>
      </c>
      <c r="ET32" s="107">
        <f t="shared" si="38"/>
        <v>0</v>
      </c>
      <c r="EU32" s="107">
        <f t="shared" si="39"/>
        <v>0</v>
      </c>
      <c r="EV32" s="107">
        <f t="shared" si="40"/>
        <v>0</v>
      </c>
      <c r="EW32" s="107">
        <f t="shared" si="41"/>
        <v>0</v>
      </c>
      <c r="EX32" s="107">
        <f t="shared" si="42"/>
        <v>0</v>
      </c>
      <c r="EY32" s="107">
        <f t="shared" si="43"/>
        <v>0</v>
      </c>
      <c r="EZ32" s="107">
        <f t="shared" si="44"/>
        <v>0</v>
      </c>
      <c r="FA32" s="107">
        <f t="shared" si="45"/>
        <v>0</v>
      </c>
      <c r="FB32" s="107">
        <f t="shared" si="46"/>
        <v>0</v>
      </c>
      <c r="FC32" s="107">
        <f t="shared" si="47"/>
        <v>0</v>
      </c>
      <c r="FD32" s="107">
        <f t="shared" si="48"/>
        <v>0</v>
      </c>
      <c r="FE32" s="107">
        <f t="shared" si="49"/>
        <v>0</v>
      </c>
      <c r="FF32" s="107">
        <f t="shared" si="50"/>
        <v>0</v>
      </c>
      <c r="FG32" s="107">
        <f t="shared" si="55"/>
        <v>5707.7995316399974</v>
      </c>
      <c r="FH32" s="107"/>
      <c r="FI32" s="213">
        <v>1.5</v>
      </c>
      <c r="FJ32" s="219">
        <f t="shared" si="56"/>
        <v>713.47494145499968</v>
      </c>
      <c r="FK32" s="214">
        <f t="shared" si="57"/>
        <v>83472.358858544962</v>
      </c>
      <c r="FN32" s="414"/>
      <c r="FO32" s="414"/>
      <c r="FP32" s="414"/>
      <c r="FQ32" s="414"/>
      <c r="FR32" s="414"/>
      <c r="FS32" s="414"/>
      <c r="FT32" s="414"/>
    </row>
    <row r="33" spans="1:176" s="61" customFormat="1" x14ac:dyDescent="0.35">
      <c r="A33" s="190" t="s">
        <v>156</v>
      </c>
      <c r="B33" s="2" t="s">
        <v>329</v>
      </c>
      <c r="C33" s="61">
        <v>38</v>
      </c>
      <c r="D33" s="63">
        <v>0.12</v>
      </c>
      <c r="E33" s="31" t="s">
        <v>131</v>
      </c>
      <c r="F33" s="162" t="s">
        <v>201</v>
      </c>
      <c r="G33" s="181">
        <v>44805</v>
      </c>
      <c r="H33" s="182">
        <v>0</v>
      </c>
      <c r="I33" s="183">
        <v>0</v>
      </c>
      <c r="J33" s="183">
        <v>0</v>
      </c>
      <c r="K33" s="183">
        <v>0</v>
      </c>
      <c r="L33" s="184">
        <f>SUM(H33:K33)</f>
        <v>0</v>
      </c>
      <c r="M33" s="182">
        <f>'Accounting Alignment'!J37</f>
        <v>461660</v>
      </c>
      <c r="N33" s="183">
        <v>31738</v>
      </c>
      <c r="O33" s="183">
        <v>4117</v>
      </c>
      <c r="P33" s="183">
        <v>9874</v>
      </c>
      <c r="Q33" s="184">
        <f>SUM(M33:P33)</f>
        <v>507389</v>
      </c>
      <c r="R33" s="182">
        <f t="shared" ref="R33" si="190">IFERROR(H33+M33,"")</f>
        <v>461660</v>
      </c>
      <c r="S33" s="183">
        <f t="shared" ref="S33" si="191">IFERROR(I33+N33,"")</f>
        <v>31738</v>
      </c>
      <c r="T33" s="183">
        <f t="shared" ref="T33" si="192">IFERROR(J33+O33,"")</f>
        <v>4117</v>
      </c>
      <c r="U33" s="183">
        <f t="shared" ref="U33" si="193">IFERROR(K33+P33,"")</f>
        <v>9874</v>
      </c>
      <c r="V33" s="185"/>
      <c r="W33" s="184">
        <f>SUM(R33:V33)</f>
        <v>507389</v>
      </c>
      <c r="X33" s="19"/>
      <c r="Y33" s="20"/>
      <c r="AA33" s="14"/>
      <c r="AB33" s="14">
        <v>1</v>
      </c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45">
        <f t="shared" si="51"/>
        <v>1</v>
      </c>
      <c r="AX33" s="38">
        <f t="shared" ref="AX33" si="194">AA33*$W33</f>
        <v>0</v>
      </c>
      <c r="AY33" s="38">
        <f t="shared" si="136"/>
        <v>507389</v>
      </c>
      <c r="AZ33" s="38">
        <f t="shared" si="137"/>
        <v>0</v>
      </c>
      <c r="BA33" s="38">
        <f t="shared" si="138"/>
        <v>0</v>
      </c>
      <c r="BB33" s="38">
        <f t="shared" si="139"/>
        <v>0</v>
      </c>
      <c r="BC33" s="38">
        <f t="shared" si="140"/>
        <v>0</v>
      </c>
      <c r="BD33" s="38">
        <f t="shared" si="141"/>
        <v>0</v>
      </c>
      <c r="BE33" s="38">
        <f t="shared" si="142"/>
        <v>0</v>
      </c>
      <c r="BF33" s="38">
        <f t="shared" si="143"/>
        <v>0</v>
      </c>
      <c r="BG33" s="38">
        <f t="shared" si="144"/>
        <v>0</v>
      </c>
      <c r="BH33" s="38">
        <f t="shared" si="145"/>
        <v>0</v>
      </c>
      <c r="BI33" s="38">
        <f t="shared" si="146"/>
        <v>0</v>
      </c>
      <c r="BJ33" s="38">
        <f t="shared" si="147"/>
        <v>0</v>
      </c>
      <c r="BK33" s="38">
        <f t="shared" si="148"/>
        <v>0</v>
      </c>
      <c r="BL33" s="38">
        <f t="shared" si="149"/>
        <v>0</v>
      </c>
      <c r="BM33" s="38">
        <f t="shared" si="150"/>
        <v>0</v>
      </c>
      <c r="BN33" s="38">
        <f t="shared" si="151"/>
        <v>0</v>
      </c>
      <c r="BO33" s="38">
        <f t="shared" si="152"/>
        <v>0</v>
      </c>
      <c r="BP33" s="38">
        <f t="shared" si="153"/>
        <v>0</v>
      </c>
      <c r="BQ33" s="38">
        <f t="shared" si="154"/>
        <v>0</v>
      </c>
      <c r="BR33" s="38">
        <f t="shared" si="155"/>
        <v>0</v>
      </c>
      <c r="BS33" s="39">
        <f t="shared" si="52"/>
        <v>507389</v>
      </c>
      <c r="BT33" s="48">
        <f t="shared" ref="BT33" si="195">BS33-W33</f>
        <v>0</v>
      </c>
      <c r="BU33" s="193">
        <f>'[1]Primary and Summary'!$D$105</f>
        <v>0.11529999999999996</v>
      </c>
      <c r="BV33" s="193">
        <f>'[1]Primary and Summary'!$D$105</f>
        <v>0.11529999999999996</v>
      </c>
      <c r="BW33" s="193">
        <f>'[1]Primary and Summary'!$D$111</f>
        <v>0.10809999999999997</v>
      </c>
      <c r="BX33" s="193">
        <f>'[1]Primary and Summary'!$D$111</f>
        <v>0.10809999999999997</v>
      </c>
      <c r="BY33" s="193">
        <f>'[1]Primary and Summary'!$D$111</f>
        <v>0.10809999999999997</v>
      </c>
      <c r="BZ33" s="193">
        <f>'[1]Primary and Summary'!$D$111</f>
        <v>0.10809999999999997</v>
      </c>
      <c r="CA33" s="193">
        <f>'[1]Primary and Summary'!$D$111</f>
        <v>0.10809999999999997</v>
      </c>
      <c r="CB33" s="193">
        <f>'[1]Primary and Summary'!$D$111</f>
        <v>0.10809999999999997</v>
      </c>
      <c r="CC33" s="193">
        <f>'[1]Primary and Summary'!$D$111</f>
        <v>0.10809999999999997</v>
      </c>
      <c r="CD33" s="193">
        <f>'[1]Primary and Summary'!$D$111</f>
        <v>0.10809999999999997</v>
      </c>
      <c r="CE33" s="193">
        <f>'[1]Primary and Summary'!$D$111</f>
        <v>0.10809999999999997</v>
      </c>
      <c r="CF33" s="193">
        <f>'[1]Primary and Summary'!$D$111</f>
        <v>0.10809999999999997</v>
      </c>
      <c r="CG33" s="193">
        <f>'[1]Primary and Summary'!$D$120</f>
        <v>1</v>
      </c>
      <c r="CH33" s="193">
        <f>'[1]Primary and Summary'!$D$120</f>
        <v>1</v>
      </c>
      <c r="CI33" s="193">
        <f>'[1]Primary and Summary'!$D$120</f>
        <v>1</v>
      </c>
      <c r="CJ33" s="193">
        <f>'[1]Primary and Summary'!$D$120</f>
        <v>1</v>
      </c>
      <c r="CK33" s="193">
        <f>'[1]Primary and Summary'!$D$120</f>
        <v>1</v>
      </c>
      <c r="CL33" s="193">
        <f>'[1]Primary and Summary'!$D$120</f>
        <v>1</v>
      </c>
      <c r="CM33" s="193">
        <f>'[1]Primary and Summary'!$D$105</f>
        <v>0.11529999999999996</v>
      </c>
      <c r="CN33" s="193">
        <f>'[1]Primary and Summary'!$D$105</f>
        <v>0.11529999999999996</v>
      </c>
      <c r="CO33" s="193">
        <v>1</v>
      </c>
      <c r="CP33" s="39"/>
      <c r="CR33" s="38">
        <f t="shared" ref="CR33" si="196">BU33*AX33</f>
        <v>0</v>
      </c>
      <c r="CS33" s="38">
        <f t="shared" si="157"/>
        <v>58501.951699999976</v>
      </c>
      <c r="CT33" s="38">
        <f t="shared" si="158"/>
        <v>0</v>
      </c>
      <c r="CU33" s="38">
        <f t="shared" si="159"/>
        <v>0</v>
      </c>
      <c r="CV33" s="38">
        <f t="shared" si="160"/>
        <v>0</v>
      </c>
      <c r="CW33" s="38">
        <f t="shared" si="161"/>
        <v>0</v>
      </c>
      <c r="CX33" s="38">
        <f t="shared" si="162"/>
        <v>0</v>
      </c>
      <c r="CY33" s="38">
        <f t="shared" si="163"/>
        <v>0</v>
      </c>
      <c r="CZ33" s="38">
        <f t="shared" si="164"/>
        <v>0</v>
      </c>
      <c r="DA33" s="38">
        <f t="shared" si="165"/>
        <v>0</v>
      </c>
      <c r="DB33" s="38">
        <f t="shared" si="166"/>
        <v>0</v>
      </c>
      <c r="DC33" s="38">
        <f t="shared" si="167"/>
        <v>0</v>
      </c>
      <c r="DD33" s="38">
        <f t="shared" si="168"/>
        <v>0</v>
      </c>
      <c r="DE33" s="38">
        <f t="shared" si="169"/>
        <v>0</v>
      </c>
      <c r="DF33" s="38">
        <f t="shared" si="170"/>
        <v>0</v>
      </c>
      <c r="DG33" s="38">
        <f t="shared" si="171"/>
        <v>0</v>
      </c>
      <c r="DH33" s="38">
        <f t="shared" si="172"/>
        <v>0</v>
      </c>
      <c r="DI33" s="38">
        <f t="shared" si="173"/>
        <v>0</v>
      </c>
      <c r="DJ33" s="38">
        <f t="shared" si="174"/>
        <v>0</v>
      </c>
      <c r="DK33" s="38">
        <f t="shared" si="175"/>
        <v>0</v>
      </c>
      <c r="DL33" s="38">
        <f t="shared" si="176"/>
        <v>0</v>
      </c>
      <c r="DM33" s="83">
        <f t="shared" si="53"/>
        <v>58501.951699999976</v>
      </c>
      <c r="DO33" s="195">
        <v>6.7799999999999999E-2</v>
      </c>
      <c r="DP33" s="194">
        <v>0.1</v>
      </c>
      <c r="DQ33" s="195">
        <v>1.4999999999999999E-2</v>
      </c>
      <c r="DR33" s="195">
        <v>1.4999999999999999E-2</v>
      </c>
      <c r="DS33" s="195">
        <v>2.06E-2</v>
      </c>
      <c r="DT33" s="195">
        <v>1.78E-2</v>
      </c>
      <c r="DU33" s="195">
        <v>2.2700000000000001E-2</v>
      </c>
      <c r="DV33" s="195">
        <v>2.1700000000000001E-2</v>
      </c>
      <c r="DW33" s="195">
        <v>4.3299999999999998E-2</v>
      </c>
      <c r="DX33" s="195">
        <v>1.3100000000000001E-2</v>
      </c>
      <c r="DY33" s="195">
        <v>4.7000000000000002E-3</v>
      </c>
      <c r="DZ33" s="195">
        <v>3.09E-2</v>
      </c>
      <c r="EA33" s="195">
        <v>1.8800000000000001E-2</v>
      </c>
      <c r="EB33" s="195">
        <v>1.4999999999999999E-2</v>
      </c>
      <c r="EC33" s="195">
        <v>2.5399999999999999E-2</v>
      </c>
      <c r="ED33" s="195">
        <v>2.3199999999999998E-2</v>
      </c>
      <c r="EE33" s="195">
        <v>2.18E-2</v>
      </c>
      <c r="EF33" s="195">
        <v>2.2700000000000001E-2</v>
      </c>
      <c r="EG33" s="195">
        <v>0.2</v>
      </c>
      <c r="EH33" s="195">
        <v>6.6699999999999995E-2</v>
      </c>
      <c r="EI33" s="195">
        <v>3.0200000000000001E-2</v>
      </c>
      <c r="EL33" s="107">
        <f t="shared" si="31"/>
        <v>0</v>
      </c>
      <c r="EM33" s="107">
        <f t="shared" si="32"/>
        <v>5850.1951699999981</v>
      </c>
      <c r="EN33" s="107">
        <f t="shared" si="33"/>
        <v>0</v>
      </c>
      <c r="EO33" s="107">
        <f t="shared" si="34"/>
        <v>0</v>
      </c>
      <c r="EP33" s="107">
        <f t="shared" si="35"/>
        <v>0</v>
      </c>
      <c r="EQ33" s="107">
        <f t="shared" si="54"/>
        <v>0</v>
      </c>
      <c r="ER33" s="107">
        <f t="shared" si="36"/>
        <v>0</v>
      </c>
      <c r="ES33" s="107">
        <f t="shared" si="37"/>
        <v>0</v>
      </c>
      <c r="ET33" s="107">
        <f t="shared" si="38"/>
        <v>0</v>
      </c>
      <c r="EU33" s="107">
        <f t="shared" si="39"/>
        <v>0</v>
      </c>
      <c r="EV33" s="107">
        <f t="shared" si="40"/>
        <v>0</v>
      </c>
      <c r="EW33" s="107">
        <f t="shared" si="41"/>
        <v>0</v>
      </c>
      <c r="EX33" s="107">
        <f t="shared" si="42"/>
        <v>0</v>
      </c>
      <c r="EY33" s="107">
        <f t="shared" si="43"/>
        <v>0</v>
      </c>
      <c r="EZ33" s="107">
        <f t="shared" si="44"/>
        <v>0</v>
      </c>
      <c r="FA33" s="107">
        <f t="shared" si="45"/>
        <v>0</v>
      </c>
      <c r="FB33" s="107">
        <f t="shared" si="46"/>
        <v>0</v>
      </c>
      <c r="FC33" s="107">
        <f t="shared" si="47"/>
        <v>0</v>
      </c>
      <c r="FD33" s="107">
        <f t="shared" si="48"/>
        <v>0</v>
      </c>
      <c r="FE33" s="107">
        <f t="shared" si="49"/>
        <v>0</v>
      </c>
      <c r="FF33" s="107">
        <f t="shared" si="50"/>
        <v>0</v>
      </c>
      <c r="FG33" s="107">
        <f t="shared" si="55"/>
        <v>5850.1951699999981</v>
      </c>
      <c r="FH33" s="107"/>
      <c r="FI33" s="213">
        <v>1.5</v>
      </c>
      <c r="FJ33" s="219">
        <f t="shared" si="56"/>
        <v>731.27439624999977</v>
      </c>
      <c r="FK33" s="214">
        <f t="shared" si="57"/>
        <v>57770.677303749973</v>
      </c>
      <c r="FN33" s="414"/>
      <c r="FO33" s="414"/>
      <c r="FP33" s="414"/>
      <c r="FQ33" s="414"/>
      <c r="FR33" s="414"/>
      <c r="FS33" s="414"/>
      <c r="FT33" s="414"/>
    </row>
    <row r="34" spans="1:176" x14ac:dyDescent="0.35">
      <c r="A34" s="62"/>
      <c r="B34" s="2" t="s">
        <v>329</v>
      </c>
      <c r="C34" s="61">
        <v>38</v>
      </c>
      <c r="D34" s="63">
        <v>0.12</v>
      </c>
      <c r="E34" s="31" t="s">
        <v>131</v>
      </c>
      <c r="F34" s="162" t="s">
        <v>324</v>
      </c>
      <c r="G34" s="181">
        <v>44805</v>
      </c>
      <c r="H34" s="182">
        <v>0</v>
      </c>
      <c r="I34" s="183">
        <v>0</v>
      </c>
      <c r="J34" s="183">
        <v>0</v>
      </c>
      <c r="K34" s="183">
        <v>0</v>
      </c>
      <c r="L34" s="184">
        <f t="shared" si="134"/>
        <v>0</v>
      </c>
      <c r="M34" s="182">
        <f>'Horizon 1 breakout'!K28</f>
        <v>34482216.037770003</v>
      </c>
      <c r="N34" s="183">
        <f>2546405*($M$34/($M$34+$M$36))</f>
        <v>2509256.1330444631</v>
      </c>
      <c r="O34" s="183">
        <f>165457*($M$34/($M$34+$M$36))</f>
        <v>163043.18912550743</v>
      </c>
      <c r="P34" s="183">
        <f>395087*($M$34/($M$34+$M$36))</f>
        <v>389323.17437176639</v>
      </c>
      <c r="Q34" s="184">
        <f t="shared" si="1"/>
        <v>37543838.534311742</v>
      </c>
      <c r="R34" s="182">
        <f t="shared" si="177"/>
        <v>34482216.037770003</v>
      </c>
      <c r="S34" s="183">
        <f t="shared" si="3"/>
        <v>2509256.1330444631</v>
      </c>
      <c r="T34" s="183">
        <f t="shared" si="4"/>
        <v>163043.18912550743</v>
      </c>
      <c r="U34" s="183">
        <f t="shared" si="5"/>
        <v>389323.17437176639</v>
      </c>
      <c r="V34" s="186">
        <f>(R34/SUM($R$34:$R$36))*598000</f>
        <v>342876.6797310175</v>
      </c>
      <c r="W34" s="184">
        <f t="shared" ref="W34" si="197">SUM(R34:V34)</f>
        <v>37886715.21404276</v>
      </c>
      <c r="X34" s="19"/>
      <c r="Y34" s="21"/>
      <c r="AA34" s="14">
        <v>1</v>
      </c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45">
        <f t="shared" si="51"/>
        <v>1</v>
      </c>
      <c r="AX34" s="38">
        <f t="shared" si="135"/>
        <v>37886715.21404276</v>
      </c>
      <c r="AY34" s="38">
        <f t="shared" si="136"/>
        <v>0</v>
      </c>
      <c r="AZ34" s="38">
        <f t="shared" si="137"/>
        <v>0</v>
      </c>
      <c r="BA34" s="38">
        <f t="shared" si="138"/>
        <v>0</v>
      </c>
      <c r="BB34" s="38">
        <f t="shared" si="139"/>
        <v>0</v>
      </c>
      <c r="BC34" s="38">
        <f t="shared" si="140"/>
        <v>0</v>
      </c>
      <c r="BD34" s="38">
        <f t="shared" si="141"/>
        <v>0</v>
      </c>
      <c r="BE34" s="38">
        <f t="shared" si="142"/>
        <v>0</v>
      </c>
      <c r="BF34" s="38">
        <f t="shared" si="143"/>
        <v>0</v>
      </c>
      <c r="BG34" s="38">
        <f t="shared" si="144"/>
        <v>0</v>
      </c>
      <c r="BH34" s="38">
        <f t="shared" si="145"/>
        <v>0</v>
      </c>
      <c r="BI34" s="38">
        <f t="shared" si="146"/>
        <v>0</v>
      </c>
      <c r="BJ34" s="38">
        <f t="shared" si="147"/>
        <v>0</v>
      </c>
      <c r="BK34" s="38">
        <f t="shared" si="148"/>
        <v>0</v>
      </c>
      <c r="BL34" s="38">
        <f t="shared" si="149"/>
        <v>0</v>
      </c>
      <c r="BM34" s="38">
        <f t="shared" si="150"/>
        <v>0</v>
      </c>
      <c r="BN34" s="38">
        <f t="shared" si="151"/>
        <v>0</v>
      </c>
      <c r="BO34" s="38">
        <f t="shared" si="152"/>
        <v>0</v>
      </c>
      <c r="BP34" s="38">
        <f t="shared" si="153"/>
        <v>0</v>
      </c>
      <c r="BQ34" s="38">
        <f t="shared" si="154"/>
        <v>0</v>
      </c>
      <c r="BR34" s="38">
        <f t="shared" si="155"/>
        <v>0</v>
      </c>
      <c r="BS34" s="39">
        <f t="shared" si="52"/>
        <v>37886715.21404276</v>
      </c>
      <c r="BT34" s="48">
        <f t="shared" si="28"/>
        <v>0</v>
      </c>
      <c r="BU34" s="193">
        <f>'[1]Primary and Summary'!$D$105</f>
        <v>0.11529999999999996</v>
      </c>
      <c r="BV34" s="193">
        <f>'[1]Primary and Summary'!$D$105</f>
        <v>0.11529999999999996</v>
      </c>
      <c r="BW34" s="193">
        <f>'[1]Primary and Summary'!$D$111</f>
        <v>0.10809999999999997</v>
      </c>
      <c r="BX34" s="193">
        <f>'[1]Primary and Summary'!$D$111</f>
        <v>0.10809999999999997</v>
      </c>
      <c r="BY34" s="193">
        <f>'[1]Primary and Summary'!$D$111</f>
        <v>0.10809999999999997</v>
      </c>
      <c r="BZ34" s="193">
        <f>'[1]Primary and Summary'!$D$111</f>
        <v>0.10809999999999997</v>
      </c>
      <c r="CA34" s="193">
        <f>'[1]Primary and Summary'!$D$111</f>
        <v>0.10809999999999997</v>
      </c>
      <c r="CB34" s="193">
        <f>'[1]Primary and Summary'!$D$111</f>
        <v>0.10809999999999997</v>
      </c>
      <c r="CC34" s="193">
        <f>'[1]Primary and Summary'!$D$111</f>
        <v>0.10809999999999997</v>
      </c>
      <c r="CD34" s="193">
        <f>'[1]Primary and Summary'!$D$111</f>
        <v>0.10809999999999997</v>
      </c>
      <c r="CE34" s="193">
        <f>'[1]Primary and Summary'!$D$111</f>
        <v>0.10809999999999997</v>
      </c>
      <c r="CF34" s="193">
        <f>'[1]Primary and Summary'!$D$111</f>
        <v>0.10809999999999997</v>
      </c>
      <c r="CG34" s="193">
        <f>'[1]Primary and Summary'!$D$120</f>
        <v>1</v>
      </c>
      <c r="CH34" s="193">
        <f>'[1]Primary and Summary'!$D$120</f>
        <v>1</v>
      </c>
      <c r="CI34" s="193">
        <f>'[1]Primary and Summary'!$D$120</f>
        <v>1</v>
      </c>
      <c r="CJ34" s="193">
        <f>'[1]Primary and Summary'!$D$120</f>
        <v>1</v>
      </c>
      <c r="CK34" s="193">
        <f>'[1]Primary and Summary'!$D$120</f>
        <v>1</v>
      </c>
      <c r="CL34" s="193">
        <f>'[1]Primary and Summary'!$D$120</f>
        <v>1</v>
      </c>
      <c r="CM34" s="193">
        <f>'[1]Primary and Summary'!$D$105</f>
        <v>0.11529999999999996</v>
      </c>
      <c r="CN34" s="193">
        <f>'[1]Primary and Summary'!$D$105</f>
        <v>0.11529999999999996</v>
      </c>
      <c r="CO34" s="193">
        <v>1</v>
      </c>
      <c r="CP34" s="39"/>
      <c r="CR34" s="38">
        <f t="shared" si="156"/>
        <v>4368338.2641791292</v>
      </c>
      <c r="CS34" s="38">
        <f t="shared" si="157"/>
        <v>0</v>
      </c>
      <c r="CT34" s="38">
        <f t="shared" si="158"/>
        <v>0</v>
      </c>
      <c r="CU34" s="38">
        <f t="shared" si="159"/>
        <v>0</v>
      </c>
      <c r="CV34" s="38">
        <f t="shared" si="160"/>
        <v>0</v>
      </c>
      <c r="CW34" s="38">
        <f t="shared" si="161"/>
        <v>0</v>
      </c>
      <c r="CX34" s="38">
        <f t="shared" si="162"/>
        <v>0</v>
      </c>
      <c r="CY34" s="38">
        <f t="shared" si="163"/>
        <v>0</v>
      </c>
      <c r="CZ34" s="38">
        <f t="shared" si="164"/>
        <v>0</v>
      </c>
      <c r="DA34" s="38">
        <f t="shared" si="165"/>
        <v>0</v>
      </c>
      <c r="DB34" s="38">
        <f t="shared" si="166"/>
        <v>0</v>
      </c>
      <c r="DC34" s="38">
        <f t="shared" si="167"/>
        <v>0</v>
      </c>
      <c r="DD34" s="38">
        <f t="shared" si="168"/>
        <v>0</v>
      </c>
      <c r="DE34" s="38">
        <f t="shared" si="169"/>
        <v>0</v>
      </c>
      <c r="DF34" s="38">
        <f t="shared" si="170"/>
        <v>0</v>
      </c>
      <c r="DG34" s="38">
        <f t="shared" si="171"/>
        <v>0</v>
      </c>
      <c r="DH34" s="38">
        <f t="shared" si="172"/>
        <v>0</v>
      </c>
      <c r="DI34" s="38">
        <f t="shared" si="173"/>
        <v>0</v>
      </c>
      <c r="DJ34" s="38">
        <f t="shared" si="174"/>
        <v>0</v>
      </c>
      <c r="DK34" s="38">
        <f t="shared" si="175"/>
        <v>0</v>
      </c>
      <c r="DL34" s="38">
        <f t="shared" si="176"/>
        <v>0</v>
      </c>
      <c r="DM34" s="83">
        <f t="shared" si="53"/>
        <v>4368338.2641791292</v>
      </c>
      <c r="DO34" s="195">
        <v>6.7799999999999999E-2</v>
      </c>
      <c r="DP34" s="194">
        <v>0.1</v>
      </c>
      <c r="DQ34" s="195">
        <v>1.4999999999999999E-2</v>
      </c>
      <c r="DR34" s="195">
        <v>1.4999999999999999E-2</v>
      </c>
      <c r="DS34" s="195">
        <v>2.06E-2</v>
      </c>
      <c r="DT34" s="195">
        <v>1.78E-2</v>
      </c>
      <c r="DU34" s="195">
        <v>2.2700000000000001E-2</v>
      </c>
      <c r="DV34" s="195">
        <v>2.1700000000000001E-2</v>
      </c>
      <c r="DW34" s="195">
        <v>4.3299999999999998E-2</v>
      </c>
      <c r="DX34" s="195">
        <v>1.3100000000000001E-2</v>
      </c>
      <c r="DY34" s="195">
        <v>4.7000000000000002E-3</v>
      </c>
      <c r="DZ34" s="195">
        <v>3.09E-2</v>
      </c>
      <c r="EA34" s="195">
        <v>1.8800000000000001E-2</v>
      </c>
      <c r="EB34" s="195">
        <v>1.4999999999999999E-2</v>
      </c>
      <c r="EC34" s="195">
        <v>2.5399999999999999E-2</v>
      </c>
      <c r="ED34" s="195">
        <v>2.3199999999999998E-2</v>
      </c>
      <c r="EE34" s="195">
        <v>2.18E-2</v>
      </c>
      <c r="EF34" s="195">
        <v>2.2700000000000001E-2</v>
      </c>
      <c r="EG34" s="195">
        <v>0.2</v>
      </c>
      <c r="EH34" s="195">
        <v>6.6699999999999995E-2</v>
      </c>
      <c r="EI34" s="195">
        <v>3.0200000000000001E-2</v>
      </c>
      <c r="EL34" s="107">
        <f t="shared" si="31"/>
        <v>296173.33431134495</v>
      </c>
      <c r="EM34" s="107">
        <f t="shared" si="32"/>
        <v>0</v>
      </c>
      <c r="EN34" s="107">
        <f t="shared" si="33"/>
        <v>0</v>
      </c>
      <c r="EO34" s="107">
        <f t="shared" si="34"/>
        <v>0</v>
      </c>
      <c r="EP34" s="107">
        <f t="shared" si="35"/>
        <v>0</v>
      </c>
      <c r="EQ34" s="107">
        <f t="shared" si="54"/>
        <v>0</v>
      </c>
      <c r="ER34" s="107">
        <f t="shared" si="36"/>
        <v>0</v>
      </c>
      <c r="ES34" s="107">
        <f t="shared" si="37"/>
        <v>0</v>
      </c>
      <c r="ET34" s="107">
        <f t="shared" si="38"/>
        <v>0</v>
      </c>
      <c r="EU34" s="107">
        <f t="shared" si="39"/>
        <v>0</v>
      </c>
      <c r="EV34" s="107">
        <f t="shared" si="40"/>
        <v>0</v>
      </c>
      <c r="EW34" s="107">
        <f t="shared" si="41"/>
        <v>0</v>
      </c>
      <c r="EX34" s="107">
        <f t="shared" si="42"/>
        <v>0</v>
      </c>
      <c r="EY34" s="107">
        <f t="shared" si="43"/>
        <v>0</v>
      </c>
      <c r="EZ34" s="107">
        <f t="shared" si="44"/>
        <v>0</v>
      </c>
      <c r="FA34" s="107">
        <f t="shared" si="45"/>
        <v>0</v>
      </c>
      <c r="FB34" s="107">
        <f t="shared" si="46"/>
        <v>0</v>
      </c>
      <c r="FC34" s="107">
        <f t="shared" si="47"/>
        <v>0</v>
      </c>
      <c r="FD34" s="107">
        <f t="shared" si="48"/>
        <v>0</v>
      </c>
      <c r="FE34" s="107">
        <f t="shared" si="49"/>
        <v>0</v>
      </c>
      <c r="FF34" s="107">
        <f t="shared" si="50"/>
        <v>0</v>
      </c>
      <c r="FG34" s="107">
        <f t="shared" si="55"/>
        <v>296173.33431134495</v>
      </c>
      <c r="FH34" s="107"/>
      <c r="FI34" s="213">
        <v>1.5</v>
      </c>
      <c r="FJ34" s="219">
        <f t="shared" si="56"/>
        <v>37021.666788918119</v>
      </c>
      <c r="FK34" s="214">
        <f t="shared" si="57"/>
        <v>4331316.5973902112</v>
      </c>
    </row>
    <row r="35" spans="1:176" s="61" customFormat="1" x14ac:dyDescent="0.35">
      <c r="A35" s="190" t="s">
        <v>156</v>
      </c>
      <c r="B35" s="2" t="s">
        <v>329</v>
      </c>
      <c r="C35" s="61">
        <v>38</v>
      </c>
      <c r="D35" s="63">
        <v>0.12</v>
      </c>
      <c r="E35" s="31" t="s">
        <v>131</v>
      </c>
      <c r="F35" s="162" t="s">
        <v>325</v>
      </c>
      <c r="G35" s="181">
        <v>44805</v>
      </c>
      <c r="H35" s="182">
        <v>0</v>
      </c>
      <c r="I35" s="183">
        <v>0</v>
      </c>
      <c r="J35" s="183">
        <v>0</v>
      </c>
      <c r="K35" s="183">
        <v>0</v>
      </c>
      <c r="L35" s="184">
        <f t="shared" ref="L35" si="198">SUM(H35:K35)</f>
        <v>0</v>
      </c>
      <c r="M35" s="182">
        <f>'Horizon 1 breakout'!J28</f>
        <v>25146588.87723</v>
      </c>
      <c r="N35" s="183">
        <v>1829002</v>
      </c>
      <c r="O35" s="183">
        <v>118794</v>
      </c>
      <c r="P35" s="183">
        <v>283665</v>
      </c>
      <c r="Q35" s="184">
        <f t="shared" ref="Q35" si="199">SUM(M35:P35)</f>
        <v>27378049.87723</v>
      </c>
      <c r="R35" s="182">
        <f t="shared" si="177"/>
        <v>25146588.87723</v>
      </c>
      <c r="S35" s="183">
        <f t="shared" si="3"/>
        <v>1829002</v>
      </c>
      <c r="T35" s="183">
        <v>118927</v>
      </c>
      <c r="U35" s="183">
        <v>283981</v>
      </c>
      <c r="V35" s="186">
        <f>(R35/SUM($R$34:$R$36))*598000</f>
        <v>250047.12259041809</v>
      </c>
      <c r="W35" s="184">
        <f t="shared" ref="W35" si="200">SUM(R35:V35)</f>
        <v>27628545.999820419</v>
      </c>
      <c r="X35" s="19"/>
      <c r="Y35" s="21"/>
      <c r="AA35" s="14"/>
      <c r="AB35" s="14">
        <v>1</v>
      </c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45">
        <f t="shared" si="51"/>
        <v>1</v>
      </c>
      <c r="AX35" s="38">
        <f t="shared" si="135"/>
        <v>0</v>
      </c>
      <c r="AY35" s="38">
        <f t="shared" si="136"/>
        <v>27628545.999820419</v>
      </c>
      <c r="AZ35" s="38">
        <f t="shared" si="137"/>
        <v>0</v>
      </c>
      <c r="BA35" s="38">
        <f t="shared" si="138"/>
        <v>0</v>
      </c>
      <c r="BB35" s="38">
        <f t="shared" si="139"/>
        <v>0</v>
      </c>
      <c r="BC35" s="38">
        <f t="shared" si="140"/>
        <v>0</v>
      </c>
      <c r="BD35" s="38">
        <f t="shared" si="141"/>
        <v>0</v>
      </c>
      <c r="BE35" s="38">
        <f t="shared" si="142"/>
        <v>0</v>
      </c>
      <c r="BF35" s="38">
        <f t="shared" si="143"/>
        <v>0</v>
      </c>
      <c r="BG35" s="38">
        <f t="shared" si="144"/>
        <v>0</v>
      </c>
      <c r="BH35" s="38">
        <f t="shared" si="145"/>
        <v>0</v>
      </c>
      <c r="BI35" s="38">
        <f t="shared" si="146"/>
        <v>0</v>
      </c>
      <c r="BJ35" s="38">
        <f t="shared" si="147"/>
        <v>0</v>
      </c>
      <c r="BK35" s="38">
        <f t="shared" si="148"/>
        <v>0</v>
      </c>
      <c r="BL35" s="38">
        <f t="shared" si="149"/>
        <v>0</v>
      </c>
      <c r="BM35" s="38">
        <f t="shared" si="150"/>
        <v>0</v>
      </c>
      <c r="BN35" s="38">
        <f t="shared" si="151"/>
        <v>0</v>
      </c>
      <c r="BO35" s="38">
        <f t="shared" si="152"/>
        <v>0</v>
      </c>
      <c r="BP35" s="38">
        <f t="shared" si="153"/>
        <v>0</v>
      </c>
      <c r="BQ35" s="38">
        <f t="shared" si="154"/>
        <v>0</v>
      </c>
      <c r="BR35" s="38">
        <f t="shared" si="155"/>
        <v>0</v>
      </c>
      <c r="BS35" s="39">
        <f t="shared" si="52"/>
        <v>27628545.999820419</v>
      </c>
      <c r="BT35" s="48">
        <f t="shared" si="28"/>
        <v>0</v>
      </c>
      <c r="BU35" s="193">
        <f>'[1]Primary and Summary'!$D$105</f>
        <v>0.11529999999999996</v>
      </c>
      <c r="BV35" s="193">
        <f>'[1]Primary and Summary'!$D$105</f>
        <v>0.11529999999999996</v>
      </c>
      <c r="BW35" s="193">
        <f>'[1]Primary and Summary'!$D$111</f>
        <v>0.10809999999999997</v>
      </c>
      <c r="BX35" s="193">
        <f>'[1]Primary and Summary'!$D$111</f>
        <v>0.10809999999999997</v>
      </c>
      <c r="BY35" s="193">
        <f>'[1]Primary and Summary'!$D$111</f>
        <v>0.10809999999999997</v>
      </c>
      <c r="BZ35" s="193">
        <f>'[1]Primary and Summary'!$D$111</f>
        <v>0.10809999999999997</v>
      </c>
      <c r="CA35" s="193">
        <f>'[1]Primary and Summary'!$D$111</f>
        <v>0.10809999999999997</v>
      </c>
      <c r="CB35" s="193">
        <f>'[1]Primary and Summary'!$D$111</f>
        <v>0.10809999999999997</v>
      </c>
      <c r="CC35" s="193">
        <f>'[1]Primary and Summary'!$D$111</f>
        <v>0.10809999999999997</v>
      </c>
      <c r="CD35" s="193">
        <f>'[1]Primary and Summary'!$D$111</f>
        <v>0.10809999999999997</v>
      </c>
      <c r="CE35" s="193">
        <f>'[1]Primary and Summary'!$D$111</f>
        <v>0.10809999999999997</v>
      </c>
      <c r="CF35" s="193">
        <f>'[1]Primary and Summary'!$D$111</f>
        <v>0.10809999999999997</v>
      </c>
      <c r="CG35" s="193">
        <f>'[1]Primary and Summary'!$D$120</f>
        <v>1</v>
      </c>
      <c r="CH35" s="193">
        <f>'[1]Primary and Summary'!$D$120</f>
        <v>1</v>
      </c>
      <c r="CI35" s="193">
        <f>'[1]Primary and Summary'!$D$120</f>
        <v>1</v>
      </c>
      <c r="CJ35" s="193">
        <f>'[1]Primary and Summary'!$D$120</f>
        <v>1</v>
      </c>
      <c r="CK35" s="193">
        <f>'[1]Primary and Summary'!$D$120</f>
        <v>1</v>
      </c>
      <c r="CL35" s="193">
        <f>'[1]Primary and Summary'!$D$120</f>
        <v>1</v>
      </c>
      <c r="CM35" s="193">
        <f>'[1]Primary and Summary'!$D$105</f>
        <v>0.11529999999999996</v>
      </c>
      <c r="CN35" s="193">
        <f>'[1]Primary and Summary'!$D$105</f>
        <v>0.11529999999999996</v>
      </c>
      <c r="CO35" s="193">
        <v>1</v>
      </c>
      <c r="CP35" s="39"/>
      <c r="CR35" s="38">
        <f t="shared" si="156"/>
        <v>0</v>
      </c>
      <c r="CS35" s="38">
        <f t="shared" si="157"/>
        <v>3185571.3537792931</v>
      </c>
      <c r="CT35" s="38">
        <f t="shared" si="158"/>
        <v>0</v>
      </c>
      <c r="CU35" s="38">
        <f t="shared" si="159"/>
        <v>0</v>
      </c>
      <c r="CV35" s="38">
        <f t="shared" si="160"/>
        <v>0</v>
      </c>
      <c r="CW35" s="38">
        <f t="shared" si="161"/>
        <v>0</v>
      </c>
      <c r="CX35" s="38">
        <f t="shared" si="162"/>
        <v>0</v>
      </c>
      <c r="CY35" s="38">
        <f t="shared" si="163"/>
        <v>0</v>
      </c>
      <c r="CZ35" s="38">
        <f t="shared" si="164"/>
        <v>0</v>
      </c>
      <c r="DA35" s="38">
        <f t="shared" si="165"/>
        <v>0</v>
      </c>
      <c r="DB35" s="38">
        <f t="shared" si="166"/>
        <v>0</v>
      </c>
      <c r="DC35" s="38">
        <f t="shared" si="167"/>
        <v>0</v>
      </c>
      <c r="DD35" s="38">
        <f t="shared" si="168"/>
        <v>0</v>
      </c>
      <c r="DE35" s="38">
        <f t="shared" si="169"/>
        <v>0</v>
      </c>
      <c r="DF35" s="38">
        <f t="shared" si="170"/>
        <v>0</v>
      </c>
      <c r="DG35" s="38">
        <f t="shared" si="171"/>
        <v>0</v>
      </c>
      <c r="DH35" s="38">
        <f t="shared" si="172"/>
        <v>0</v>
      </c>
      <c r="DI35" s="38">
        <f t="shared" si="173"/>
        <v>0</v>
      </c>
      <c r="DJ35" s="38">
        <f t="shared" si="174"/>
        <v>0</v>
      </c>
      <c r="DK35" s="38">
        <f t="shared" si="175"/>
        <v>0</v>
      </c>
      <c r="DL35" s="38">
        <f t="shared" si="176"/>
        <v>0</v>
      </c>
      <c r="DM35" s="83">
        <f t="shared" si="53"/>
        <v>3185571.3537792931</v>
      </c>
      <c r="DO35" s="195">
        <v>6.7799999999999999E-2</v>
      </c>
      <c r="DP35" s="194">
        <v>0.1</v>
      </c>
      <c r="DQ35" s="195">
        <v>1.4999999999999999E-2</v>
      </c>
      <c r="DR35" s="195">
        <v>1.4999999999999999E-2</v>
      </c>
      <c r="DS35" s="195">
        <v>2.06E-2</v>
      </c>
      <c r="DT35" s="195">
        <v>1.78E-2</v>
      </c>
      <c r="DU35" s="195">
        <v>2.2700000000000001E-2</v>
      </c>
      <c r="DV35" s="195">
        <v>2.1700000000000001E-2</v>
      </c>
      <c r="DW35" s="195">
        <v>4.3299999999999998E-2</v>
      </c>
      <c r="DX35" s="195">
        <v>1.3100000000000001E-2</v>
      </c>
      <c r="DY35" s="195">
        <v>4.7000000000000002E-3</v>
      </c>
      <c r="DZ35" s="195">
        <v>3.09E-2</v>
      </c>
      <c r="EA35" s="195">
        <v>1.8800000000000001E-2</v>
      </c>
      <c r="EB35" s="195">
        <v>1.4999999999999999E-2</v>
      </c>
      <c r="EC35" s="195">
        <v>2.5399999999999999E-2</v>
      </c>
      <c r="ED35" s="195">
        <v>2.3199999999999998E-2</v>
      </c>
      <c r="EE35" s="195">
        <v>2.18E-2</v>
      </c>
      <c r="EF35" s="195">
        <v>2.2700000000000001E-2</v>
      </c>
      <c r="EG35" s="195">
        <v>0.2</v>
      </c>
      <c r="EH35" s="195">
        <v>6.6699999999999995E-2</v>
      </c>
      <c r="EI35" s="195">
        <v>3.0200000000000001E-2</v>
      </c>
      <c r="EL35" s="107">
        <f t="shared" si="31"/>
        <v>0</v>
      </c>
      <c r="EM35" s="107">
        <f t="shared" si="32"/>
        <v>318557.13537792931</v>
      </c>
      <c r="EN35" s="107">
        <f t="shared" si="33"/>
        <v>0</v>
      </c>
      <c r="EO35" s="107">
        <f t="shared" si="34"/>
        <v>0</v>
      </c>
      <c r="EP35" s="107">
        <f t="shared" si="35"/>
        <v>0</v>
      </c>
      <c r="EQ35" s="107">
        <f t="shared" si="54"/>
        <v>0</v>
      </c>
      <c r="ER35" s="107">
        <f t="shared" si="36"/>
        <v>0</v>
      </c>
      <c r="ES35" s="107">
        <f t="shared" si="37"/>
        <v>0</v>
      </c>
      <c r="ET35" s="107">
        <f t="shared" si="38"/>
        <v>0</v>
      </c>
      <c r="EU35" s="107">
        <f t="shared" si="39"/>
        <v>0</v>
      </c>
      <c r="EV35" s="107">
        <f t="shared" si="40"/>
        <v>0</v>
      </c>
      <c r="EW35" s="107">
        <f t="shared" si="41"/>
        <v>0</v>
      </c>
      <c r="EX35" s="107">
        <f t="shared" si="42"/>
        <v>0</v>
      </c>
      <c r="EY35" s="107">
        <f t="shared" si="43"/>
        <v>0</v>
      </c>
      <c r="EZ35" s="107">
        <f t="shared" si="44"/>
        <v>0</v>
      </c>
      <c r="FA35" s="107">
        <f t="shared" si="45"/>
        <v>0</v>
      </c>
      <c r="FB35" s="107">
        <f t="shared" si="46"/>
        <v>0</v>
      </c>
      <c r="FC35" s="107">
        <f t="shared" si="47"/>
        <v>0</v>
      </c>
      <c r="FD35" s="107">
        <f t="shared" si="48"/>
        <v>0</v>
      </c>
      <c r="FE35" s="107">
        <f t="shared" si="49"/>
        <v>0</v>
      </c>
      <c r="FF35" s="107">
        <f t="shared" si="50"/>
        <v>0</v>
      </c>
      <c r="FG35" s="107">
        <f t="shared" si="55"/>
        <v>318557.13537792931</v>
      </c>
      <c r="FH35" s="107"/>
      <c r="FI35" s="213">
        <v>1.5</v>
      </c>
      <c r="FJ35" s="219">
        <f t="shared" si="56"/>
        <v>39819.641922241164</v>
      </c>
      <c r="FK35" s="214">
        <f t="shared" si="57"/>
        <v>3145751.7118570521</v>
      </c>
    </row>
    <row r="36" spans="1:176" s="61" customFormat="1" x14ac:dyDescent="0.35">
      <c r="A36" s="62"/>
      <c r="B36" s="2" t="s">
        <v>329</v>
      </c>
      <c r="C36" s="61">
        <v>38</v>
      </c>
      <c r="D36" s="63">
        <v>0.12</v>
      </c>
      <c r="E36" s="31" t="s">
        <v>131</v>
      </c>
      <c r="F36" s="162" t="s">
        <v>326</v>
      </c>
      <c r="G36" s="181">
        <v>44805</v>
      </c>
      <c r="H36" s="182">
        <v>0</v>
      </c>
      <c r="I36" s="183">
        <v>0</v>
      </c>
      <c r="J36" s="183">
        <v>0</v>
      </c>
      <c r="K36" s="183">
        <v>0</v>
      </c>
      <c r="L36" s="184">
        <f t="shared" ref="L36" si="201">SUM(H36:K36)</f>
        <v>0</v>
      </c>
      <c r="M36" s="182">
        <f>'Horizon 1 breakout'!L28</f>
        <v>510500</v>
      </c>
      <c r="N36" s="183">
        <f>2546405-N34</f>
        <v>37148.866955536883</v>
      </c>
      <c r="O36" s="183">
        <f>165457-O34</f>
        <v>2413.8108744925703</v>
      </c>
      <c r="P36" s="183">
        <f>395087-P34</f>
        <v>5763.8256282336079</v>
      </c>
      <c r="Q36" s="184">
        <f t="shared" ref="Q36" si="202">SUM(M36:P36)</f>
        <v>555826.50345826312</v>
      </c>
      <c r="R36" s="182">
        <f t="shared" si="177"/>
        <v>510500</v>
      </c>
      <c r="S36" s="183">
        <f t="shared" ref="S36" si="203">IFERROR(I36+N36,"")</f>
        <v>37148.866955536883</v>
      </c>
      <c r="T36" s="183">
        <f t="shared" ref="T36" si="204">IFERROR(J36+O36,"")</f>
        <v>2413.8108744925703</v>
      </c>
      <c r="U36" s="183">
        <f t="shared" ref="U36" si="205">IFERROR(K36+P36,"")</f>
        <v>5763.8256282336079</v>
      </c>
      <c r="V36" s="186">
        <f>(R36/SUM($R$34:$R$36))*598000</f>
        <v>5076.1976785644056</v>
      </c>
      <c r="W36" s="184">
        <f t="shared" ref="W36" si="206">SUM(R36:V36)</f>
        <v>560902.70113682747</v>
      </c>
      <c r="X36" s="19"/>
      <c r="Y36" s="21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>
        <v>1</v>
      </c>
      <c r="AT36" s="14"/>
      <c r="AU36" s="14"/>
      <c r="AV36" s="45">
        <f t="shared" si="51"/>
        <v>1</v>
      </c>
      <c r="AX36" s="38">
        <f t="shared" ref="AX36" si="207">AA36*$W36</f>
        <v>0</v>
      </c>
      <c r="AY36" s="38">
        <f t="shared" si="136"/>
        <v>0</v>
      </c>
      <c r="AZ36" s="38">
        <f t="shared" si="137"/>
        <v>0</v>
      </c>
      <c r="BA36" s="38">
        <f t="shared" si="138"/>
        <v>0</v>
      </c>
      <c r="BB36" s="38">
        <f t="shared" si="139"/>
        <v>0</v>
      </c>
      <c r="BC36" s="38">
        <f t="shared" si="140"/>
        <v>0</v>
      </c>
      <c r="BD36" s="38">
        <f t="shared" si="141"/>
        <v>0</v>
      </c>
      <c r="BE36" s="38">
        <f t="shared" si="142"/>
        <v>0</v>
      </c>
      <c r="BF36" s="38">
        <f t="shared" si="143"/>
        <v>0</v>
      </c>
      <c r="BG36" s="38">
        <f t="shared" si="144"/>
        <v>0</v>
      </c>
      <c r="BH36" s="38">
        <f t="shared" si="145"/>
        <v>0</v>
      </c>
      <c r="BI36" s="38">
        <f t="shared" si="146"/>
        <v>0</v>
      </c>
      <c r="BJ36" s="38">
        <f t="shared" si="147"/>
        <v>0</v>
      </c>
      <c r="BK36" s="38">
        <f t="shared" si="148"/>
        <v>0</v>
      </c>
      <c r="BL36" s="38">
        <f t="shared" si="149"/>
        <v>0</v>
      </c>
      <c r="BM36" s="38">
        <f t="shared" si="150"/>
        <v>0</v>
      </c>
      <c r="BN36" s="38">
        <f t="shared" si="151"/>
        <v>0</v>
      </c>
      <c r="BO36" s="38">
        <f t="shared" si="152"/>
        <v>0</v>
      </c>
      <c r="BP36" s="38">
        <f t="shared" si="153"/>
        <v>560902.70113682747</v>
      </c>
      <c r="BQ36" s="38">
        <f t="shared" si="154"/>
        <v>0</v>
      </c>
      <c r="BR36" s="38">
        <f t="shared" si="155"/>
        <v>0</v>
      </c>
      <c r="BS36" s="39">
        <f t="shared" si="52"/>
        <v>560902.70113682747</v>
      </c>
      <c r="BT36" s="48">
        <f t="shared" ref="BT36" si="208">BS36-W36</f>
        <v>0</v>
      </c>
      <c r="BU36" s="193">
        <f>'[1]Primary and Summary'!$D$105</f>
        <v>0.11529999999999996</v>
      </c>
      <c r="BV36" s="193">
        <f>'[1]Primary and Summary'!$D$105</f>
        <v>0.11529999999999996</v>
      </c>
      <c r="BW36" s="193">
        <f>'[1]Primary and Summary'!$D$111</f>
        <v>0.10809999999999997</v>
      </c>
      <c r="BX36" s="193">
        <f>'[1]Primary and Summary'!$D$111</f>
        <v>0.10809999999999997</v>
      </c>
      <c r="BY36" s="193">
        <f>'[1]Primary and Summary'!$D$111</f>
        <v>0.10809999999999997</v>
      </c>
      <c r="BZ36" s="193">
        <f>'[1]Primary and Summary'!$D$111</f>
        <v>0.10809999999999997</v>
      </c>
      <c r="CA36" s="193">
        <f>'[1]Primary and Summary'!$D$111</f>
        <v>0.10809999999999997</v>
      </c>
      <c r="CB36" s="193">
        <f>'[1]Primary and Summary'!$D$111</f>
        <v>0.10809999999999997</v>
      </c>
      <c r="CC36" s="193">
        <f>'[1]Primary and Summary'!$D$111</f>
        <v>0.10809999999999997</v>
      </c>
      <c r="CD36" s="193">
        <f>'[1]Primary and Summary'!$D$111</f>
        <v>0.10809999999999997</v>
      </c>
      <c r="CE36" s="193">
        <f>'[1]Primary and Summary'!$D$111</f>
        <v>0.10809999999999997</v>
      </c>
      <c r="CF36" s="193">
        <f>'[1]Primary and Summary'!$D$111</f>
        <v>0.10809999999999997</v>
      </c>
      <c r="CG36" s="193">
        <f>'[1]Primary and Summary'!$D$120</f>
        <v>1</v>
      </c>
      <c r="CH36" s="193">
        <f>'[1]Primary and Summary'!$D$120</f>
        <v>1</v>
      </c>
      <c r="CI36" s="193">
        <f>'[1]Primary and Summary'!$D$120</f>
        <v>1</v>
      </c>
      <c r="CJ36" s="193">
        <f>'[1]Primary and Summary'!$D$120</f>
        <v>1</v>
      </c>
      <c r="CK36" s="193">
        <f>'[1]Primary and Summary'!$D$120</f>
        <v>1</v>
      </c>
      <c r="CL36" s="193">
        <f>'[1]Primary and Summary'!$D$120</f>
        <v>1</v>
      </c>
      <c r="CM36" s="193">
        <f>'[1]Primary and Summary'!$D$105</f>
        <v>0.11529999999999996</v>
      </c>
      <c r="CN36" s="193">
        <f>'[1]Primary and Summary'!$D$105</f>
        <v>0.11529999999999996</v>
      </c>
      <c r="CO36" s="193">
        <v>1</v>
      </c>
      <c r="CP36" s="39"/>
      <c r="CR36" s="38">
        <f t="shared" ref="CR36" si="209">BU36*AX36</f>
        <v>0</v>
      </c>
      <c r="CS36" s="38">
        <f t="shared" si="157"/>
        <v>0</v>
      </c>
      <c r="CT36" s="38">
        <f t="shared" si="158"/>
        <v>0</v>
      </c>
      <c r="CU36" s="38">
        <f t="shared" si="159"/>
        <v>0</v>
      </c>
      <c r="CV36" s="38">
        <f t="shared" si="160"/>
        <v>0</v>
      </c>
      <c r="CW36" s="38">
        <f t="shared" si="161"/>
        <v>0</v>
      </c>
      <c r="CX36" s="38">
        <f t="shared" si="162"/>
        <v>0</v>
      </c>
      <c r="CY36" s="38">
        <f t="shared" si="163"/>
        <v>0</v>
      </c>
      <c r="CZ36" s="38">
        <f t="shared" si="164"/>
        <v>0</v>
      </c>
      <c r="DA36" s="38">
        <f t="shared" si="165"/>
        <v>0</v>
      </c>
      <c r="DB36" s="38">
        <f t="shared" si="166"/>
        <v>0</v>
      </c>
      <c r="DC36" s="38">
        <f t="shared" si="167"/>
        <v>0</v>
      </c>
      <c r="DD36" s="38">
        <f t="shared" si="168"/>
        <v>0</v>
      </c>
      <c r="DE36" s="38">
        <f t="shared" si="169"/>
        <v>0</v>
      </c>
      <c r="DF36" s="38">
        <f t="shared" si="170"/>
        <v>0</v>
      </c>
      <c r="DG36" s="38">
        <f t="shared" si="171"/>
        <v>0</v>
      </c>
      <c r="DH36" s="38">
        <f t="shared" si="172"/>
        <v>0</v>
      </c>
      <c r="DI36" s="38">
        <f t="shared" si="173"/>
        <v>0</v>
      </c>
      <c r="DJ36" s="38">
        <f t="shared" si="174"/>
        <v>64672.081441076181</v>
      </c>
      <c r="DK36" s="38">
        <f t="shared" si="175"/>
        <v>0</v>
      </c>
      <c r="DL36" s="38">
        <f t="shared" si="176"/>
        <v>0</v>
      </c>
      <c r="DM36" s="83">
        <f t="shared" si="53"/>
        <v>64672.081441076181</v>
      </c>
      <c r="DO36" s="195">
        <v>6.7799999999999999E-2</v>
      </c>
      <c r="DP36" s="194">
        <v>0.1</v>
      </c>
      <c r="DQ36" s="195">
        <v>1.4999999999999999E-2</v>
      </c>
      <c r="DR36" s="195">
        <v>1.4999999999999999E-2</v>
      </c>
      <c r="DS36" s="195">
        <v>2.06E-2</v>
      </c>
      <c r="DT36" s="195">
        <v>1.78E-2</v>
      </c>
      <c r="DU36" s="195">
        <v>2.2700000000000001E-2</v>
      </c>
      <c r="DV36" s="195">
        <v>2.1700000000000001E-2</v>
      </c>
      <c r="DW36" s="195">
        <v>4.3299999999999998E-2</v>
      </c>
      <c r="DX36" s="195">
        <v>1.3100000000000001E-2</v>
      </c>
      <c r="DY36" s="195">
        <v>4.7000000000000002E-3</v>
      </c>
      <c r="DZ36" s="195">
        <v>3.09E-2</v>
      </c>
      <c r="EA36" s="195">
        <v>1.8800000000000001E-2</v>
      </c>
      <c r="EB36" s="195">
        <v>1.4999999999999999E-2</v>
      </c>
      <c r="EC36" s="195">
        <v>2.5399999999999999E-2</v>
      </c>
      <c r="ED36" s="195">
        <v>2.3199999999999998E-2</v>
      </c>
      <c r="EE36" s="195">
        <v>2.18E-2</v>
      </c>
      <c r="EF36" s="195">
        <v>2.2700000000000001E-2</v>
      </c>
      <c r="EG36" s="195">
        <v>0.2</v>
      </c>
      <c r="EH36" s="195">
        <v>6.6699999999999995E-2</v>
      </c>
      <c r="EI36" s="195">
        <v>3.0200000000000001E-2</v>
      </c>
      <c r="EL36" s="107">
        <f t="shared" si="31"/>
        <v>0</v>
      </c>
      <c r="EM36" s="107">
        <f t="shared" si="32"/>
        <v>0</v>
      </c>
      <c r="EN36" s="107">
        <f t="shared" si="33"/>
        <v>0</v>
      </c>
      <c r="EO36" s="107">
        <f t="shared" si="34"/>
        <v>0</v>
      </c>
      <c r="EP36" s="107">
        <f t="shared" si="35"/>
        <v>0</v>
      </c>
      <c r="EQ36" s="107">
        <f t="shared" si="54"/>
        <v>0</v>
      </c>
      <c r="ER36" s="107">
        <f t="shared" si="36"/>
        <v>0</v>
      </c>
      <c r="ES36" s="107">
        <f t="shared" si="37"/>
        <v>0</v>
      </c>
      <c r="ET36" s="107">
        <f t="shared" si="38"/>
        <v>0</v>
      </c>
      <c r="EU36" s="107">
        <f t="shared" si="39"/>
        <v>0</v>
      </c>
      <c r="EV36" s="107">
        <f t="shared" si="40"/>
        <v>0</v>
      </c>
      <c r="EW36" s="107">
        <f t="shared" si="41"/>
        <v>0</v>
      </c>
      <c r="EX36" s="107">
        <f t="shared" si="42"/>
        <v>0</v>
      </c>
      <c r="EY36" s="107">
        <f t="shared" si="43"/>
        <v>0</v>
      </c>
      <c r="EZ36" s="107">
        <f t="shared" si="44"/>
        <v>0</v>
      </c>
      <c r="FA36" s="107">
        <f t="shared" si="45"/>
        <v>0</v>
      </c>
      <c r="FB36" s="107">
        <f t="shared" si="46"/>
        <v>0</v>
      </c>
      <c r="FC36" s="107">
        <f t="shared" si="47"/>
        <v>0</v>
      </c>
      <c r="FD36" s="107">
        <f t="shared" si="48"/>
        <v>12934.416288215238</v>
      </c>
      <c r="FE36" s="107">
        <f t="shared" si="49"/>
        <v>0</v>
      </c>
      <c r="FF36" s="107">
        <f t="shared" si="50"/>
        <v>0</v>
      </c>
      <c r="FG36" s="107">
        <f t="shared" si="55"/>
        <v>12934.416288215238</v>
      </c>
      <c r="FH36" s="107"/>
      <c r="FI36" s="213">
        <v>1.5</v>
      </c>
      <c r="FJ36" s="219">
        <f t="shared" si="56"/>
        <v>1616.8020360269047</v>
      </c>
      <c r="FK36" s="214">
        <f t="shared" si="57"/>
        <v>63055.279405049274</v>
      </c>
    </row>
    <row r="37" spans="1:176" x14ac:dyDescent="0.35">
      <c r="B37" s="2" t="s">
        <v>330</v>
      </c>
      <c r="C37">
        <v>38</v>
      </c>
      <c r="D37" s="8">
        <v>0.12</v>
      </c>
      <c r="E37" s="31">
        <v>201748</v>
      </c>
      <c r="F37" s="162" t="s">
        <v>139</v>
      </c>
      <c r="G37" s="181">
        <v>44105</v>
      </c>
      <c r="H37" s="182">
        <v>9884418.1151999999</v>
      </c>
      <c r="I37" s="183">
        <v>996731.60639999993</v>
      </c>
      <c r="J37" s="183">
        <v>558122.6496</v>
      </c>
      <c r="K37" s="183">
        <f>IFERROR(VLOOKUP($E37,'Actuals (BI Report)'!$A$2:$H$35,6,FALSE),"")</f>
        <v>0</v>
      </c>
      <c r="L37" s="184">
        <f t="shared" si="134"/>
        <v>11439272.371199999</v>
      </c>
      <c r="M37" s="182">
        <v>319624</v>
      </c>
      <c r="N37" s="183">
        <v>-15955</v>
      </c>
      <c r="O37" s="183">
        <v>14596</v>
      </c>
      <c r="P37" s="183">
        <v>28015</v>
      </c>
      <c r="Q37" s="184">
        <f t="shared" si="1"/>
        <v>346280</v>
      </c>
      <c r="R37" s="182">
        <f t="shared" si="2"/>
        <v>10204042.1152</v>
      </c>
      <c r="S37" s="183">
        <f t="shared" si="3"/>
        <v>980776.60639999993</v>
      </c>
      <c r="T37" s="183">
        <f t="shared" si="4"/>
        <v>572718.6496</v>
      </c>
      <c r="U37" s="183">
        <f t="shared" si="5"/>
        <v>28015</v>
      </c>
      <c r="V37" s="185"/>
      <c r="W37" s="184">
        <f t="shared" ref="W37:W39" si="210">SUM(R37:V37)</f>
        <v>11785552.371199999</v>
      </c>
      <c r="X37" s="22">
        <v>44105</v>
      </c>
      <c r="Y37" s="21"/>
      <c r="Z37" s="41"/>
      <c r="AA37" s="14">
        <v>0.06</v>
      </c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>
        <v>0.94</v>
      </c>
      <c r="AT37" s="14"/>
      <c r="AU37" s="14"/>
      <c r="AV37" s="45">
        <f t="shared" si="51"/>
        <v>1</v>
      </c>
      <c r="AW37" s="41"/>
      <c r="AX37" s="38">
        <f t="shared" ref="AX37:AX39" si="211">AA37*$W37</f>
        <v>707133.14227199997</v>
      </c>
      <c r="AY37" s="38">
        <f t="shared" si="136"/>
        <v>0</v>
      </c>
      <c r="AZ37" s="38">
        <f t="shared" si="137"/>
        <v>0</v>
      </c>
      <c r="BA37" s="38">
        <f t="shared" si="138"/>
        <v>0</v>
      </c>
      <c r="BB37" s="38">
        <f t="shared" si="139"/>
        <v>0</v>
      </c>
      <c r="BC37" s="38">
        <f t="shared" si="140"/>
        <v>0</v>
      </c>
      <c r="BD37" s="38">
        <f t="shared" si="141"/>
        <v>0</v>
      </c>
      <c r="BE37" s="38">
        <f t="shared" si="142"/>
        <v>0</v>
      </c>
      <c r="BF37" s="38">
        <f t="shared" si="143"/>
        <v>0</v>
      </c>
      <c r="BG37" s="38">
        <f t="shared" si="144"/>
        <v>0</v>
      </c>
      <c r="BH37" s="38">
        <f t="shared" si="145"/>
        <v>0</v>
      </c>
      <c r="BI37" s="38">
        <f t="shared" si="146"/>
        <v>0</v>
      </c>
      <c r="BJ37" s="38">
        <f t="shared" si="147"/>
        <v>0</v>
      </c>
      <c r="BK37" s="38">
        <f t="shared" si="148"/>
        <v>0</v>
      </c>
      <c r="BL37" s="38">
        <f t="shared" si="149"/>
        <v>0</v>
      </c>
      <c r="BM37" s="38">
        <f t="shared" si="150"/>
        <v>0</v>
      </c>
      <c r="BN37" s="38">
        <f t="shared" si="151"/>
        <v>0</v>
      </c>
      <c r="BO37" s="38">
        <f t="shared" si="152"/>
        <v>0</v>
      </c>
      <c r="BP37" s="38">
        <f t="shared" si="153"/>
        <v>11078419.228927998</v>
      </c>
      <c r="BQ37" s="38">
        <f t="shared" si="154"/>
        <v>0</v>
      </c>
      <c r="BR37" s="38">
        <f t="shared" si="155"/>
        <v>0</v>
      </c>
      <c r="BS37" s="39">
        <f t="shared" si="52"/>
        <v>11785552.371199997</v>
      </c>
      <c r="BT37" s="48">
        <f t="shared" si="28"/>
        <v>0</v>
      </c>
      <c r="BU37" s="193">
        <f>'[1]Primary and Summary'!$D$105</f>
        <v>0.11529999999999996</v>
      </c>
      <c r="BV37" s="193">
        <f>'[1]Primary and Summary'!$D$105</f>
        <v>0.11529999999999996</v>
      </c>
      <c r="BW37" s="193">
        <f>'[1]Primary and Summary'!$D$111</f>
        <v>0.10809999999999997</v>
      </c>
      <c r="BX37" s="193">
        <f>'[1]Primary and Summary'!$D$111</f>
        <v>0.10809999999999997</v>
      </c>
      <c r="BY37" s="193">
        <f>'[1]Primary and Summary'!$D$111</f>
        <v>0.10809999999999997</v>
      </c>
      <c r="BZ37" s="193">
        <f>'[1]Primary and Summary'!$D$111</f>
        <v>0.10809999999999997</v>
      </c>
      <c r="CA37" s="193">
        <f>'[1]Primary and Summary'!$D$111</f>
        <v>0.10809999999999997</v>
      </c>
      <c r="CB37" s="193">
        <f>'[1]Primary and Summary'!$D$111</f>
        <v>0.10809999999999997</v>
      </c>
      <c r="CC37" s="193">
        <f>'[1]Primary and Summary'!$D$111</f>
        <v>0.10809999999999997</v>
      </c>
      <c r="CD37" s="193">
        <f>'[1]Primary and Summary'!$D$111</f>
        <v>0.10809999999999997</v>
      </c>
      <c r="CE37" s="193">
        <f>'[1]Primary and Summary'!$D$111</f>
        <v>0.10809999999999997</v>
      </c>
      <c r="CF37" s="193">
        <f>'[1]Primary and Summary'!$D$111</f>
        <v>0.10809999999999997</v>
      </c>
      <c r="CG37" s="193">
        <f>'[1]Primary and Summary'!$D$120</f>
        <v>1</v>
      </c>
      <c r="CH37" s="193">
        <f>'[1]Primary and Summary'!$D$120</f>
        <v>1</v>
      </c>
      <c r="CI37" s="193">
        <f>'[1]Primary and Summary'!$D$120</f>
        <v>1</v>
      </c>
      <c r="CJ37" s="193">
        <f>'[1]Primary and Summary'!$D$120</f>
        <v>1</v>
      </c>
      <c r="CK37" s="193">
        <f>'[1]Primary and Summary'!$D$120</f>
        <v>1</v>
      </c>
      <c r="CL37" s="193">
        <f>'[1]Primary and Summary'!$D$120</f>
        <v>1</v>
      </c>
      <c r="CM37" s="193">
        <f>'[1]Primary and Summary'!$D$105</f>
        <v>0.11529999999999996</v>
      </c>
      <c r="CN37" s="193">
        <f>'[1]Primary and Summary'!$D$105</f>
        <v>0.11529999999999996</v>
      </c>
      <c r="CO37" s="193">
        <v>1</v>
      </c>
      <c r="CP37" s="39"/>
      <c r="CQ37" s="41"/>
      <c r="CR37" s="38">
        <f t="shared" ref="CR37" si="212">BU37*AX37</f>
        <v>81532.45130396157</v>
      </c>
      <c r="CS37" s="38">
        <f t="shared" si="157"/>
        <v>0</v>
      </c>
      <c r="CT37" s="38">
        <f t="shared" si="158"/>
        <v>0</v>
      </c>
      <c r="CU37" s="38">
        <f t="shared" si="159"/>
        <v>0</v>
      </c>
      <c r="CV37" s="38">
        <f t="shared" si="160"/>
        <v>0</v>
      </c>
      <c r="CW37" s="38">
        <f t="shared" si="161"/>
        <v>0</v>
      </c>
      <c r="CX37" s="38">
        <f t="shared" si="162"/>
        <v>0</v>
      </c>
      <c r="CY37" s="38">
        <f t="shared" si="163"/>
        <v>0</v>
      </c>
      <c r="CZ37" s="38">
        <f t="shared" si="164"/>
        <v>0</v>
      </c>
      <c r="DA37" s="38">
        <f t="shared" si="165"/>
        <v>0</v>
      </c>
      <c r="DB37" s="38">
        <f t="shared" si="166"/>
        <v>0</v>
      </c>
      <c r="DC37" s="38">
        <f t="shared" si="167"/>
        <v>0</v>
      </c>
      <c r="DD37" s="38">
        <f t="shared" si="168"/>
        <v>0</v>
      </c>
      <c r="DE37" s="38">
        <f t="shared" si="169"/>
        <v>0</v>
      </c>
      <c r="DF37" s="38">
        <f t="shared" si="170"/>
        <v>0</v>
      </c>
      <c r="DG37" s="38">
        <f t="shared" si="171"/>
        <v>0</v>
      </c>
      <c r="DH37" s="38">
        <f t="shared" si="172"/>
        <v>0</v>
      </c>
      <c r="DI37" s="38">
        <f t="shared" si="173"/>
        <v>0</v>
      </c>
      <c r="DJ37" s="38">
        <f t="shared" si="174"/>
        <v>1277341.7370953977</v>
      </c>
      <c r="DK37" s="38">
        <f t="shared" si="175"/>
        <v>0</v>
      </c>
      <c r="DL37" s="38">
        <f t="shared" si="176"/>
        <v>0</v>
      </c>
      <c r="DM37" s="83">
        <f t="shared" si="53"/>
        <v>1358874.1883993591</v>
      </c>
      <c r="DO37" s="195">
        <v>6.7799999999999999E-2</v>
      </c>
      <c r="DP37" s="194">
        <f t="shared" si="30"/>
        <v>0.1</v>
      </c>
      <c r="DQ37" s="195">
        <v>1.4999999999999999E-2</v>
      </c>
      <c r="DR37" s="195">
        <v>1.4999999999999999E-2</v>
      </c>
      <c r="DS37" s="195">
        <v>2.06E-2</v>
      </c>
      <c r="DT37" s="195">
        <v>1.78E-2</v>
      </c>
      <c r="DU37" s="195">
        <v>2.2700000000000001E-2</v>
      </c>
      <c r="DV37" s="195">
        <v>2.1700000000000001E-2</v>
      </c>
      <c r="DW37" s="195">
        <v>4.3299999999999998E-2</v>
      </c>
      <c r="DX37" s="195">
        <v>1.3100000000000001E-2</v>
      </c>
      <c r="DY37" s="195">
        <v>4.7000000000000002E-3</v>
      </c>
      <c r="DZ37" s="195">
        <v>3.09E-2</v>
      </c>
      <c r="EA37" s="195">
        <v>1.8800000000000001E-2</v>
      </c>
      <c r="EB37" s="195">
        <v>1.4999999999999999E-2</v>
      </c>
      <c r="EC37" s="195">
        <v>2.5399999999999999E-2</v>
      </c>
      <c r="ED37" s="195">
        <v>2.3199999999999998E-2</v>
      </c>
      <c r="EE37" s="195">
        <v>2.18E-2</v>
      </c>
      <c r="EF37" s="195">
        <v>2.2700000000000001E-2</v>
      </c>
      <c r="EG37" s="195">
        <v>0.2</v>
      </c>
      <c r="EH37" s="195">
        <v>6.6699999999999995E-2</v>
      </c>
      <c r="EI37" s="195">
        <v>3.0200000000000001E-2</v>
      </c>
      <c r="EL37" s="107">
        <f t="shared" si="31"/>
        <v>5527.9001984085944</v>
      </c>
      <c r="EM37" s="107">
        <f t="shared" si="32"/>
        <v>0</v>
      </c>
      <c r="EN37" s="107">
        <f t="shared" si="33"/>
        <v>0</v>
      </c>
      <c r="EO37" s="107">
        <f t="shared" si="34"/>
        <v>0</v>
      </c>
      <c r="EP37" s="107">
        <f t="shared" si="35"/>
        <v>0</v>
      </c>
      <c r="EQ37" s="107">
        <f t="shared" si="54"/>
        <v>0</v>
      </c>
      <c r="ER37" s="107">
        <f t="shared" si="36"/>
        <v>0</v>
      </c>
      <c r="ES37" s="107">
        <f t="shared" si="37"/>
        <v>0</v>
      </c>
      <c r="ET37" s="107">
        <f t="shared" si="38"/>
        <v>0</v>
      </c>
      <c r="EU37" s="107">
        <f t="shared" si="39"/>
        <v>0</v>
      </c>
      <c r="EV37" s="107">
        <f t="shared" si="40"/>
        <v>0</v>
      </c>
      <c r="EW37" s="107">
        <f t="shared" si="41"/>
        <v>0</v>
      </c>
      <c r="EX37" s="107">
        <f t="shared" si="42"/>
        <v>0</v>
      </c>
      <c r="EY37" s="107">
        <f t="shared" si="43"/>
        <v>0</v>
      </c>
      <c r="EZ37" s="107">
        <f t="shared" si="44"/>
        <v>0</v>
      </c>
      <c r="FA37" s="107">
        <f t="shared" si="45"/>
        <v>0</v>
      </c>
      <c r="FB37" s="107">
        <f t="shared" si="46"/>
        <v>0</v>
      </c>
      <c r="FC37" s="107">
        <f t="shared" si="47"/>
        <v>0</v>
      </c>
      <c r="FD37" s="107">
        <f t="shared" si="48"/>
        <v>255468.34741907954</v>
      </c>
      <c r="FE37" s="107">
        <f t="shared" si="49"/>
        <v>0</v>
      </c>
      <c r="FF37" s="107">
        <f t="shared" si="50"/>
        <v>0</v>
      </c>
      <c r="FG37" s="107">
        <f t="shared" si="55"/>
        <v>260996.24761748814</v>
      </c>
      <c r="FH37" s="107"/>
      <c r="FI37" s="213">
        <v>12.5</v>
      </c>
      <c r="FJ37" s="219">
        <f t="shared" si="56"/>
        <v>271871.09126821684</v>
      </c>
      <c r="FK37" s="214">
        <f t="shared" si="57"/>
        <v>1087003.0971311424</v>
      </c>
    </row>
    <row r="38" spans="1:176" s="61" customFormat="1" x14ac:dyDescent="0.35">
      <c r="A38" s="190" t="s">
        <v>155</v>
      </c>
      <c r="B38" s="2" t="s">
        <v>330</v>
      </c>
      <c r="C38" s="61">
        <v>38</v>
      </c>
      <c r="D38" s="63">
        <v>0.12</v>
      </c>
      <c r="E38" s="31">
        <v>201748</v>
      </c>
      <c r="F38" s="162" t="s">
        <v>140</v>
      </c>
      <c r="G38" s="181">
        <v>44105</v>
      </c>
      <c r="H38" s="182">
        <v>411850.75480000005</v>
      </c>
      <c r="I38" s="183">
        <v>41530.4836</v>
      </c>
      <c r="J38" s="183">
        <v>23255.110400000001</v>
      </c>
      <c r="K38" s="183">
        <f>IFERROR(VLOOKUP($E38,'Actuals (BI Report)'!$A$2:$H$35,6,FALSE),"")</f>
        <v>0</v>
      </c>
      <c r="L38" s="184">
        <f t="shared" si="134"/>
        <v>476636.34880000004</v>
      </c>
      <c r="M38" s="182">
        <v>13318</v>
      </c>
      <c r="N38" s="183">
        <v>-665</v>
      </c>
      <c r="O38" s="183">
        <v>563</v>
      </c>
      <c r="P38" s="183">
        <v>1081</v>
      </c>
      <c r="Q38" s="184">
        <f t="shared" si="1"/>
        <v>14297</v>
      </c>
      <c r="R38" s="182">
        <f t="shared" ref="R38:R39" si="213">IFERROR(H38+M38,"")</f>
        <v>425168.75480000005</v>
      </c>
      <c r="S38" s="183">
        <f t="shared" ref="S38:S39" si="214">IFERROR(I38+N38,"")</f>
        <v>40865.4836</v>
      </c>
      <c r="T38" s="183">
        <f t="shared" ref="T38:T39" si="215">IFERROR(J38+O38,"")</f>
        <v>23818.110400000001</v>
      </c>
      <c r="U38" s="183">
        <f t="shared" ref="U38:U39" si="216">IFERROR(K38+P38,"")</f>
        <v>1081</v>
      </c>
      <c r="V38" s="185"/>
      <c r="W38" s="184">
        <f t="shared" si="210"/>
        <v>490933.34880000004</v>
      </c>
      <c r="X38" s="22"/>
      <c r="Y38" s="21"/>
      <c r="Z38" s="41"/>
      <c r="AA38" s="14"/>
      <c r="AB38" s="14">
        <v>1</v>
      </c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45">
        <f t="shared" si="51"/>
        <v>1</v>
      </c>
      <c r="AW38" s="41"/>
      <c r="AX38" s="38">
        <f t="shared" ref="AX38" si="217">AA38*$W38</f>
        <v>0</v>
      </c>
      <c r="AY38" s="38">
        <f t="shared" si="136"/>
        <v>490933.34880000004</v>
      </c>
      <c r="AZ38" s="38">
        <f t="shared" si="137"/>
        <v>0</v>
      </c>
      <c r="BA38" s="38">
        <f t="shared" si="138"/>
        <v>0</v>
      </c>
      <c r="BB38" s="38">
        <f t="shared" si="139"/>
        <v>0</v>
      </c>
      <c r="BC38" s="38">
        <f t="shared" si="140"/>
        <v>0</v>
      </c>
      <c r="BD38" s="38">
        <f t="shared" si="141"/>
        <v>0</v>
      </c>
      <c r="BE38" s="38">
        <f t="shared" si="142"/>
        <v>0</v>
      </c>
      <c r="BF38" s="38">
        <f t="shared" si="143"/>
        <v>0</v>
      </c>
      <c r="BG38" s="38">
        <f t="shared" si="144"/>
        <v>0</v>
      </c>
      <c r="BH38" s="38">
        <f t="shared" si="145"/>
        <v>0</v>
      </c>
      <c r="BI38" s="38">
        <f t="shared" si="146"/>
        <v>0</v>
      </c>
      <c r="BJ38" s="38">
        <f t="shared" si="147"/>
        <v>0</v>
      </c>
      <c r="BK38" s="38">
        <f t="shared" si="148"/>
        <v>0</v>
      </c>
      <c r="BL38" s="38">
        <f t="shared" si="149"/>
        <v>0</v>
      </c>
      <c r="BM38" s="38">
        <f t="shared" si="150"/>
        <v>0</v>
      </c>
      <c r="BN38" s="38">
        <f t="shared" si="151"/>
        <v>0</v>
      </c>
      <c r="BO38" s="38">
        <f t="shared" si="152"/>
        <v>0</v>
      </c>
      <c r="BP38" s="38">
        <f t="shared" si="153"/>
        <v>0</v>
      </c>
      <c r="BQ38" s="38">
        <f t="shared" si="154"/>
        <v>0</v>
      </c>
      <c r="BR38" s="38">
        <f t="shared" si="155"/>
        <v>0</v>
      </c>
      <c r="BS38" s="39">
        <f t="shared" si="52"/>
        <v>490933.34880000004</v>
      </c>
      <c r="BT38" s="48">
        <f t="shared" si="28"/>
        <v>0</v>
      </c>
      <c r="BU38" s="193">
        <f>'[1]Primary and Summary'!$D$105</f>
        <v>0.11529999999999996</v>
      </c>
      <c r="BV38" s="193">
        <f>'[1]Primary and Summary'!$D$105</f>
        <v>0.11529999999999996</v>
      </c>
      <c r="BW38" s="193">
        <f>'[1]Primary and Summary'!$D$111</f>
        <v>0.10809999999999997</v>
      </c>
      <c r="BX38" s="193">
        <f>'[1]Primary and Summary'!$D$111</f>
        <v>0.10809999999999997</v>
      </c>
      <c r="BY38" s="193">
        <f>'[1]Primary and Summary'!$D$111</f>
        <v>0.10809999999999997</v>
      </c>
      <c r="BZ38" s="193">
        <f>'[1]Primary and Summary'!$D$111</f>
        <v>0.10809999999999997</v>
      </c>
      <c r="CA38" s="193">
        <f>'[1]Primary and Summary'!$D$111</f>
        <v>0.10809999999999997</v>
      </c>
      <c r="CB38" s="193">
        <f>'[1]Primary and Summary'!$D$111</f>
        <v>0.10809999999999997</v>
      </c>
      <c r="CC38" s="193">
        <f>'[1]Primary and Summary'!$D$111</f>
        <v>0.10809999999999997</v>
      </c>
      <c r="CD38" s="193">
        <f>'[1]Primary and Summary'!$D$111</f>
        <v>0.10809999999999997</v>
      </c>
      <c r="CE38" s="193">
        <f>'[1]Primary and Summary'!$D$111</f>
        <v>0.10809999999999997</v>
      </c>
      <c r="CF38" s="193">
        <f>'[1]Primary and Summary'!$D$111</f>
        <v>0.10809999999999997</v>
      </c>
      <c r="CG38" s="193">
        <f>'[1]Primary and Summary'!$D$120</f>
        <v>1</v>
      </c>
      <c r="CH38" s="193">
        <f>'[1]Primary and Summary'!$D$120</f>
        <v>1</v>
      </c>
      <c r="CI38" s="193">
        <f>'[1]Primary and Summary'!$D$120</f>
        <v>1</v>
      </c>
      <c r="CJ38" s="193">
        <f>'[1]Primary and Summary'!$D$120</f>
        <v>1</v>
      </c>
      <c r="CK38" s="193">
        <f>'[1]Primary and Summary'!$D$120</f>
        <v>1</v>
      </c>
      <c r="CL38" s="193">
        <f>'[1]Primary and Summary'!$D$120</f>
        <v>1</v>
      </c>
      <c r="CM38" s="193">
        <f>'[1]Primary and Summary'!$D$105</f>
        <v>0.11529999999999996</v>
      </c>
      <c r="CN38" s="193">
        <f>'[1]Primary and Summary'!$D$105</f>
        <v>0.11529999999999996</v>
      </c>
      <c r="CO38" s="193">
        <v>1</v>
      </c>
      <c r="CP38" s="39"/>
      <c r="CQ38" s="41"/>
      <c r="CR38" s="38">
        <f t="shared" ref="CR38:CR39" si="218">BU38*AX38</f>
        <v>0</v>
      </c>
      <c r="CS38" s="38">
        <f t="shared" si="157"/>
        <v>56604.615116639987</v>
      </c>
      <c r="CT38" s="38">
        <f t="shared" si="158"/>
        <v>0</v>
      </c>
      <c r="CU38" s="38">
        <f t="shared" si="159"/>
        <v>0</v>
      </c>
      <c r="CV38" s="38">
        <f t="shared" si="160"/>
        <v>0</v>
      </c>
      <c r="CW38" s="38">
        <f t="shared" si="161"/>
        <v>0</v>
      </c>
      <c r="CX38" s="38">
        <f t="shared" si="162"/>
        <v>0</v>
      </c>
      <c r="CY38" s="38">
        <f t="shared" si="163"/>
        <v>0</v>
      </c>
      <c r="CZ38" s="38">
        <f t="shared" si="164"/>
        <v>0</v>
      </c>
      <c r="DA38" s="38">
        <f t="shared" si="165"/>
        <v>0</v>
      </c>
      <c r="DB38" s="38">
        <f t="shared" si="166"/>
        <v>0</v>
      </c>
      <c r="DC38" s="38">
        <f t="shared" si="167"/>
        <v>0</v>
      </c>
      <c r="DD38" s="38">
        <f t="shared" si="168"/>
        <v>0</v>
      </c>
      <c r="DE38" s="38">
        <f t="shared" si="169"/>
        <v>0</v>
      </c>
      <c r="DF38" s="38">
        <f t="shared" si="170"/>
        <v>0</v>
      </c>
      <c r="DG38" s="38">
        <f t="shared" si="171"/>
        <v>0</v>
      </c>
      <c r="DH38" s="38">
        <f t="shared" si="172"/>
        <v>0</v>
      </c>
      <c r="DI38" s="38">
        <f t="shared" si="173"/>
        <v>0</v>
      </c>
      <c r="DJ38" s="38">
        <f t="shared" si="174"/>
        <v>0</v>
      </c>
      <c r="DK38" s="38">
        <f t="shared" si="175"/>
        <v>0</v>
      </c>
      <c r="DL38" s="38">
        <f t="shared" si="176"/>
        <v>0</v>
      </c>
      <c r="DM38" s="83">
        <f t="shared" si="53"/>
        <v>56604.615116639987</v>
      </c>
      <c r="DO38" s="195">
        <v>6.7799999999999999E-2</v>
      </c>
      <c r="DP38" s="194">
        <f>1/3</f>
        <v>0.33333333333333331</v>
      </c>
      <c r="DQ38" s="195">
        <v>1.4999999999999999E-2</v>
      </c>
      <c r="DR38" s="195">
        <v>1.4999999999999999E-2</v>
      </c>
      <c r="DS38" s="195">
        <v>2.06E-2</v>
      </c>
      <c r="DT38" s="195">
        <v>1.78E-2</v>
      </c>
      <c r="DU38" s="195">
        <v>2.2700000000000001E-2</v>
      </c>
      <c r="DV38" s="195">
        <v>2.1700000000000001E-2</v>
      </c>
      <c r="DW38" s="195">
        <v>4.3299999999999998E-2</v>
      </c>
      <c r="DX38" s="195">
        <v>1.3100000000000001E-2</v>
      </c>
      <c r="DY38" s="195">
        <v>4.7000000000000002E-3</v>
      </c>
      <c r="DZ38" s="195">
        <v>3.09E-2</v>
      </c>
      <c r="EA38" s="195">
        <v>1.8800000000000001E-2</v>
      </c>
      <c r="EB38" s="195">
        <v>1.4999999999999999E-2</v>
      </c>
      <c r="EC38" s="195">
        <v>2.5399999999999999E-2</v>
      </c>
      <c r="ED38" s="195">
        <v>2.3199999999999998E-2</v>
      </c>
      <c r="EE38" s="195">
        <v>2.18E-2</v>
      </c>
      <c r="EF38" s="195">
        <v>2.2700000000000001E-2</v>
      </c>
      <c r="EG38" s="195">
        <v>0.2</v>
      </c>
      <c r="EH38" s="195">
        <v>6.6699999999999995E-2</v>
      </c>
      <c r="EI38" s="195">
        <v>3.0200000000000001E-2</v>
      </c>
      <c r="EL38" s="107">
        <f t="shared" si="31"/>
        <v>0</v>
      </c>
      <c r="EM38" s="107">
        <f t="shared" si="32"/>
        <v>18868.205038879994</v>
      </c>
      <c r="EN38" s="107">
        <f t="shared" si="33"/>
        <v>0</v>
      </c>
      <c r="EO38" s="107">
        <f t="shared" si="34"/>
        <v>0</v>
      </c>
      <c r="EP38" s="107">
        <f t="shared" si="35"/>
        <v>0</v>
      </c>
      <c r="EQ38" s="107">
        <f t="shared" si="54"/>
        <v>0</v>
      </c>
      <c r="ER38" s="107">
        <f t="shared" si="36"/>
        <v>0</v>
      </c>
      <c r="ES38" s="107">
        <f t="shared" si="37"/>
        <v>0</v>
      </c>
      <c r="ET38" s="107">
        <f t="shared" si="38"/>
        <v>0</v>
      </c>
      <c r="EU38" s="107">
        <f t="shared" si="39"/>
        <v>0</v>
      </c>
      <c r="EV38" s="107">
        <f t="shared" si="40"/>
        <v>0</v>
      </c>
      <c r="EW38" s="107">
        <f t="shared" si="41"/>
        <v>0</v>
      </c>
      <c r="EX38" s="107">
        <f t="shared" si="42"/>
        <v>0</v>
      </c>
      <c r="EY38" s="107">
        <f t="shared" si="43"/>
        <v>0</v>
      </c>
      <c r="EZ38" s="107">
        <f t="shared" si="44"/>
        <v>0</v>
      </c>
      <c r="FA38" s="107">
        <f t="shared" si="45"/>
        <v>0</v>
      </c>
      <c r="FB38" s="107">
        <f t="shared" si="46"/>
        <v>0</v>
      </c>
      <c r="FC38" s="107">
        <f t="shared" si="47"/>
        <v>0</v>
      </c>
      <c r="FD38" s="107">
        <f t="shared" si="48"/>
        <v>0</v>
      </c>
      <c r="FE38" s="107">
        <f t="shared" si="49"/>
        <v>0</v>
      </c>
      <c r="FF38" s="107">
        <f t="shared" si="50"/>
        <v>0</v>
      </c>
      <c r="FG38" s="107">
        <f t="shared" si="55"/>
        <v>18868.205038879994</v>
      </c>
      <c r="FH38" s="107"/>
      <c r="FI38" s="213">
        <v>12.5</v>
      </c>
      <c r="FJ38" s="219">
        <f t="shared" si="56"/>
        <v>19654.380248833328</v>
      </c>
      <c r="FK38" s="214">
        <f t="shared" si="57"/>
        <v>36950.234867806663</v>
      </c>
    </row>
    <row r="39" spans="1:176" x14ac:dyDescent="0.35">
      <c r="B39" s="2" t="s">
        <v>330</v>
      </c>
      <c r="C39">
        <v>38</v>
      </c>
      <c r="D39" s="8">
        <v>0.12</v>
      </c>
      <c r="E39" s="31">
        <v>201897</v>
      </c>
      <c r="F39" s="162" t="s">
        <v>150</v>
      </c>
      <c r="G39" s="181">
        <v>44105</v>
      </c>
      <c r="H39" s="182">
        <f>IFERROR(VLOOKUP($E39,'Actuals (BI Report)'!$A$2:$H$35,4,FALSE),"")</f>
        <v>3523443.73</v>
      </c>
      <c r="I39" s="183">
        <f>IFERROR(VLOOKUP($E39,'Actuals (BI Report)'!$A$2:$H$35,7,FALSE),"")</f>
        <v>327194.12</v>
      </c>
      <c r="J39" s="183">
        <f>IFERROR(VLOOKUP($E39,'Actuals (BI Report)'!$A$2:$H$35,5,FALSE),"")</f>
        <v>92436.89</v>
      </c>
      <c r="K39" s="183">
        <f>IFERROR(VLOOKUP($E39,'Actuals (BI Report)'!$A$2:$H$35,6,FALSE),"")</f>
        <v>0</v>
      </c>
      <c r="L39" s="184">
        <f t="shared" si="134"/>
        <v>3943074.74</v>
      </c>
      <c r="M39" s="182">
        <v>1018505</v>
      </c>
      <c r="N39" s="183">
        <v>19720</v>
      </c>
      <c r="O39" s="183">
        <v>5161</v>
      </c>
      <c r="P39" s="183">
        <v>9905</v>
      </c>
      <c r="Q39" s="184">
        <f t="shared" si="1"/>
        <v>1053291</v>
      </c>
      <c r="R39" s="182">
        <f t="shared" si="213"/>
        <v>4541948.7300000004</v>
      </c>
      <c r="S39" s="183">
        <f t="shared" si="214"/>
        <v>346914.12</v>
      </c>
      <c r="T39" s="183">
        <f t="shared" si="215"/>
        <v>97597.89</v>
      </c>
      <c r="U39" s="183">
        <f t="shared" si="216"/>
        <v>9905</v>
      </c>
      <c r="V39" s="185"/>
      <c r="W39" s="184">
        <f t="shared" si="210"/>
        <v>4996365.74</v>
      </c>
      <c r="X39" s="22">
        <v>44105</v>
      </c>
      <c r="Y39" s="21"/>
      <c r="Z39" s="41"/>
      <c r="AA39" s="14">
        <v>1</v>
      </c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45">
        <f t="shared" si="51"/>
        <v>1</v>
      </c>
      <c r="AW39" s="41"/>
      <c r="AX39" s="38">
        <f t="shared" si="211"/>
        <v>4996365.74</v>
      </c>
      <c r="AY39" s="38">
        <f t="shared" si="136"/>
        <v>0</v>
      </c>
      <c r="AZ39" s="38">
        <f t="shared" si="137"/>
        <v>0</v>
      </c>
      <c r="BA39" s="38">
        <f t="shared" si="138"/>
        <v>0</v>
      </c>
      <c r="BB39" s="38">
        <f t="shared" si="139"/>
        <v>0</v>
      </c>
      <c r="BC39" s="38">
        <f t="shared" si="140"/>
        <v>0</v>
      </c>
      <c r="BD39" s="38">
        <f t="shared" si="141"/>
        <v>0</v>
      </c>
      <c r="BE39" s="38">
        <f t="shared" si="142"/>
        <v>0</v>
      </c>
      <c r="BF39" s="38">
        <f t="shared" si="143"/>
        <v>0</v>
      </c>
      <c r="BG39" s="38">
        <f t="shared" si="144"/>
        <v>0</v>
      </c>
      <c r="BH39" s="38">
        <f t="shared" si="145"/>
        <v>0</v>
      </c>
      <c r="BI39" s="38">
        <f t="shared" si="146"/>
        <v>0</v>
      </c>
      <c r="BJ39" s="38">
        <f t="shared" si="147"/>
        <v>0</v>
      </c>
      <c r="BK39" s="38">
        <f t="shared" si="148"/>
        <v>0</v>
      </c>
      <c r="BL39" s="38">
        <f t="shared" si="149"/>
        <v>0</v>
      </c>
      <c r="BM39" s="38">
        <f t="shared" si="150"/>
        <v>0</v>
      </c>
      <c r="BN39" s="38">
        <f t="shared" si="151"/>
        <v>0</v>
      </c>
      <c r="BO39" s="38">
        <f t="shared" si="152"/>
        <v>0</v>
      </c>
      <c r="BP39" s="38">
        <f t="shared" si="153"/>
        <v>0</v>
      </c>
      <c r="BQ39" s="38">
        <f t="shared" si="154"/>
        <v>0</v>
      </c>
      <c r="BR39" s="38">
        <f t="shared" si="155"/>
        <v>0</v>
      </c>
      <c r="BS39" s="39">
        <f t="shared" si="52"/>
        <v>4996365.74</v>
      </c>
      <c r="BT39" s="48">
        <f t="shared" si="28"/>
        <v>0</v>
      </c>
      <c r="BU39" s="193">
        <f>'[1]Primary and Summary'!$D$105</f>
        <v>0.11529999999999996</v>
      </c>
      <c r="BV39" s="193">
        <f>'[1]Primary and Summary'!$D$105</f>
        <v>0.11529999999999996</v>
      </c>
      <c r="BW39" s="193">
        <f>'[1]Primary and Summary'!$D$111</f>
        <v>0.10809999999999997</v>
      </c>
      <c r="BX39" s="193">
        <f>'[1]Primary and Summary'!$D$111</f>
        <v>0.10809999999999997</v>
      </c>
      <c r="BY39" s="193">
        <f>'[1]Primary and Summary'!$D$111</f>
        <v>0.10809999999999997</v>
      </c>
      <c r="BZ39" s="193">
        <f>'[1]Primary and Summary'!$D$111</f>
        <v>0.10809999999999997</v>
      </c>
      <c r="CA39" s="193">
        <f>'[1]Primary and Summary'!$D$111</f>
        <v>0.10809999999999997</v>
      </c>
      <c r="CB39" s="193">
        <f>'[1]Primary and Summary'!$D$111</f>
        <v>0.10809999999999997</v>
      </c>
      <c r="CC39" s="193">
        <f>'[1]Primary and Summary'!$D$111</f>
        <v>0.10809999999999997</v>
      </c>
      <c r="CD39" s="193">
        <f>'[1]Primary and Summary'!$D$111</f>
        <v>0.10809999999999997</v>
      </c>
      <c r="CE39" s="193">
        <f>'[1]Primary and Summary'!$D$111</f>
        <v>0.10809999999999997</v>
      </c>
      <c r="CF39" s="193">
        <f>'[1]Primary and Summary'!$D$111</f>
        <v>0.10809999999999997</v>
      </c>
      <c r="CG39" s="193">
        <f>'[1]Primary and Summary'!$D$120</f>
        <v>1</v>
      </c>
      <c r="CH39" s="193">
        <f>'[1]Primary and Summary'!$D$120</f>
        <v>1</v>
      </c>
      <c r="CI39" s="193">
        <f>'[1]Primary and Summary'!$D$120</f>
        <v>1</v>
      </c>
      <c r="CJ39" s="193">
        <f>'[1]Primary and Summary'!$D$120</f>
        <v>1</v>
      </c>
      <c r="CK39" s="193">
        <f>'[1]Primary and Summary'!$D$120</f>
        <v>1</v>
      </c>
      <c r="CL39" s="193">
        <f>'[1]Primary and Summary'!$D$120</f>
        <v>1</v>
      </c>
      <c r="CM39" s="193">
        <f>'[1]Primary and Summary'!$D$105</f>
        <v>0.11529999999999996</v>
      </c>
      <c r="CN39" s="193">
        <f>'[1]Primary and Summary'!$D$105</f>
        <v>0.11529999999999996</v>
      </c>
      <c r="CO39" s="193">
        <v>1</v>
      </c>
      <c r="CP39" s="39"/>
      <c r="CQ39" s="41"/>
      <c r="CR39" s="38">
        <f t="shared" si="218"/>
        <v>576080.96982199978</v>
      </c>
      <c r="CS39" s="38">
        <f t="shared" si="157"/>
        <v>0</v>
      </c>
      <c r="CT39" s="38">
        <f t="shared" si="158"/>
        <v>0</v>
      </c>
      <c r="CU39" s="38">
        <f t="shared" si="159"/>
        <v>0</v>
      </c>
      <c r="CV39" s="38">
        <f t="shared" si="160"/>
        <v>0</v>
      </c>
      <c r="CW39" s="38">
        <f t="shared" si="161"/>
        <v>0</v>
      </c>
      <c r="CX39" s="38">
        <f t="shared" si="162"/>
        <v>0</v>
      </c>
      <c r="CY39" s="38">
        <f t="shared" si="163"/>
        <v>0</v>
      </c>
      <c r="CZ39" s="38">
        <f t="shared" si="164"/>
        <v>0</v>
      </c>
      <c r="DA39" s="38">
        <f t="shared" si="165"/>
        <v>0</v>
      </c>
      <c r="DB39" s="38">
        <f t="shared" si="166"/>
        <v>0</v>
      </c>
      <c r="DC39" s="38">
        <f t="shared" si="167"/>
        <v>0</v>
      </c>
      <c r="DD39" s="38">
        <f t="shared" si="168"/>
        <v>0</v>
      </c>
      <c r="DE39" s="38">
        <f t="shared" si="169"/>
        <v>0</v>
      </c>
      <c r="DF39" s="38">
        <f t="shared" si="170"/>
        <v>0</v>
      </c>
      <c r="DG39" s="38">
        <f t="shared" si="171"/>
        <v>0</v>
      </c>
      <c r="DH39" s="38">
        <f t="shared" si="172"/>
        <v>0</v>
      </c>
      <c r="DI39" s="38">
        <f t="shared" si="173"/>
        <v>0</v>
      </c>
      <c r="DJ39" s="38">
        <f t="shared" si="174"/>
        <v>0</v>
      </c>
      <c r="DK39" s="38">
        <f t="shared" si="175"/>
        <v>0</v>
      </c>
      <c r="DL39" s="38">
        <f t="shared" si="176"/>
        <v>0</v>
      </c>
      <c r="DM39" s="83">
        <f t="shared" si="53"/>
        <v>576080.96982199978</v>
      </c>
      <c r="DO39" s="195">
        <v>6.7799999999999999E-2</v>
      </c>
      <c r="DP39" s="194">
        <f t="shared" si="30"/>
        <v>0.1</v>
      </c>
      <c r="DQ39" s="195">
        <v>1.4999999999999999E-2</v>
      </c>
      <c r="DR39" s="195">
        <v>1.4999999999999999E-2</v>
      </c>
      <c r="DS39" s="195">
        <v>2.06E-2</v>
      </c>
      <c r="DT39" s="195">
        <v>1.78E-2</v>
      </c>
      <c r="DU39" s="195">
        <v>2.2700000000000001E-2</v>
      </c>
      <c r="DV39" s="195">
        <v>2.1700000000000001E-2</v>
      </c>
      <c r="DW39" s="195">
        <v>4.3299999999999998E-2</v>
      </c>
      <c r="DX39" s="195">
        <v>1.3100000000000001E-2</v>
      </c>
      <c r="DY39" s="195">
        <v>4.7000000000000002E-3</v>
      </c>
      <c r="DZ39" s="195">
        <v>3.09E-2</v>
      </c>
      <c r="EA39" s="195">
        <v>1.8800000000000001E-2</v>
      </c>
      <c r="EB39" s="195">
        <v>1.4999999999999999E-2</v>
      </c>
      <c r="EC39" s="195">
        <v>2.5399999999999999E-2</v>
      </c>
      <c r="ED39" s="195">
        <v>2.3199999999999998E-2</v>
      </c>
      <c r="EE39" s="195">
        <v>2.18E-2</v>
      </c>
      <c r="EF39" s="195">
        <v>2.2700000000000001E-2</v>
      </c>
      <c r="EG39" s="195">
        <v>0.2</v>
      </c>
      <c r="EH39" s="195">
        <v>6.6699999999999995E-2</v>
      </c>
      <c r="EI39" s="195">
        <v>3.0200000000000001E-2</v>
      </c>
      <c r="EL39" s="107">
        <f t="shared" si="31"/>
        <v>39058.289753931582</v>
      </c>
      <c r="EM39" s="107">
        <f t="shared" si="32"/>
        <v>0</v>
      </c>
      <c r="EN39" s="107">
        <f t="shared" si="33"/>
        <v>0</v>
      </c>
      <c r="EO39" s="107">
        <f t="shared" si="34"/>
        <v>0</v>
      </c>
      <c r="EP39" s="107">
        <f t="shared" si="35"/>
        <v>0</v>
      </c>
      <c r="EQ39" s="107">
        <f t="shared" si="54"/>
        <v>0</v>
      </c>
      <c r="ER39" s="107">
        <f t="shared" si="36"/>
        <v>0</v>
      </c>
      <c r="ES39" s="107">
        <f t="shared" si="37"/>
        <v>0</v>
      </c>
      <c r="ET39" s="107">
        <f t="shared" si="38"/>
        <v>0</v>
      </c>
      <c r="EU39" s="107">
        <f t="shared" si="39"/>
        <v>0</v>
      </c>
      <c r="EV39" s="107">
        <f t="shared" si="40"/>
        <v>0</v>
      </c>
      <c r="EW39" s="107">
        <f t="shared" si="41"/>
        <v>0</v>
      </c>
      <c r="EX39" s="107">
        <f t="shared" si="42"/>
        <v>0</v>
      </c>
      <c r="EY39" s="107">
        <f t="shared" si="43"/>
        <v>0</v>
      </c>
      <c r="EZ39" s="107">
        <f t="shared" si="44"/>
        <v>0</v>
      </c>
      <c r="FA39" s="107">
        <f t="shared" si="45"/>
        <v>0</v>
      </c>
      <c r="FB39" s="107">
        <f t="shared" si="46"/>
        <v>0</v>
      </c>
      <c r="FC39" s="107">
        <f t="shared" si="47"/>
        <v>0</v>
      </c>
      <c r="FD39" s="107">
        <f t="shared" si="48"/>
        <v>0</v>
      </c>
      <c r="FE39" s="107">
        <f t="shared" si="49"/>
        <v>0</v>
      </c>
      <c r="FF39" s="107">
        <f t="shared" si="50"/>
        <v>0</v>
      </c>
      <c r="FG39" s="107">
        <f t="shared" si="55"/>
        <v>39058.289753931582</v>
      </c>
      <c r="FH39" s="107"/>
      <c r="FI39" s="213">
        <v>12.5</v>
      </c>
      <c r="FJ39" s="219">
        <f t="shared" si="56"/>
        <v>40685.718493678731</v>
      </c>
      <c r="FK39" s="214">
        <f t="shared" si="57"/>
        <v>535395.25132832106</v>
      </c>
    </row>
    <row r="40" spans="1:176" x14ac:dyDescent="0.35">
      <c r="B40" s="2" t="s">
        <v>330</v>
      </c>
      <c r="C40" s="18">
        <v>38</v>
      </c>
      <c r="D40" s="8">
        <v>0.12</v>
      </c>
      <c r="E40" s="58">
        <v>202064</v>
      </c>
      <c r="F40" s="162" t="s">
        <v>146</v>
      </c>
      <c r="G40" s="181">
        <v>44105</v>
      </c>
      <c r="H40" s="182">
        <v>1427681.56</v>
      </c>
      <c r="I40" s="183">
        <v>112709.06000000001</v>
      </c>
      <c r="J40" s="183">
        <v>13378.85</v>
      </c>
      <c r="K40" s="183">
        <v>0</v>
      </c>
      <c r="L40" s="184">
        <f t="shared" ref="L40:L45" si="219">SUM(H40:K40)</f>
        <v>1553769.4700000002</v>
      </c>
      <c r="M40" s="182">
        <v>142146</v>
      </c>
      <c r="N40" s="183">
        <v>-6208</v>
      </c>
      <c r="O40" s="183">
        <v>919</v>
      </c>
      <c r="P40" s="183">
        <v>1765</v>
      </c>
      <c r="Q40" s="184">
        <f t="shared" ref="Q40:Q45" si="220">SUM(M40:P40)</f>
        <v>138622</v>
      </c>
      <c r="R40" s="182">
        <f t="shared" ref="R40:U44" si="221">IFERROR(H40+M40,"")</f>
        <v>1569827.56</v>
      </c>
      <c r="S40" s="183">
        <f t="shared" si="221"/>
        <v>106501.06000000001</v>
      </c>
      <c r="T40" s="183">
        <f t="shared" si="221"/>
        <v>14297.85</v>
      </c>
      <c r="U40" s="183">
        <f t="shared" si="221"/>
        <v>1765</v>
      </c>
      <c r="V40" s="186"/>
      <c r="W40" s="184">
        <f t="shared" ref="W40:W45" si="222">SUM(R40:V40)</f>
        <v>1692391.4700000002</v>
      </c>
      <c r="AA40" s="14">
        <v>1</v>
      </c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45">
        <f t="shared" si="51"/>
        <v>1</v>
      </c>
      <c r="AX40" s="38">
        <f t="shared" ref="AX40:AX47" si="223">AA40*$W40</f>
        <v>1692391.4700000002</v>
      </c>
      <c r="AY40" s="38">
        <f t="shared" si="136"/>
        <v>0</v>
      </c>
      <c r="AZ40" s="38">
        <f t="shared" si="137"/>
        <v>0</v>
      </c>
      <c r="BA40" s="38">
        <f t="shared" si="138"/>
        <v>0</v>
      </c>
      <c r="BB40" s="38">
        <f t="shared" si="139"/>
        <v>0</v>
      </c>
      <c r="BC40" s="38">
        <f t="shared" si="140"/>
        <v>0</v>
      </c>
      <c r="BD40" s="38">
        <f t="shared" si="141"/>
        <v>0</v>
      </c>
      <c r="BE40" s="38">
        <f t="shared" si="142"/>
        <v>0</v>
      </c>
      <c r="BF40" s="38">
        <f t="shared" si="143"/>
        <v>0</v>
      </c>
      <c r="BG40" s="38">
        <f t="shared" si="144"/>
        <v>0</v>
      </c>
      <c r="BH40" s="38">
        <f t="shared" si="145"/>
        <v>0</v>
      </c>
      <c r="BI40" s="38">
        <f t="shared" si="146"/>
        <v>0</v>
      </c>
      <c r="BJ40" s="38">
        <f t="shared" si="147"/>
        <v>0</v>
      </c>
      <c r="BK40" s="38">
        <f t="shared" si="148"/>
        <v>0</v>
      </c>
      <c r="BL40" s="38">
        <f t="shared" si="149"/>
        <v>0</v>
      </c>
      <c r="BM40" s="38">
        <f t="shared" si="150"/>
        <v>0</v>
      </c>
      <c r="BN40" s="38">
        <f t="shared" si="151"/>
        <v>0</v>
      </c>
      <c r="BO40" s="38">
        <f t="shared" si="152"/>
        <v>0</v>
      </c>
      <c r="BP40" s="38">
        <f t="shared" si="153"/>
        <v>0</v>
      </c>
      <c r="BQ40" s="38">
        <f t="shared" si="154"/>
        <v>0</v>
      </c>
      <c r="BR40" s="38">
        <f t="shared" si="155"/>
        <v>0</v>
      </c>
      <c r="BS40" s="39">
        <f t="shared" si="52"/>
        <v>1692391.4700000002</v>
      </c>
      <c r="BT40" s="48">
        <f t="shared" ref="BT40" si="224">BS40-W40</f>
        <v>0</v>
      </c>
      <c r="BU40" s="193">
        <f>'[1]Primary and Summary'!$D$105</f>
        <v>0.11529999999999996</v>
      </c>
      <c r="BV40" s="193">
        <f>'[1]Primary and Summary'!$D$105</f>
        <v>0.11529999999999996</v>
      </c>
      <c r="BW40" s="193">
        <f>'[1]Primary and Summary'!$D$111</f>
        <v>0.10809999999999997</v>
      </c>
      <c r="BX40" s="193">
        <f>'[1]Primary and Summary'!$D$111</f>
        <v>0.10809999999999997</v>
      </c>
      <c r="BY40" s="193">
        <f>'[1]Primary and Summary'!$D$111</f>
        <v>0.10809999999999997</v>
      </c>
      <c r="BZ40" s="193">
        <f>'[1]Primary and Summary'!$D$111</f>
        <v>0.10809999999999997</v>
      </c>
      <c r="CA40" s="193">
        <f>'[1]Primary and Summary'!$D$111</f>
        <v>0.10809999999999997</v>
      </c>
      <c r="CB40" s="193">
        <f>'[1]Primary and Summary'!$D$111</f>
        <v>0.10809999999999997</v>
      </c>
      <c r="CC40" s="193">
        <f>'[1]Primary and Summary'!$D$111</f>
        <v>0.10809999999999997</v>
      </c>
      <c r="CD40" s="193">
        <f>'[1]Primary and Summary'!$D$111</f>
        <v>0.10809999999999997</v>
      </c>
      <c r="CE40" s="193">
        <f>'[1]Primary and Summary'!$D$111</f>
        <v>0.10809999999999997</v>
      </c>
      <c r="CF40" s="193">
        <f>'[1]Primary and Summary'!$D$111</f>
        <v>0.10809999999999997</v>
      </c>
      <c r="CG40" s="193">
        <f>'[1]Primary and Summary'!$D$120</f>
        <v>1</v>
      </c>
      <c r="CH40" s="193">
        <f>'[1]Primary and Summary'!$D$120</f>
        <v>1</v>
      </c>
      <c r="CI40" s="193">
        <f>'[1]Primary and Summary'!$D$120</f>
        <v>1</v>
      </c>
      <c r="CJ40" s="193">
        <f>'[1]Primary and Summary'!$D$120</f>
        <v>1</v>
      </c>
      <c r="CK40" s="193">
        <f>'[1]Primary and Summary'!$D$120</f>
        <v>1</v>
      </c>
      <c r="CL40" s="193">
        <f>'[1]Primary and Summary'!$D$120</f>
        <v>1</v>
      </c>
      <c r="CM40" s="193">
        <f>'[1]Primary and Summary'!$D$105</f>
        <v>0.11529999999999996</v>
      </c>
      <c r="CN40" s="193">
        <f>'[1]Primary and Summary'!$D$105</f>
        <v>0.11529999999999996</v>
      </c>
      <c r="CO40" s="193">
        <v>1</v>
      </c>
      <c r="CP40" s="39"/>
      <c r="CR40" s="38">
        <f t="shared" ref="CR40:CR47" si="225">BU40*AX40</f>
        <v>195132.73649099996</v>
      </c>
      <c r="CS40" s="38">
        <f t="shared" si="157"/>
        <v>0</v>
      </c>
      <c r="CT40" s="38">
        <f t="shared" si="158"/>
        <v>0</v>
      </c>
      <c r="CU40" s="38">
        <f t="shared" si="159"/>
        <v>0</v>
      </c>
      <c r="CV40" s="38">
        <f t="shared" si="160"/>
        <v>0</v>
      </c>
      <c r="CW40" s="38">
        <f t="shared" si="161"/>
        <v>0</v>
      </c>
      <c r="CX40" s="38">
        <f t="shared" si="162"/>
        <v>0</v>
      </c>
      <c r="CY40" s="38">
        <f t="shared" si="163"/>
        <v>0</v>
      </c>
      <c r="CZ40" s="38">
        <f t="shared" si="164"/>
        <v>0</v>
      </c>
      <c r="DA40" s="38">
        <f t="shared" si="165"/>
        <v>0</v>
      </c>
      <c r="DB40" s="38">
        <f t="shared" si="166"/>
        <v>0</v>
      </c>
      <c r="DC40" s="38">
        <f t="shared" si="167"/>
        <v>0</v>
      </c>
      <c r="DD40" s="38">
        <f t="shared" si="168"/>
        <v>0</v>
      </c>
      <c r="DE40" s="38">
        <f t="shared" si="169"/>
        <v>0</v>
      </c>
      <c r="DF40" s="38">
        <f t="shared" si="170"/>
        <v>0</v>
      </c>
      <c r="DG40" s="38">
        <f t="shared" si="171"/>
        <v>0</v>
      </c>
      <c r="DH40" s="38">
        <f t="shared" si="172"/>
        <v>0</v>
      </c>
      <c r="DI40" s="38">
        <f t="shared" si="173"/>
        <v>0</v>
      </c>
      <c r="DJ40" s="38">
        <f t="shared" si="174"/>
        <v>0</v>
      </c>
      <c r="DK40" s="38">
        <f t="shared" si="175"/>
        <v>0</v>
      </c>
      <c r="DL40" s="38">
        <f t="shared" si="176"/>
        <v>0</v>
      </c>
      <c r="DM40" s="83">
        <f t="shared" si="53"/>
        <v>195132.73649099996</v>
      </c>
      <c r="DO40" s="195">
        <v>6.7799999999999999E-2</v>
      </c>
      <c r="DP40" s="194">
        <f t="shared" si="30"/>
        <v>0.1</v>
      </c>
      <c r="DQ40" s="195">
        <v>1.4999999999999999E-2</v>
      </c>
      <c r="DR40" s="195">
        <v>1.4999999999999999E-2</v>
      </c>
      <c r="DS40" s="195">
        <v>2.06E-2</v>
      </c>
      <c r="DT40" s="195">
        <v>1.78E-2</v>
      </c>
      <c r="DU40" s="195">
        <v>2.2700000000000001E-2</v>
      </c>
      <c r="DV40" s="195">
        <v>2.1700000000000001E-2</v>
      </c>
      <c r="DW40" s="195">
        <v>4.3299999999999998E-2</v>
      </c>
      <c r="DX40" s="195">
        <v>1.3100000000000001E-2</v>
      </c>
      <c r="DY40" s="195">
        <v>4.7000000000000002E-3</v>
      </c>
      <c r="DZ40" s="195">
        <v>3.09E-2</v>
      </c>
      <c r="EA40" s="195">
        <v>1.8800000000000001E-2</v>
      </c>
      <c r="EB40" s="195">
        <v>1.4999999999999999E-2</v>
      </c>
      <c r="EC40" s="195">
        <v>2.5399999999999999E-2</v>
      </c>
      <c r="ED40" s="195">
        <v>2.3199999999999998E-2</v>
      </c>
      <c r="EE40" s="195">
        <v>2.18E-2</v>
      </c>
      <c r="EF40" s="195">
        <v>2.2700000000000001E-2</v>
      </c>
      <c r="EG40" s="195">
        <v>0.2</v>
      </c>
      <c r="EH40" s="195">
        <v>6.6699999999999995E-2</v>
      </c>
      <c r="EI40" s="195">
        <v>3.0200000000000001E-2</v>
      </c>
      <c r="EL40" s="107">
        <f t="shared" si="31"/>
        <v>13229.999534089797</v>
      </c>
      <c r="EM40" s="107">
        <f t="shared" si="32"/>
        <v>0</v>
      </c>
      <c r="EN40" s="107">
        <f t="shared" si="33"/>
        <v>0</v>
      </c>
      <c r="EO40" s="107">
        <f t="shared" si="34"/>
        <v>0</v>
      </c>
      <c r="EP40" s="107">
        <f t="shared" si="35"/>
        <v>0</v>
      </c>
      <c r="EQ40" s="107">
        <f t="shared" si="54"/>
        <v>0</v>
      </c>
      <c r="ER40" s="107">
        <f t="shared" si="36"/>
        <v>0</v>
      </c>
      <c r="ES40" s="107">
        <f t="shared" si="37"/>
        <v>0</v>
      </c>
      <c r="ET40" s="107">
        <f t="shared" si="38"/>
        <v>0</v>
      </c>
      <c r="EU40" s="107">
        <f t="shared" si="39"/>
        <v>0</v>
      </c>
      <c r="EV40" s="107">
        <f t="shared" si="40"/>
        <v>0</v>
      </c>
      <c r="EW40" s="107">
        <f t="shared" si="41"/>
        <v>0</v>
      </c>
      <c r="EX40" s="107">
        <f t="shared" si="42"/>
        <v>0</v>
      </c>
      <c r="EY40" s="107">
        <f t="shared" si="43"/>
        <v>0</v>
      </c>
      <c r="EZ40" s="107">
        <f t="shared" si="44"/>
        <v>0</v>
      </c>
      <c r="FA40" s="107">
        <f t="shared" si="45"/>
        <v>0</v>
      </c>
      <c r="FB40" s="107">
        <f t="shared" si="46"/>
        <v>0</v>
      </c>
      <c r="FC40" s="107">
        <f t="shared" si="47"/>
        <v>0</v>
      </c>
      <c r="FD40" s="107">
        <f t="shared" si="48"/>
        <v>0</v>
      </c>
      <c r="FE40" s="107">
        <f t="shared" si="49"/>
        <v>0</v>
      </c>
      <c r="FF40" s="107">
        <f t="shared" si="50"/>
        <v>0</v>
      </c>
      <c r="FG40" s="107">
        <f t="shared" si="55"/>
        <v>13229.999534089797</v>
      </c>
      <c r="FH40" s="107"/>
      <c r="FI40" s="213">
        <v>12.5</v>
      </c>
      <c r="FJ40" s="219">
        <f t="shared" si="56"/>
        <v>13781.249514676872</v>
      </c>
      <c r="FK40" s="214">
        <f t="shared" si="57"/>
        <v>181351.4869763231</v>
      </c>
    </row>
    <row r="41" spans="1:176" x14ac:dyDescent="0.35">
      <c r="B41" s="2" t="s">
        <v>330</v>
      </c>
      <c r="C41">
        <v>17</v>
      </c>
      <c r="D41" s="8">
        <v>0.12</v>
      </c>
      <c r="E41" s="31">
        <v>202016</v>
      </c>
      <c r="F41" s="162" t="s">
        <v>144</v>
      </c>
      <c r="G41" s="181">
        <v>44105</v>
      </c>
      <c r="H41" s="182">
        <v>2772179.4699999997</v>
      </c>
      <c r="I41" s="183">
        <v>271371.96999999997</v>
      </c>
      <c r="J41" s="183">
        <v>55622.16</v>
      </c>
      <c r="K41" s="183">
        <v>0</v>
      </c>
      <c r="L41" s="184">
        <f t="shared" si="219"/>
        <v>3099173.5999999996</v>
      </c>
      <c r="M41" s="182">
        <v>0</v>
      </c>
      <c r="N41" s="183">
        <v>0</v>
      </c>
      <c r="O41" s="183">
        <v>0</v>
      </c>
      <c r="P41" s="183">
        <v>0</v>
      </c>
      <c r="Q41" s="184">
        <f t="shared" si="220"/>
        <v>0</v>
      </c>
      <c r="R41" s="182">
        <f t="shared" si="221"/>
        <v>2772179.4699999997</v>
      </c>
      <c r="S41" s="183">
        <f t="shared" si="221"/>
        <v>271371.96999999997</v>
      </c>
      <c r="T41" s="183">
        <f t="shared" si="221"/>
        <v>55622.16</v>
      </c>
      <c r="U41" s="183">
        <f t="shared" si="221"/>
        <v>0</v>
      </c>
      <c r="V41" s="185"/>
      <c r="W41" s="184">
        <f t="shared" si="222"/>
        <v>3099173.5999999996</v>
      </c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>
        <v>1</v>
      </c>
      <c r="AU41" s="14"/>
      <c r="AV41" s="45">
        <f t="shared" si="51"/>
        <v>1</v>
      </c>
      <c r="AX41" s="38">
        <f t="shared" si="223"/>
        <v>0</v>
      </c>
      <c r="AY41" s="38">
        <f t="shared" si="136"/>
        <v>0</v>
      </c>
      <c r="AZ41" s="38">
        <f t="shared" si="137"/>
        <v>0</v>
      </c>
      <c r="BA41" s="38">
        <f t="shared" si="138"/>
        <v>0</v>
      </c>
      <c r="BB41" s="38">
        <f t="shared" si="139"/>
        <v>0</v>
      </c>
      <c r="BC41" s="38">
        <f t="shared" si="140"/>
        <v>0</v>
      </c>
      <c r="BD41" s="38">
        <f t="shared" si="141"/>
        <v>0</v>
      </c>
      <c r="BE41" s="38">
        <f t="shared" si="142"/>
        <v>0</v>
      </c>
      <c r="BF41" s="38">
        <f t="shared" si="143"/>
        <v>0</v>
      </c>
      <c r="BG41" s="38">
        <f t="shared" si="144"/>
        <v>0</v>
      </c>
      <c r="BH41" s="38">
        <f t="shared" si="145"/>
        <v>0</v>
      </c>
      <c r="BI41" s="38">
        <f t="shared" si="146"/>
        <v>0</v>
      </c>
      <c r="BJ41" s="38">
        <f t="shared" si="147"/>
        <v>0</v>
      </c>
      <c r="BK41" s="38">
        <f t="shared" si="148"/>
        <v>0</v>
      </c>
      <c r="BL41" s="38">
        <f t="shared" si="149"/>
        <v>0</v>
      </c>
      <c r="BM41" s="38">
        <f t="shared" si="150"/>
        <v>0</v>
      </c>
      <c r="BN41" s="38">
        <f t="shared" si="151"/>
        <v>0</v>
      </c>
      <c r="BO41" s="38">
        <f t="shared" si="152"/>
        <v>0</v>
      </c>
      <c r="BP41" s="38">
        <f t="shared" si="153"/>
        <v>0</v>
      </c>
      <c r="BQ41" s="38">
        <f t="shared" si="154"/>
        <v>3099173.5999999996</v>
      </c>
      <c r="BR41" s="38">
        <f t="shared" si="155"/>
        <v>0</v>
      </c>
      <c r="BS41" s="39">
        <f t="shared" si="52"/>
        <v>3099173.5999999996</v>
      </c>
      <c r="BT41" s="48">
        <f t="shared" ref="BT41:BT46" si="226">BS41-W41</f>
        <v>0</v>
      </c>
      <c r="BU41" s="193">
        <f>'[1]Primary and Summary'!$D$105</f>
        <v>0.11529999999999996</v>
      </c>
      <c r="BV41" s="193">
        <f>'[1]Primary and Summary'!$D$105</f>
        <v>0.11529999999999996</v>
      </c>
      <c r="BW41" s="193">
        <f>'[1]Primary and Summary'!$D$111</f>
        <v>0.10809999999999997</v>
      </c>
      <c r="BX41" s="193">
        <f>'[1]Primary and Summary'!$D$111</f>
        <v>0.10809999999999997</v>
      </c>
      <c r="BY41" s="193">
        <f>'[1]Primary and Summary'!$D$111</f>
        <v>0.10809999999999997</v>
      </c>
      <c r="BZ41" s="193">
        <f>'[1]Primary and Summary'!$D$111</f>
        <v>0.10809999999999997</v>
      </c>
      <c r="CA41" s="193">
        <f>'[1]Primary and Summary'!$D$111</f>
        <v>0.10809999999999997</v>
      </c>
      <c r="CB41" s="193">
        <f>'[1]Primary and Summary'!$D$111</f>
        <v>0.10809999999999997</v>
      </c>
      <c r="CC41" s="193">
        <f>'[1]Primary and Summary'!$D$111</f>
        <v>0.10809999999999997</v>
      </c>
      <c r="CD41" s="193">
        <f>'[1]Primary and Summary'!$D$111</f>
        <v>0.10809999999999997</v>
      </c>
      <c r="CE41" s="193">
        <f>'[1]Primary and Summary'!$D$111</f>
        <v>0.10809999999999997</v>
      </c>
      <c r="CF41" s="193">
        <f>'[1]Primary and Summary'!$D$111</f>
        <v>0.10809999999999997</v>
      </c>
      <c r="CG41" s="193">
        <f>'[1]Primary and Summary'!$D$120</f>
        <v>1</v>
      </c>
      <c r="CH41" s="193">
        <f>'[1]Primary and Summary'!$D$120</f>
        <v>1</v>
      </c>
      <c r="CI41" s="193">
        <f>'[1]Primary and Summary'!$D$120</f>
        <v>1</v>
      </c>
      <c r="CJ41" s="193">
        <f>'[1]Primary and Summary'!$D$120</f>
        <v>1</v>
      </c>
      <c r="CK41" s="193">
        <f>'[1]Primary and Summary'!$D$120</f>
        <v>1</v>
      </c>
      <c r="CL41" s="193">
        <f>'[1]Primary and Summary'!$D$120</f>
        <v>1</v>
      </c>
      <c r="CM41" s="193">
        <f>'[1]Primary and Summary'!$D$105</f>
        <v>0.11529999999999996</v>
      </c>
      <c r="CN41" s="193">
        <f>'[1]Primary and Summary'!$D$105</f>
        <v>0.11529999999999996</v>
      </c>
      <c r="CO41" s="193">
        <v>1</v>
      </c>
      <c r="CP41" s="39"/>
      <c r="CR41" s="38">
        <f t="shared" si="225"/>
        <v>0</v>
      </c>
      <c r="CS41" s="38">
        <f t="shared" si="157"/>
        <v>0</v>
      </c>
      <c r="CT41" s="38">
        <f t="shared" si="158"/>
        <v>0</v>
      </c>
      <c r="CU41" s="38">
        <f t="shared" si="159"/>
        <v>0</v>
      </c>
      <c r="CV41" s="38">
        <f t="shared" si="160"/>
        <v>0</v>
      </c>
      <c r="CW41" s="38">
        <f t="shared" si="161"/>
        <v>0</v>
      </c>
      <c r="CX41" s="38">
        <f t="shared" si="162"/>
        <v>0</v>
      </c>
      <c r="CY41" s="38">
        <f t="shared" si="163"/>
        <v>0</v>
      </c>
      <c r="CZ41" s="38">
        <f t="shared" si="164"/>
        <v>0</v>
      </c>
      <c r="DA41" s="38">
        <f t="shared" si="165"/>
        <v>0</v>
      </c>
      <c r="DB41" s="38">
        <f t="shared" si="166"/>
        <v>0</v>
      </c>
      <c r="DC41" s="38">
        <f t="shared" si="167"/>
        <v>0</v>
      </c>
      <c r="DD41" s="38">
        <f t="shared" si="168"/>
        <v>0</v>
      </c>
      <c r="DE41" s="38">
        <f t="shared" si="169"/>
        <v>0</v>
      </c>
      <c r="DF41" s="38">
        <f t="shared" si="170"/>
        <v>0</v>
      </c>
      <c r="DG41" s="38">
        <f t="shared" si="171"/>
        <v>0</v>
      </c>
      <c r="DH41" s="38">
        <f t="shared" si="172"/>
        <v>0</v>
      </c>
      <c r="DI41" s="38">
        <f t="shared" si="173"/>
        <v>0</v>
      </c>
      <c r="DJ41" s="38">
        <f t="shared" si="174"/>
        <v>0</v>
      </c>
      <c r="DK41" s="38">
        <f t="shared" si="175"/>
        <v>357334.71607999981</v>
      </c>
      <c r="DL41" s="38">
        <f t="shared" si="176"/>
        <v>0</v>
      </c>
      <c r="DM41" s="83">
        <f t="shared" si="53"/>
        <v>357334.71607999981</v>
      </c>
      <c r="DO41" s="195">
        <v>6.7799999999999999E-2</v>
      </c>
      <c r="DP41" s="194">
        <f t="shared" si="30"/>
        <v>0.1</v>
      </c>
      <c r="DQ41" s="195">
        <v>1.4999999999999999E-2</v>
      </c>
      <c r="DR41" s="195">
        <v>1.4999999999999999E-2</v>
      </c>
      <c r="DS41" s="195">
        <v>2.06E-2</v>
      </c>
      <c r="DT41" s="195">
        <v>1.78E-2</v>
      </c>
      <c r="DU41" s="195">
        <v>2.2700000000000001E-2</v>
      </c>
      <c r="DV41" s="195">
        <v>2.1700000000000001E-2</v>
      </c>
      <c r="DW41" s="195">
        <v>4.3299999999999998E-2</v>
      </c>
      <c r="DX41" s="195">
        <v>1.3100000000000001E-2</v>
      </c>
      <c r="DY41" s="195">
        <v>4.7000000000000002E-3</v>
      </c>
      <c r="DZ41" s="195">
        <v>3.09E-2</v>
      </c>
      <c r="EA41" s="195">
        <v>1.8800000000000001E-2</v>
      </c>
      <c r="EB41" s="195">
        <v>1.4999999999999999E-2</v>
      </c>
      <c r="EC41" s="195">
        <v>2.5399999999999999E-2</v>
      </c>
      <c r="ED41" s="195">
        <v>2.3199999999999998E-2</v>
      </c>
      <c r="EE41" s="195">
        <v>2.18E-2</v>
      </c>
      <c r="EF41" s="195">
        <v>2.2700000000000001E-2</v>
      </c>
      <c r="EG41" s="195">
        <v>0.2</v>
      </c>
      <c r="EH41" s="195">
        <v>6.6699999999999995E-2</v>
      </c>
      <c r="EI41" s="195">
        <v>3.0200000000000001E-2</v>
      </c>
      <c r="EL41" s="107">
        <f t="shared" si="31"/>
        <v>0</v>
      </c>
      <c r="EM41" s="107">
        <f t="shared" si="32"/>
        <v>0</v>
      </c>
      <c r="EN41" s="107">
        <f t="shared" si="33"/>
        <v>0</v>
      </c>
      <c r="EO41" s="107">
        <f t="shared" si="34"/>
        <v>0</v>
      </c>
      <c r="EP41" s="107">
        <f t="shared" si="35"/>
        <v>0</v>
      </c>
      <c r="EQ41" s="107">
        <f t="shared" si="54"/>
        <v>0</v>
      </c>
      <c r="ER41" s="107">
        <f t="shared" si="36"/>
        <v>0</v>
      </c>
      <c r="ES41" s="107">
        <f t="shared" si="37"/>
        <v>0</v>
      </c>
      <c r="ET41" s="107">
        <f t="shared" si="38"/>
        <v>0</v>
      </c>
      <c r="EU41" s="107">
        <f t="shared" si="39"/>
        <v>0</v>
      </c>
      <c r="EV41" s="107">
        <f t="shared" si="40"/>
        <v>0</v>
      </c>
      <c r="EW41" s="107">
        <f t="shared" si="41"/>
        <v>0</v>
      </c>
      <c r="EX41" s="107">
        <f t="shared" si="42"/>
        <v>0</v>
      </c>
      <c r="EY41" s="107">
        <f t="shared" si="43"/>
        <v>0</v>
      </c>
      <c r="EZ41" s="107">
        <f t="shared" si="44"/>
        <v>0</v>
      </c>
      <c r="FA41" s="107">
        <f t="shared" si="45"/>
        <v>0</v>
      </c>
      <c r="FB41" s="107">
        <f t="shared" si="46"/>
        <v>0</v>
      </c>
      <c r="FC41" s="107">
        <f t="shared" si="47"/>
        <v>0</v>
      </c>
      <c r="FD41" s="107">
        <f t="shared" si="48"/>
        <v>0</v>
      </c>
      <c r="FE41" s="107">
        <f t="shared" si="49"/>
        <v>23834.225562535987</v>
      </c>
      <c r="FF41" s="107">
        <f t="shared" si="50"/>
        <v>0</v>
      </c>
      <c r="FG41" s="107">
        <f t="shared" si="55"/>
        <v>23834.225562535987</v>
      </c>
      <c r="FH41" s="107"/>
      <c r="FI41" s="213">
        <v>12.5</v>
      </c>
      <c r="FJ41" s="219">
        <f t="shared" si="56"/>
        <v>24827.318294308319</v>
      </c>
      <c r="FK41" s="214">
        <f t="shared" si="57"/>
        <v>332507.39778569149</v>
      </c>
    </row>
    <row r="42" spans="1:176" x14ac:dyDescent="0.35">
      <c r="B42" s="2" t="s">
        <v>330</v>
      </c>
      <c r="C42" s="18">
        <v>38</v>
      </c>
      <c r="D42" s="8">
        <v>0.12</v>
      </c>
      <c r="E42" s="31">
        <v>202194</v>
      </c>
      <c r="F42" s="162" t="s">
        <v>142</v>
      </c>
      <c r="G42" s="187">
        <v>44185</v>
      </c>
      <c r="H42" s="182">
        <v>570654.67499999993</v>
      </c>
      <c r="I42" s="183">
        <v>58984.485000000001</v>
      </c>
      <c r="J42" s="183">
        <v>1663.74</v>
      </c>
      <c r="K42" s="183">
        <v>0</v>
      </c>
      <c r="L42" s="184">
        <f t="shared" si="219"/>
        <v>631302.89999999991</v>
      </c>
      <c r="M42" s="182">
        <v>317081</v>
      </c>
      <c r="N42" s="183">
        <v>12164</v>
      </c>
      <c r="O42" s="183">
        <v>1911</v>
      </c>
      <c r="P42" s="183">
        <v>3669</v>
      </c>
      <c r="Q42" s="184">
        <f t="shared" si="220"/>
        <v>334825</v>
      </c>
      <c r="R42" s="182">
        <f t="shared" si="221"/>
        <v>887735.67499999993</v>
      </c>
      <c r="S42" s="183">
        <f t="shared" si="221"/>
        <v>71148.485000000001</v>
      </c>
      <c r="T42" s="183">
        <f t="shared" si="221"/>
        <v>3574.74</v>
      </c>
      <c r="U42" s="183">
        <f t="shared" si="221"/>
        <v>3669</v>
      </c>
      <c r="V42" s="185"/>
      <c r="W42" s="184">
        <f t="shared" si="222"/>
        <v>966127.89999999991</v>
      </c>
      <c r="AA42" s="14">
        <v>1</v>
      </c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45">
        <f t="shared" si="51"/>
        <v>1</v>
      </c>
      <c r="AX42" s="38">
        <f t="shared" si="223"/>
        <v>966127.89999999991</v>
      </c>
      <c r="AY42" s="38">
        <f t="shared" si="136"/>
        <v>0</v>
      </c>
      <c r="AZ42" s="38">
        <f t="shared" si="137"/>
        <v>0</v>
      </c>
      <c r="BA42" s="38">
        <f t="shared" si="138"/>
        <v>0</v>
      </c>
      <c r="BB42" s="38">
        <f t="shared" si="139"/>
        <v>0</v>
      </c>
      <c r="BC42" s="38">
        <f t="shared" si="140"/>
        <v>0</v>
      </c>
      <c r="BD42" s="38">
        <f t="shared" si="141"/>
        <v>0</v>
      </c>
      <c r="BE42" s="38">
        <f t="shared" si="142"/>
        <v>0</v>
      </c>
      <c r="BF42" s="38">
        <f t="shared" si="143"/>
        <v>0</v>
      </c>
      <c r="BG42" s="38">
        <f t="shared" si="144"/>
        <v>0</v>
      </c>
      <c r="BH42" s="38">
        <f t="shared" si="145"/>
        <v>0</v>
      </c>
      <c r="BI42" s="38">
        <f t="shared" si="146"/>
        <v>0</v>
      </c>
      <c r="BJ42" s="38">
        <f t="shared" si="147"/>
        <v>0</v>
      </c>
      <c r="BK42" s="38">
        <f t="shared" si="148"/>
        <v>0</v>
      </c>
      <c r="BL42" s="38">
        <f t="shared" si="149"/>
        <v>0</v>
      </c>
      <c r="BM42" s="38">
        <f t="shared" si="150"/>
        <v>0</v>
      </c>
      <c r="BN42" s="38">
        <f t="shared" si="151"/>
        <v>0</v>
      </c>
      <c r="BO42" s="38">
        <f t="shared" si="152"/>
        <v>0</v>
      </c>
      <c r="BP42" s="38">
        <f t="shared" si="153"/>
        <v>0</v>
      </c>
      <c r="BQ42" s="38">
        <f t="shared" si="154"/>
        <v>0</v>
      </c>
      <c r="BR42" s="38">
        <f t="shared" si="155"/>
        <v>0</v>
      </c>
      <c r="BS42" s="39">
        <f t="shared" si="52"/>
        <v>966127.89999999991</v>
      </c>
      <c r="BT42" s="48">
        <f t="shared" si="226"/>
        <v>0</v>
      </c>
      <c r="BU42" s="193">
        <f>'[1]Primary and Summary'!$D$105</f>
        <v>0.11529999999999996</v>
      </c>
      <c r="BV42" s="193">
        <f>'[1]Primary and Summary'!$D$105</f>
        <v>0.11529999999999996</v>
      </c>
      <c r="BW42" s="193">
        <f>'[1]Primary and Summary'!$D$111</f>
        <v>0.10809999999999997</v>
      </c>
      <c r="BX42" s="193">
        <f>'[1]Primary and Summary'!$D$111</f>
        <v>0.10809999999999997</v>
      </c>
      <c r="BY42" s="193">
        <f>'[1]Primary and Summary'!$D$111</f>
        <v>0.10809999999999997</v>
      </c>
      <c r="BZ42" s="193">
        <f>'[1]Primary and Summary'!$D$111</f>
        <v>0.10809999999999997</v>
      </c>
      <c r="CA42" s="193">
        <f>'[1]Primary and Summary'!$D$111</f>
        <v>0.10809999999999997</v>
      </c>
      <c r="CB42" s="193">
        <f>'[1]Primary and Summary'!$D$111</f>
        <v>0.10809999999999997</v>
      </c>
      <c r="CC42" s="193">
        <f>'[1]Primary and Summary'!$D$111</f>
        <v>0.10809999999999997</v>
      </c>
      <c r="CD42" s="193">
        <f>'[1]Primary and Summary'!$D$111</f>
        <v>0.10809999999999997</v>
      </c>
      <c r="CE42" s="193">
        <f>'[1]Primary and Summary'!$D$111</f>
        <v>0.10809999999999997</v>
      </c>
      <c r="CF42" s="193">
        <f>'[1]Primary and Summary'!$D$111</f>
        <v>0.10809999999999997</v>
      </c>
      <c r="CG42" s="193">
        <f>'[1]Primary and Summary'!$D$120</f>
        <v>1</v>
      </c>
      <c r="CH42" s="193">
        <f>'[1]Primary and Summary'!$D$120</f>
        <v>1</v>
      </c>
      <c r="CI42" s="193">
        <f>'[1]Primary and Summary'!$D$120</f>
        <v>1</v>
      </c>
      <c r="CJ42" s="193">
        <f>'[1]Primary and Summary'!$D$120</f>
        <v>1</v>
      </c>
      <c r="CK42" s="193">
        <f>'[1]Primary and Summary'!$D$120</f>
        <v>1</v>
      </c>
      <c r="CL42" s="193">
        <f>'[1]Primary and Summary'!$D$120</f>
        <v>1</v>
      </c>
      <c r="CM42" s="193">
        <f>'[1]Primary and Summary'!$D$105</f>
        <v>0.11529999999999996</v>
      </c>
      <c r="CN42" s="193">
        <f>'[1]Primary and Summary'!$D$105</f>
        <v>0.11529999999999996</v>
      </c>
      <c r="CO42" s="193">
        <v>1</v>
      </c>
      <c r="CP42" s="39"/>
      <c r="CR42" s="38">
        <f t="shared" si="225"/>
        <v>111394.54686999995</v>
      </c>
      <c r="CS42" s="38">
        <f t="shared" si="157"/>
        <v>0</v>
      </c>
      <c r="CT42" s="38">
        <f t="shared" si="158"/>
        <v>0</v>
      </c>
      <c r="CU42" s="38">
        <f t="shared" si="159"/>
        <v>0</v>
      </c>
      <c r="CV42" s="38">
        <f t="shared" si="160"/>
        <v>0</v>
      </c>
      <c r="CW42" s="38">
        <f t="shared" si="161"/>
        <v>0</v>
      </c>
      <c r="CX42" s="38">
        <f t="shared" si="162"/>
        <v>0</v>
      </c>
      <c r="CY42" s="38">
        <f t="shared" si="163"/>
        <v>0</v>
      </c>
      <c r="CZ42" s="38">
        <f t="shared" si="164"/>
        <v>0</v>
      </c>
      <c r="DA42" s="38">
        <f t="shared" si="165"/>
        <v>0</v>
      </c>
      <c r="DB42" s="38">
        <f t="shared" si="166"/>
        <v>0</v>
      </c>
      <c r="DC42" s="38">
        <f t="shared" si="167"/>
        <v>0</v>
      </c>
      <c r="DD42" s="38">
        <f t="shared" si="168"/>
        <v>0</v>
      </c>
      <c r="DE42" s="38">
        <f t="shared" si="169"/>
        <v>0</v>
      </c>
      <c r="DF42" s="38">
        <f t="shared" si="170"/>
        <v>0</v>
      </c>
      <c r="DG42" s="38">
        <f t="shared" si="171"/>
        <v>0</v>
      </c>
      <c r="DH42" s="38">
        <f t="shared" si="172"/>
        <v>0</v>
      </c>
      <c r="DI42" s="38">
        <f t="shared" si="173"/>
        <v>0</v>
      </c>
      <c r="DJ42" s="38">
        <f t="shared" si="174"/>
        <v>0</v>
      </c>
      <c r="DK42" s="38">
        <f t="shared" si="175"/>
        <v>0</v>
      </c>
      <c r="DL42" s="38">
        <f t="shared" si="176"/>
        <v>0</v>
      </c>
      <c r="DM42" s="83">
        <f t="shared" si="53"/>
        <v>111394.54686999995</v>
      </c>
      <c r="DO42" s="195">
        <v>6.7799999999999999E-2</v>
      </c>
      <c r="DP42" s="194">
        <f t="shared" si="30"/>
        <v>0.1</v>
      </c>
      <c r="DQ42" s="195">
        <v>1.4999999999999999E-2</v>
      </c>
      <c r="DR42" s="195">
        <v>1.4999999999999999E-2</v>
      </c>
      <c r="DS42" s="195">
        <v>2.06E-2</v>
      </c>
      <c r="DT42" s="195">
        <v>1.78E-2</v>
      </c>
      <c r="DU42" s="195">
        <v>2.2700000000000001E-2</v>
      </c>
      <c r="DV42" s="195">
        <v>2.1700000000000001E-2</v>
      </c>
      <c r="DW42" s="195">
        <v>4.3299999999999998E-2</v>
      </c>
      <c r="DX42" s="195">
        <v>1.3100000000000001E-2</v>
      </c>
      <c r="DY42" s="195">
        <v>4.7000000000000002E-3</v>
      </c>
      <c r="DZ42" s="195">
        <v>3.09E-2</v>
      </c>
      <c r="EA42" s="195">
        <v>1.8800000000000001E-2</v>
      </c>
      <c r="EB42" s="195">
        <v>1.4999999999999999E-2</v>
      </c>
      <c r="EC42" s="195">
        <v>2.5399999999999999E-2</v>
      </c>
      <c r="ED42" s="195">
        <v>2.3199999999999998E-2</v>
      </c>
      <c r="EE42" s="195">
        <v>2.18E-2</v>
      </c>
      <c r="EF42" s="195">
        <v>2.2700000000000001E-2</v>
      </c>
      <c r="EG42" s="195">
        <v>0.2</v>
      </c>
      <c r="EH42" s="195">
        <v>6.6699999999999995E-2</v>
      </c>
      <c r="EI42" s="195">
        <v>3.0200000000000001E-2</v>
      </c>
      <c r="EL42" s="107">
        <f t="shared" si="31"/>
        <v>7552.5502777859965</v>
      </c>
      <c r="EM42" s="107">
        <f t="shared" si="32"/>
        <v>0</v>
      </c>
      <c r="EN42" s="107">
        <f t="shared" si="33"/>
        <v>0</v>
      </c>
      <c r="EO42" s="107">
        <f t="shared" si="34"/>
        <v>0</v>
      </c>
      <c r="EP42" s="107">
        <f t="shared" si="35"/>
        <v>0</v>
      </c>
      <c r="EQ42" s="107">
        <f t="shared" si="54"/>
        <v>0</v>
      </c>
      <c r="ER42" s="107">
        <f t="shared" si="36"/>
        <v>0</v>
      </c>
      <c r="ES42" s="107">
        <f t="shared" si="37"/>
        <v>0</v>
      </c>
      <c r="ET42" s="107">
        <f t="shared" si="38"/>
        <v>0</v>
      </c>
      <c r="EU42" s="107">
        <f t="shared" si="39"/>
        <v>0</v>
      </c>
      <c r="EV42" s="107">
        <f t="shared" si="40"/>
        <v>0</v>
      </c>
      <c r="EW42" s="107">
        <f t="shared" si="41"/>
        <v>0</v>
      </c>
      <c r="EX42" s="107">
        <f t="shared" si="42"/>
        <v>0</v>
      </c>
      <c r="EY42" s="107">
        <f t="shared" si="43"/>
        <v>0</v>
      </c>
      <c r="EZ42" s="107">
        <f t="shared" si="44"/>
        <v>0</v>
      </c>
      <c r="FA42" s="107">
        <f t="shared" si="45"/>
        <v>0</v>
      </c>
      <c r="FB42" s="107">
        <f t="shared" si="46"/>
        <v>0</v>
      </c>
      <c r="FC42" s="107">
        <f t="shared" si="47"/>
        <v>0</v>
      </c>
      <c r="FD42" s="107">
        <f t="shared" si="48"/>
        <v>0</v>
      </c>
      <c r="FE42" s="107">
        <f t="shared" si="49"/>
        <v>0</v>
      </c>
      <c r="FF42" s="107">
        <f t="shared" si="50"/>
        <v>0</v>
      </c>
      <c r="FG42" s="107">
        <f t="shared" si="55"/>
        <v>7552.5502777859965</v>
      </c>
      <c r="FH42" s="107"/>
      <c r="FI42" s="213">
        <v>10.5</v>
      </c>
      <c r="FJ42" s="219">
        <f t="shared" si="56"/>
        <v>6608.4814930627463</v>
      </c>
      <c r="FK42" s="214">
        <f t="shared" si="57"/>
        <v>104786.0653769372</v>
      </c>
    </row>
    <row r="43" spans="1:176" x14ac:dyDescent="0.35">
      <c r="B43" s="2" t="s">
        <v>330</v>
      </c>
      <c r="C43" s="18">
        <v>38</v>
      </c>
      <c r="D43" s="8">
        <v>0.12</v>
      </c>
      <c r="E43" s="31">
        <v>202194</v>
      </c>
      <c r="F43" s="162" t="s">
        <v>143</v>
      </c>
      <c r="G43" s="187">
        <v>44185</v>
      </c>
      <c r="H43" s="182">
        <v>570654.67499999993</v>
      </c>
      <c r="I43" s="183">
        <v>58984.485000000001</v>
      </c>
      <c r="J43" s="183">
        <v>1663.74</v>
      </c>
      <c r="K43" s="183">
        <v>0</v>
      </c>
      <c r="L43" s="184">
        <f t="shared" si="219"/>
        <v>631302.89999999991</v>
      </c>
      <c r="M43" s="182">
        <v>317081</v>
      </c>
      <c r="N43" s="183">
        <v>12164</v>
      </c>
      <c r="O43" s="183">
        <v>1911</v>
      </c>
      <c r="P43" s="183">
        <v>3669</v>
      </c>
      <c r="Q43" s="184">
        <f t="shared" si="220"/>
        <v>334825</v>
      </c>
      <c r="R43" s="182">
        <f t="shared" si="221"/>
        <v>887735.67499999993</v>
      </c>
      <c r="S43" s="183">
        <f t="shared" si="221"/>
        <v>71148.485000000001</v>
      </c>
      <c r="T43" s="183">
        <f t="shared" si="221"/>
        <v>3574.74</v>
      </c>
      <c r="U43" s="183">
        <f t="shared" si="221"/>
        <v>3669</v>
      </c>
      <c r="V43" s="185"/>
      <c r="W43" s="184">
        <f t="shared" si="222"/>
        <v>966127.89999999991</v>
      </c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>
        <v>1</v>
      </c>
      <c r="AT43" s="14"/>
      <c r="AU43" s="14"/>
      <c r="AV43" s="45">
        <f t="shared" si="51"/>
        <v>1</v>
      </c>
      <c r="AX43" s="38">
        <f t="shared" si="223"/>
        <v>0</v>
      </c>
      <c r="AY43" s="38">
        <f t="shared" si="136"/>
        <v>0</v>
      </c>
      <c r="AZ43" s="38">
        <f t="shared" si="137"/>
        <v>0</v>
      </c>
      <c r="BA43" s="38">
        <f t="shared" si="138"/>
        <v>0</v>
      </c>
      <c r="BB43" s="38">
        <f t="shared" si="139"/>
        <v>0</v>
      </c>
      <c r="BC43" s="38">
        <f t="shared" si="140"/>
        <v>0</v>
      </c>
      <c r="BD43" s="38">
        <f t="shared" si="141"/>
        <v>0</v>
      </c>
      <c r="BE43" s="38">
        <f t="shared" si="142"/>
        <v>0</v>
      </c>
      <c r="BF43" s="38">
        <f t="shared" si="143"/>
        <v>0</v>
      </c>
      <c r="BG43" s="38">
        <f t="shared" si="144"/>
        <v>0</v>
      </c>
      <c r="BH43" s="38">
        <f t="shared" si="145"/>
        <v>0</v>
      </c>
      <c r="BI43" s="38">
        <f t="shared" si="146"/>
        <v>0</v>
      </c>
      <c r="BJ43" s="38">
        <f t="shared" si="147"/>
        <v>0</v>
      </c>
      <c r="BK43" s="38">
        <f t="shared" si="148"/>
        <v>0</v>
      </c>
      <c r="BL43" s="38">
        <f t="shared" si="149"/>
        <v>0</v>
      </c>
      <c r="BM43" s="38">
        <f t="shared" si="150"/>
        <v>0</v>
      </c>
      <c r="BN43" s="38">
        <f t="shared" si="151"/>
        <v>0</v>
      </c>
      <c r="BO43" s="38">
        <f t="shared" si="152"/>
        <v>0</v>
      </c>
      <c r="BP43" s="38">
        <f t="shared" si="153"/>
        <v>966127.89999999991</v>
      </c>
      <c r="BQ43" s="38">
        <f t="shared" si="154"/>
        <v>0</v>
      </c>
      <c r="BR43" s="38">
        <f t="shared" si="155"/>
        <v>0</v>
      </c>
      <c r="BS43" s="39">
        <f t="shared" si="52"/>
        <v>966127.89999999991</v>
      </c>
      <c r="BT43" s="48">
        <f t="shared" si="226"/>
        <v>0</v>
      </c>
      <c r="BU43" s="193">
        <f>'[1]Primary and Summary'!$D$105</f>
        <v>0.11529999999999996</v>
      </c>
      <c r="BV43" s="193">
        <f>'[1]Primary and Summary'!$D$105</f>
        <v>0.11529999999999996</v>
      </c>
      <c r="BW43" s="193">
        <f>'[1]Primary and Summary'!$D$111</f>
        <v>0.10809999999999997</v>
      </c>
      <c r="BX43" s="193">
        <f>'[1]Primary and Summary'!$D$111</f>
        <v>0.10809999999999997</v>
      </c>
      <c r="BY43" s="193">
        <f>'[1]Primary and Summary'!$D$111</f>
        <v>0.10809999999999997</v>
      </c>
      <c r="BZ43" s="193">
        <f>'[1]Primary and Summary'!$D$111</f>
        <v>0.10809999999999997</v>
      </c>
      <c r="CA43" s="193">
        <f>'[1]Primary and Summary'!$D$111</f>
        <v>0.10809999999999997</v>
      </c>
      <c r="CB43" s="193">
        <f>'[1]Primary and Summary'!$D$111</f>
        <v>0.10809999999999997</v>
      </c>
      <c r="CC43" s="193">
        <f>'[1]Primary and Summary'!$D$111</f>
        <v>0.10809999999999997</v>
      </c>
      <c r="CD43" s="193">
        <f>'[1]Primary and Summary'!$D$111</f>
        <v>0.10809999999999997</v>
      </c>
      <c r="CE43" s="193">
        <f>'[1]Primary and Summary'!$D$111</f>
        <v>0.10809999999999997</v>
      </c>
      <c r="CF43" s="193">
        <f>'[1]Primary and Summary'!$D$111</f>
        <v>0.10809999999999997</v>
      </c>
      <c r="CG43" s="193">
        <f>'[1]Primary and Summary'!$D$120</f>
        <v>1</v>
      </c>
      <c r="CH43" s="193">
        <f>'[1]Primary and Summary'!$D$120</f>
        <v>1</v>
      </c>
      <c r="CI43" s="193">
        <f>'[1]Primary and Summary'!$D$120</f>
        <v>1</v>
      </c>
      <c r="CJ43" s="193">
        <f>'[1]Primary and Summary'!$D$120</f>
        <v>1</v>
      </c>
      <c r="CK43" s="193">
        <f>'[1]Primary and Summary'!$D$120</f>
        <v>1</v>
      </c>
      <c r="CL43" s="193">
        <f>'[1]Primary and Summary'!$D$120</f>
        <v>1</v>
      </c>
      <c r="CM43" s="193">
        <f>'[1]Primary and Summary'!$D$105</f>
        <v>0.11529999999999996</v>
      </c>
      <c r="CN43" s="193">
        <f>'[1]Primary and Summary'!$D$105</f>
        <v>0.11529999999999996</v>
      </c>
      <c r="CO43" s="193">
        <v>1</v>
      </c>
      <c r="CP43" s="39"/>
      <c r="CR43" s="38">
        <f t="shared" si="225"/>
        <v>0</v>
      </c>
      <c r="CS43" s="38">
        <f t="shared" si="157"/>
        <v>0</v>
      </c>
      <c r="CT43" s="38">
        <f t="shared" si="158"/>
        <v>0</v>
      </c>
      <c r="CU43" s="38">
        <f t="shared" si="159"/>
        <v>0</v>
      </c>
      <c r="CV43" s="38">
        <f t="shared" si="160"/>
        <v>0</v>
      </c>
      <c r="CW43" s="38">
        <f t="shared" si="161"/>
        <v>0</v>
      </c>
      <c r="CX43" s="38">
        <f t="shared" si="162"/>
        <v>0</v>
      </c>
      <c r="CY43" s="38">
        <f t="shared" si="163"/>
        <v>0</v>
      </c>
      <c r="CZ43" s="38">
        <f t="shared" si="164"/>
        <v>0</v>
      </c>
      <c r="DA43" s="38">
        <f t="shared" si="165"/>
        <v>0</v>
      </c>
      <c r="DB43" s="38">
        <f t="shared" si="166"/>
        <v>0</v>
      </c>
      <c r="DC43" s="38">
        <f t="shared" si="167"/>
        <v>0</v>
      </c>
      <c r="DD43" s="38">
        <f t="shared" si="168"/>
        <v>0</v>
      </c>
      <c r="DE43" s="38">
        <f t="shared" si="169"/>
        <v>0</v>
      </c>
      <c r="DF43" s="38">
        <f t="shared" si="170"/>
        <v>0</v>
      </c>
      <c r="DG43" s="38">
        <f t="shared" si="171"/>
        <v>0</v>
      </c>
      <c r="DH43" s="38">
        <f t="shared" si="172"/>
        <v>0</v>
      </c>
      <c r="DI43" s="38">
        <f t="shared" si="173"/>
        <v>0</v>
      </c>
      <c r="DJ43" s="38">
        <f t="shared" si="174"/>
        <v>111394.54686999995</v>
      </c>
      <c r="DK43" s="38">
        <f t="shared" si="175"/>
        <v>0</v>
      </c>
      <c r="DL43" s="38">
        <f t="shared" si="176"/>
        <v>0</v>
      </c>
      <c r="DM43" s="83">
        <f t="shared" si="53"/>
        <v>111394.54686999995</v>
      </c>
      <c r="DO43" s="195">
        <v>6.7799999999999999E-2</v>
      </c>
      <c r="DP43" s="194">
        <f t="shared" si="30"/>
        <v>0.1</v>
      </c>
      <c r="DQ43" s="195">
        <v>1.4999999999999999E-2</v>
      </c>
      <c r="DR43" s="195">
        <v>1.4999999999999999E-2</v>
      </c>
      <c r="DS43" s="195">
        <v>2.06E-2</v>
      </c>
      <c r="DT43" s="195">
        <v>1.78E-2</v>
      </c>
      <c r="DU43" s="195">
        <v>2.2700000000000001E-2</v>
      </c>
      <c r="DV43" s="195">
        <v>2.1700000000000001E-2</v>
      </c>
      <c r="DW43" s="195">
        <v>4.3299999999999998E-2</v>
      </c>
      <c r="DX43" s="195">
        <v>1.3100000000000001E-2</v>
      </c>
      <c r="DY43" s="195">
        <v>4.7000000000000002E-3</v>
      </c>
      <c r="DZ43" s="195">
        <v>3.09E-2</v>
      </c>
      <c r="EA43" s="195">
        <v>1.8800000000000001E-2</v>
      </c>
      <c r="EB43" s="195">
        <v>1.4999999999999999E-2</v>
      </c>
      <c r="EC43" s="195">
        <v>2.5399999999999999E-2</v>
      </c>
      <c r="ED43" s="195">
        <v>2.3199999999999998E-2</v>
      </c>
      <c r="EE43" s="195">
        <v>2.18E-2</v>
      </c>
      <c r="EF43" s="195">
        <v>2.2700000000000001E-2</v>
      </c>
      <c r="EG43" s="195">
        <v>0.2</v>
      </c>
      <c r="EH43" s="195">
        <v>6.6699999999999995E-2</v>
      </c>
      <c r="EI43" s="195">
        <v>3.0200000000000001E-2</v>
      </c>
      <c r="EL43" s="107">
        <f t="shared" si="31"/>
        <v>0</v>
      </c>
      <c r="EM43" s="107">
        <f t="shared" si="32"/>
        <v>0</v>
      </c>
      <c r="EN43" s="107">
        <f t="shared" si="33"/>
        <v>0</v>
      </c>
      <c r="EO43" s="107">
        <f t="shared" si="34"/>
        <v>0</v>
      </c>
      <c r="EP43" s="107">
        <f t="shared" si="35"/>
        <v>0</v>
      </c>
      <c r="EQ43" s="107">
        <f t="shared" si="54"/>
        <v>0</v>
      </c>
      <c r="ER43" s="107">
        <f t="shared" si="36"/>
        <v>0</v>
      </c>
      <c r="ES43" s="107">
        <f t="shared" si="37"/>
        <v>0</v>
      </c>
      <c r="ET43" s="107">
        <f t="shared" si="38"/>
        <v>0</v>
      </c>
      <c r="EU43" s="107">
        <f t="shared" si="39"/>
        <v>0</v>
      </c>
      <c r="EV43" s="107">
        <f t="shared" si="40"/>
        <v>0</v>
      </c>
      <c r="EW43" s="107">
        <f t="shared" si="41"/>
        <v>0</v>
      </c>
      <c r="EX43" s="107">
        <f t="shared" si="42"/>
        <v>0</v>
      </c>
      <c r="EY43" s="107">
        <f t="shared" si="43"/>
        <v>0</v>
      </c>
      <c r="EZ43" s="107">
        <f t="shared" si="44"/>
        <v>0</v>
      </c>
      <c r="FA43" s="107">
        <f t="shared" si="45"/>
        <v>0</v>
      </c>
      <c r="FB43" s="107">
        <f t="shared" si="46"/>
        <v>0</v>
      </c>
      <c r="FC43" s="107">
        <f t="shared" si="47"/>
        <v>0</v>
      </c>
      <c r="FD43" s="107">
        <f t="shared" si="48"/>
        <v>22278.909373999992</v>
      </c>
      <c r="FE43" s="107">
        <f t="shared" si="49"/>
        <v>0</v>
      </c>
      <c r="FF43" s="107">
        <f t="shared" si="50"/>
        <v>0</v>
      </c>
      <c r="FG43" s="107">
        <f t="shared" si="55"/>
        <v>22278.909373999992</v>
      </c>
      <c r="FH43" s="107"/>
      <c r="FI43" s="213">
        <v>10.5</v>
      </c>
      <c r="FJ43" s="219">
        <f t="shared" si="56"/>
        <v>19494.045702249994</v>
      </c>
      <c r="FK43" s="214">
        <f t="shared" si="57"/>
        <v>91900.501167749957</v>
      </c>
    </row>
    <row r="44" spans="1:176" s="61" customFormat="1" x14ac:dyDescent="0.35">
      <c r="A44" s="190" t="s">
        <v>154</v>
      </c>
      <c r="B44" s="2" t="s">
        <v>330</v>
      </c>
      <c r="C44" s="61">
        <v>38</v>
      </c>
      <c r="D44" s="63">
        <v>0.12</v>
      </c>
      <c r="E44" s="31">
        <v>202094</v>
      </c>
      <c r="F44" s="162" t="s">
        <v>148</v>
      </c>
      <c r="G44" s="187">
        <v>44228</v>
      </c>
      <c r="H44" s="182">
        <f>IFERROR(VLOOKUP($E44,'Actuals (BI Report)'!$A$2:$H$35,4,FALSE),"")</f>
        <v>698637.04999999993</v>
      </c>
      <c r="I44" s="183">
        <f>IFERROR(VLOOKUP($E44,'Actuals (BI Report)'!$A$2:$H$35,7,FALSE),"")</f>
        <v>68393.13</v>
      </c>
      <c r="J44" s="183">
        <f>IFERROR(VLOOKUP($E44,'Actuals (BI Report)'!$A$2:$H$35,5,FALSE),"")</f>
        <v>3818.54</v>
      </c>
      <c r="K44" s="183">
        <f>IFERROR(VLOOKUP($E44,'Actuals (BI Report)'!$A$2:$H$35,6,FALSE),"")</f>
        <v>0</v>
      </c>
      <c r="L44" s="184">
        <f t="shared" si="219"/>
        <v>770848.72</v>
      </c>
      <c r="M44" s="182">
        <v>861062</v>
      </c>
      <c r="N44" s="183">
        <v>31151</v>
      </c>
      <c r="O44" s="183">
        <v>2823</v>
      </c>
      <c r="P44" s="183">
        <v>5418</v>
      </c>
      <c r="Q44" s="184">
        <f t="shared" si="220"/>
        <v>900454</v>
      </c>
      <c r="R44" s="182">
        <f t="shared" si="221"/>
        <v>1559699.0499999998</v>
      </c>
      <c r="S44" s="183">
        <f t="shared" si="221"/>
        <v>99544.13</v>
      </c>
      <c r="T44" s="183">
        <f t="shared" si="221"/>
        <v>6641.54</v>
      </c>
      <c r="U44" s="183">
        <f t="shared" si="221"/>
        <v>5418</v>
      </c>
      <c r="V44" s="185"/>
      <c r="W44" s="184">
        <f t="shared" si="222"/>
        <v>1671302.7199999997</v>
      </c>
      <c r="X44" s="61">
        <v>44075</v>
      </c>
      <c r="AA44" s="14"/>
      <c r="AB44" s="14">
        <v>1</v>
      </c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45">
        <f t="shared" si="51"/>
        <v>1</v>
      </c>
      <c r="AX44" s="38">
        <f t="shared" si="223"/>
        <v>0</v>
      </c>
      <c r="AY44" s="38">
        <f t="shared" si="136"/>
        <v>1671302.7199999997</v>
      </c>
      <c r="AZ44" s="38">
        <f t="shared" si="137"/>
        <v>0</v>
      </c>
      <c r="BA44" s="38">
        <f t="shared" si="138"/>
        <v>0</v>
      </c>
      <c r="BB44" s="38">
        <f t="shared" si="139"/>
        <v>0</v>
      </c>
      <c r="BC44" s="38">
        <f t="shared" si="140"/>
        <v>0</v>
      </c>
      <c r="BD44" s="38">
        <f t="shared" si="141"/>
        <v>0</v>
      </c>
      <c r="BE44" s="38">
        <f t="shared" si="142"/>
        <v>0</v>
      </c>
      <c r="BF44" s="38">
        <f t="shared" si="143"/>
        <v>0</v>
      </c>
      <c r="BG44" s="38">
        <f t="shared" si="144"/>
        <v>0</v>
      </c>
      <c r="BH44" s="38">
        <f t="shared" si="145"/>
        <v>0</v>
      </c>
      <c r="BI44" s="38">
        <f t="shared" si="146"/>
        <v>0</v>
      </c>
      <c r="BJ44" s="38">
        <f t="shared" si="147"/>
        <v>0</v>
      </c>
      <c r="BK44" s="38">
        <f t="shared" si="148"/>
        <v>0</v>
      </c>
      <c r="BL44" s="38">
        <f t="shared" si="149"/>
        <v>0</v>
      </c>
      <c r="BM44" s="38">
        <f t="shared" si="150"/>
        <v>0</v>
      </c>
      <c r="BN44" s="38">
        <f t="shared" si="151"/>
        <v>0</v>
      </c>
      <c r="BO44" s="38">
        <f t="shared" si="152"/>
        <v>0</v>
      </c>
      <c r="BP44" s="38">
        <f t="shared" si="153"/>
        <v>0</v>
      </c>
      <c r="BQ44" s="38">
        <f t="shared" si="154"/>
        <v>0</v>
      </c>
      <c r="BR44" s="38">
        <f t="shared" si="155"/>
        <v>0</v>
      </c>
      <c r="BS44" s="39">
        <f t="shared" si="52"/>
        <v>1671302.7199999997</v>
      </c>
      <c r="BT44" s="48">
        <f t="shared" si="226"/>
        <v>0</v>
      </c>
      <c r="BU44" s="193">
        <f>'[1]Primary and Summary'!$D$105</f>
        <v>0.11529999999999996</v>
      </c>
      <c r="BV44" s="193">
        <f>'[1]Primary and Summary'!$D$105</f>
        <v>0.11529999999999996</v>
      </c>
      <c r="BW44" s="193">
        <f>'[1]Primary and Summary'!$D$111</f>
        <v>0.10809999999999997</v>
      </c>
      <c r="BX44" s="193">
        <f>'[1]Primary and Summary'!$D$111</f>
        <v>0.10809999999999997</v>
      </c>
      <c r="BY44" s="193">
        <f>'[1]Primary and Summary'!$D$111</f>
        <v>0.10809999999999997</v>
      </c>
      <c r="BZ44" s="193">
        <f>'[1]Primary and Summary'!$D$111</f>
        <v>0.10809999999999997</v>
      </c>
      <c r="CA44" s="193">
        <f>'[1]Primary and Summary'!$D$111</f>
        <v>0.10809999999999997</v>
      </c>
      <c r="CB44" s="193">
        <f>'[1]Primary and Summary'!$D$111</f>
        <v>0.10809999999999997</v>
      </c>
      <c r="CC44" s="193">
        <f>'[1]Primary and Summary'!$D$111</f>
        <v>0.10809999999999997</v>
      </c>
      <c r="CD44" s="193">
        <f>'[1]Primary and Summary'!$D$111</f>
        <v>0.10809999999999997</v>
      </c>
      <c r="CE44" s="193">
        <f>'[1]Primary and Summary'!$D$111</f>
        <v>0.10809999999999997</v>
      </c>
      <c r="CF44" s="193">
        <f>'[1]Primary and Summary'!$D$111</f>
        <v>0.10809999999999997</v>
      </c>
      <c r="CG44" s="193">
        <f>'[1]Primary and Summary'!$D$120</f>
        <v>1</v>
      </c>
      <c r="CH44" s="193">
        <f>'[1]Primary and Summary'!$D$120</f>
        <v>1</v>
      </c>
      <c r="CI44" s="193">
        <f>'[1]Primary and Summary'!$D$120</f>
        <v>1</v>
      </c>
      <c r="CJ44" s="193">
        <f>'[1]Primary and Summary'!$D$120</f>
        <v>1</v>
      </c>
      <c r="CK44" s="193">
        <f>'[1]Primary and Summary'!$D$120</f>
        <v>1</v>
      </c>
      <c r="CL44" s="193">
        <f>'[1]Primary and Summary'!$D$120</f>
        <v>1</v>
      </c>
      <c r="CM44" s="193">
        <f>'[1]Primary and Summary'!$D$105</f>
        <v>0.11529999999999996</v>
      </c>
      <c r="CN44" s="193">
        <f>'[1]Primary and Summary'!$D$105</f>
        <v>0.11529999999999996</v>
      </c>
      <c r="CO44" s="193">
        <v>1</v>
      </c>
      <c r="CP44" s="39"/>
      <c r="CR44" s="38">
        <f t="shared" si="225"/>
        <v>0</v>
      </c>
      <c r="CS44" s="38">
        <f t="shared" si="157"/>
        <v>192701.2036159999</v>
      </c>
      <c r="CT44" s="38">
        <f t="shared" si="158"/>
        <v>0</v>
      </c>
      <c r="CU44" s="38">
        <f t="shared" si="159"/>
        <v>0</v>
      </c>
      <c r="CV44" s="38">
        <f t="shared" si="160"/>
        <v>0</v>
      </c>
      <c r="CW44" s="38">
        <f t="shared" si="161"/>
        <v>0</v>
      </c>
      <c r="CX44" s="38">
        <f t="shared" si="162"/>
        <v>0</v>
      </c>
      <c r="CY44" s="38">
        <f t="shared" si="163"/>
        <v>0</v>
      </c>
      <c r="CZ44" s="38">
        <f t="shared" si="164"/>
        <v>0</v>
      </c>
      <c r="DA44" s="38">
        <f t="shared" si="165"/>
        <v>0</v>
      </c>
      <c r="DB44" s="38">
        <f t="shared" si="166"/>
        <v>0</v>
      </c>
      <c r="DC44" s="38">
        <f t="shared" si="167"/>
        <v>0</v>
      </c>
      <c r="DD44" s="38">
        <f t="shared" si="168"/>
        <v>0</v>
      </c>
      <c r="DE44" s="38">
        <f t="shared" si="169"/>
        <v>0</v>
      </c>
      <c r="DF44" s="38">
        <f t="shared" si="170"/>
        <v>0</v>
      </c>
      <c r="DG44" s="38">
        <f t="shared" si="171"/>
        <v>0</v>
      </c>
      <c r="DH44" s="38">
        <f t="shared" si="172"/>
        <v>0</v>
      </c>
      <c r="DI44" s="38">
        <f t="shared" si="173"/>
        <v>0</v>
      </c>
      <c r="DJ44" s="38">
        <f t="shared" si="174"/>
        <v>0</v>
      </c>
      <c r="DK44" s="38">
        <f t="shared" si="175"/>
        <v>0</v>
      </c>
      <c r="DL44" s="38">
        <f t="shared" si="176"/>
        <v>0</v>
      </c>
      <c r="DM44" s="83">
        <f t="shared" si="53"/>
        <v>192701.2036159999</v>
      </c>
      <c r="DO44" s="195">
        <v>6.7799999999999999E-2</v>
      </c>
      <c r="DP44" s="194">
        <f>1/4</f>
        <v>0.25</v>
      </c>
      <c r="DQ44" s="195">
        <v>1.4999999999999999E-2</v>
      </c>
      <c r="DR44" s="195">
        <v>1.4999999999999999E-2</v>
      </c>
      <c r="DS44" s="195">
        <v>2.06E-2</v>
      </c>
      <c r="DT44" s="195">
        <v>1.78E-2</v>
      </c>
      <c r="DU44" s="195">
        <v>2.2700000000000001E-2</v>
      </c>
      <c r="DV44" s="195">
        <v>2.1700000000000001E-2</v>
      </c>
      <c r="DW44" s="195">
        <v>4.3299999999999998E-2</v>
      </c>
      <c r="DX44" s="195">
        <v>1.3100000000000001E-2</v>
      </c>
      <c r="DY44" s="195">
        <v>4.7000000000000002E-3</v>
      </c>
      <c r="DZ44" s="195">
        <v>3.09E-2</v>
      </c>
      <c r="EA44" s="195">
        <v>1.8800000000000001E-2</v>
      </c>
      <c r="EB44" s="195">
        <v>1.4999999999999999E-2</v>
      </c>
      <c r="EC44" s="195">
        <v>2.5399999999999999E-2</v>
      </c>
      <c r="ED44" s="195">
        <v>2.3199999999999998E-2</v>
      </c>
      <c r="EE44" s="195">
        <v>2.18E-2</v>
      </c>
      <c r="EF44" s="195">
        <v>2.2700000000000001E-2</v>
      </c>
      <c r="EG44" s="195">
        <v>0.2</v>
      </c>
      <c r="EH44" s="195">
        <v>6.6699999999999995E-2</v>
      </c>
      <c r="EI44" s="195">
        <v>3.0200000000000001E-2</v>
      </c>
      <c r="EL44" s="107">
        <f t="shared" si="31"/>
        <v>0</v>
      </c>
      <c r="EM44" s="107">
        <f t="shared" si="32"/>
        <v>48175.300903999974</v>
      </c>
      <c r="EN44" s="107">
        <f t="shared" si="33"/>
        <v>0</v>
      </c>
      <c r="EO44" s="107">
        <f t="shared" si="34"/>
        <v>0</v>
      </c>
      <c r="EP44" s="107">
        <f t="shared" si="35"/>
        <v>0</v>
      </c>
      <c r="EQ44" s="107">
        <f t="shared" si="54"/>
        <v>0</v>
      </c>
      <c r="ER44" s="107">
        <f t="shared" si="36"/>
        <v>0</v>
      </c>
      <c r="ES44" s="107">
        <f t="shared" si="37"/>
        <v>0</v>
      </c>
      <c r="ET44" s="107">
        <f t="shared" si="38"/>
        <v>0</v>
      </c>
      <c r="EU44" s="107">
        <f t="shared" si="39"/>
        <v>0</v>
      </c>
      <c r="EV44" s="107">
        <f t="shared" si="40"/>
        <v>0</v>
      </c>
      <c r="EW44" s="107">
        <f t="shared" si="41"/>
        <v>0</v>
      </c>
      <c r="EX44" s="107">
        <f t="shared" si="42"/>
        <v>0</v>
      </c>
      <c r="EY44" s="107">
        <f t="shared" si="43"/>
        <v>0</v>
      </c>
      <c r="EZ44" s="107">
        <f t="shared" si="44"/>
        <v>0</v>
      </c>
      <c r="FA44" s="107">
        <f t="shared" si="45"/>
        <v>0</v>
      </c>
      <c r="FB44" s="107">
        <f t="shared" si="46"/>
        <v>0</v>
      </c>
      <c r="FC44" s="107">
        <f t="shared" si="47"/>
        <v>0</v>
      </c>
      <c r="FD44" s="107">
        <f t="shared" si="48"/>
        <v>0</v>
      </c>
      <c r="FE44" s="107">
        <f t="shared" si="49"/>
        <v>0</v>
      </c>
      <c r="FF44" s="107">
        <f t="shared" si="50"/>
        <v>0</v>
      </c>
      <c r="FG44" s="107">
        <f t="shared" si="55"/>
        <v>48175.300903999974</v>
      </c>
      <c r="FH44" s="107"/>
      <c r="FI44" s="213">
        <v>8.5</v>
      </c>
      <c r="FJ44" s="219">
        <f t="shared" si="56"/>
        <v>34124.171473666647</v>
      </c>
      <c r="FK44" s="214">
        <f t="shared" si="57"/>
        <v>158577.03214233325</v>
      </c>
    </row>
    <row r="45" spans="1:176" x14ac:dyDescent="0.35">
      <c r="A45" s="62"/>
      <c r="B45" s="2" t="s">
        <v>330</v>
      </c>
      <c r="C45" s="62">
        <v>38</v>
      </c>
      <c r="D45" s="14">
        <v>0.12</v>
      </c>
      <c r="E45" s="58">
        <v>202182</v>
      </c>
      <c r="F45" s="162" t="s">
        <v>353</v>
      </c>
      <c r="G45" s="187">
        <v>44348</v>
      </c>
      <c r="H45" s="182">
        <f>IFERROR(VLOOKUP($E45,'Actuals (BI Report)'!$A$2:$H$35,4,FALSE),"")</f>
        <v>353628.11000000004</v>
      </c>
      <c r="I45" s="183">
        <f>IFERROR(VLOOKUP($E45,'Actuals (BI Report)'!$A$2:$H$35,7,FALSE),"")</f>
        <v>34372.300000000003</v>
      </c>
      <c r="J45" s="183">
        <f>IFERROR(VLOOKUP($E45,'Actuals (BI Report)'!$A$2:$H$35,5,FALSE),"")</f>
        <v>1321.87</v>
      </c>
      <c r="K45" s="183">
        <f>IFERROR(VLOOKUP($E45,'Actuals (BI Report)'!$A$2:$H$35,6,FALSE),"")</f>
        <v>0</v>
      </c>
      <c r="L45" s="184">
        <f t="shared" si="219"/>
        <v>389322.28</v>
      </c>
      <c r="M45" s="182">
        <v>1189685</v>
      </c>
      <c r="N45" s="183">
        <v>63917</v>
      </c>
      <c r="O45" s="183">
        <v>3822</v>
      </c>
      <c r="P45" s="183">
        <v>8572</v>
      </c>
      <c r="Q45" s="184">
        <f t="shared" si="220"/>
        <v>1265996</v>
      </c>
      <c r="R45" s="182">
        <f t="shared" ref="R45:U45" si="227">IFERROR(H45+M45,"")</f>
        <v>1543313.11</v>
      </c>
      <c r="S45" s="183">
        <f t="shared" si="227"/>
        <v>98289.3</v>
      </c>
      <c r="T45" s="183">
        <f t="shared" si="227"/>
        <v>5143.87</v>
      </c>
      <c r="U45" s="183">
        <f t="shared" si="227"/>
        <v>8572</v>
      </c>
      <c r="V45" s="185"/>
      <c r="W45" s="184">
        <f t="shared" si="222"/>
        <v>1655318.2800000003</v>
      </c>
      <c r="X45" s="22">
        <v>44228</v>
      </c>
      <c r="Y45" s="21"/>
      <c r="Z45" s="41"/>
      <c r="AA45" s="14"/>
      <c r="AB45" s="14">
        <v>1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45">
        <f t="shared" si="51"/>
        <v>1</v>
      </c>
      <c r="AW45" s="41"/>
      <c r="AX45" s="38">
        <f t="shared" si="223"/>
        <v>0</v>
      </c>
      <c r="AY45" s="38">
        <f t="shared" si="136"/>
        <v>1655318.2800000003</v>
      </c>
      <c r="AZ45" s="38">
        <f t="shared" si="137"/>
        <v>0</v>
      </c>
      <c r="BA45" s="38">
        <f t="shared" si="138"/>
        <v>0</v>
      </c>
      <c r="BB45" s="38">
        <f t="shared" si="139"/>
        <v>0</v>
      </c>
      <c r="BC45" s="38">
        <f t="shared" si="140"/>
        <v>0</v>
      </c>
      <c r="BD45" s="38">
        <f t="shared" si="141"/>
        <v>0</v>
      </c>
      <c r="BE45" s="38">
        <f t="shared" si="142"/>
        <v>0</v>
      </c>
      <c r="BF45" s="38">
        <f t="shared" si="143"/>
        <v>0</v>
      </c>
      <c r="BG45" s="38">
        <f t="shared" si="144"/>
        <v>0</v>
      </c>
      <c r="BH45" s="38">
        <f t="shared" si="145"/>
        <v>0</v>
      </c>
      <c r="BI45" s="38">
        <f t="shared" si="146"/>
        <v>0</v>
      </c>
      <c r="BJ45" s="38">
        <f t="shared" si="147"/>
        <v>0</v>
      </c>
      <c r="BK45" s="38">
        <f t="shared" si="148"/>
        <v>0</v>
      </c>
      <c r="BL45" s="38">
        <f t="shared" si="149"/>
        <v>0</v>
      </c>
      <c r="BM45" s="38">
        <f t="shared" si="150"/>
        <v>0</v>
      </c>
      <c r="BN45" s="38">
        <f t="shared" si="151"/>
        <v>0</v>
      </c>
      <c r="BO45" s="38">
        <f t="shared" si="152"/>
        <v>0</v>
      </c>
      <c r="BP45" s="38">
        <f t="shared" si="153"/>
        <v>0</v>
      </c>
      <c r="BQ45" s="38">
        <f t="shared" si="154"/>
        <v>0</v>
      </c>
      <c r="BR45" s="38">
        <f t="shared" si="155"/>
        <v>0</v>
      </c>
      <c r="BS45" s="39">
        <f t="shared" si="52"/>
        <v>1655318.2800000003</v>
      </c>
      <c r="BT45" s="48">
        <f t="shared" si="226"/>
        <v>0</v>
      </c>
      <c r="BU45" s="193">
        <f>'[1]Primary and Summary'!$D$105</f>
        <v>0.11529999999999996</v>
      </c>
      <c r="BV45" s="193">
        <f>'[1]Primary and Summary'!$D$105</f>
        <v>0.11529999999999996</v>
      </c>
      <c r="BW45" s="193">
        <f>'[1]Primary and Summary'!$D$111</f>
        <v>0.10809999999999997</v>
      </c>
      <c r="BX45" s="193">
        <f>'[1]Primary and Summary'!$D$111</f>
        <v>0.10809999999999997</v>
      </c>
      <c r="BY45" s="193">
        <f>'[1]Primary and Summary'!$D$111</f>
        <v>0.10809999999999997</v>
      </c>
      <c r="BZ45" s="193">
        <f>'[1]Primary and Summary'!$D$111</f>
        <v>0.10809999999999997</v>
      </c>
      <c r="CA45" s="193">
        <f>'[1]Primary and Summary'!$D$111</f>
        <v>0.10809999999999997</v>
      </c>
      <c r="CB45" s="193">
        <f>'[1]Primary and Summary'!$D$111</f>
        <v>0.10809999999999997</v>
      </c>
      <c r="CC45" s="193">
        <f>'[1]Primary and Summary'!$D$111</f>
        <v>0.10809999999999997</v>
      </c>
      <c r="CD45" s="193">
        <f>'[1]Primary and Summary'!$D$111</f>
        <v>0.10809999999999997</v>
      </c>
      <c r="CE45" s="193">
        <f>'[1]Primary and Summary'!$D$111</f>
        <v>0.10809999999999997</v>
      </c>
      <c r="CF45" s="193">
        <f>'[1]Primary and Summary'!$D$111</f>
        <v>0.10809999999999997</v>
      </c>
      <c r="CG45" s="193">
        <f>'[1]Primary and Summary'!$D$120</f>
        <v>1</v>
      </c>
      <c r="CH45" s="193">
        <f>'[1]Primary and Summary'!$D$120</f>
        <v>1</v>
      </c>
      <c r="CI45" s="193">
        <f>'[1]Primary and Summary'!$D$120</f>
        <v>1</v>
      </c>
      <c r="CJ45" s="193">
        <f>'[1]Primary and Summary'!$D$120</f>
        <v>1</v>
      </c>
      <c r="CK45" s="193">
        <f>'[1]Primary and Summary'!$D$120</f>
        <v>1</v>
      </c>
      <c r="CL45" s="193">
        <f>'[1]Primary and Summary'!$D$120</f>
        <v>1</v>
      </c>
      <c r="CM45" s="193">
        <f>'[1]Primary and Summary'!$D$105</f>
        <v>0.11529999999999996</v>
      </c>
      <c r="CN45" s="193">
        <f>'[1]Primary and Summary'!$D$105</f>
        <v>0.11529999999999996</v>
      </c>
      <c r="CO45" s="193">
        <v>1</v>
      </c>
      <c r="CP45" s="39"/>
      <c r="CQ45" s="41"/>
      <c r="CR45" s="38">
        <f t="shared" si="225"/>
        <v>0</v>
      </c>
      <c r="CS45" s="38">
        <f t="shared" si="157"/>
        <v>190858.19768399996</v>
      </c>
      <c r="CT45" s="38">
        <f t="shared" si="158"/>
        <v>0</v>
      </c>
      <c r="CU45" s="38">
        <f t="shared" si="159"/>
        <v>0</v>
      </c>
      <c r="CV45" s="38">
        <f t="shared" si="160"/>
        <v>0</v>
      </c>
      <c r="CW45" s="38">
        <f t="shared" si="161"/>
        <v>0</v>
      </c>
      <c r="CX45" s="38">
        <f t="shared" si="162"/>
        <v>0</v>
      </c>
      <c r="CY45" s="38">
        <f t="shared" si="163"/>
        <v>0</v>
      </c>
      <c r="CZ45" s="38">
        <f t="shared" si="164"/>
        <v>0</v>
      </c>
      <c r="DA45" s="38">
        <f t="shared" si="165"/>
        <v>0</v>
      </c>
      <c r="DB45" s="38">
        <f t="shared" si="166"/>
        <v>0</v>
      </c>
      <c r="DC45" s="38">
        <f t="shared" si="167"/>
        <v>0</v>
      </c>
      <c r="DD45" s="38">
        <f t="shared" si="168"/>
        <v>0</v>
      </c>
      <c r="DE45" s="38">
        <f t="shared" si="169"/>
        <v>0</v>
      </c>
      <c r="DF45" s="38">
        <f t="shared" si="170"/>
        <v>0</v>
      </c>
      <c r="DG45" s="38">
        <f t="shared" si="171"/>
        <v>0</v>
      </c>
      <c r="DH45" s="38">
        <f t="shared" si="172"/>
        <v>0</v>
      </c>
      <c r="DI45" s="38">
        <f t="shared" si="173"/>
        <v>0</v>
      </c>
      <c r="DJ45" s="38">
        <f t="shared" si="174"/>
        <v>0</v>
      </c>
      <c r="DK45" s="38">
        <f t="shared" si="175"/>
        <v>0</v>
      </c>
      <c r="DL45" s="38">
        <f t="shared" si="176"/>
        <v>0</v>
      </c>
      <c r="DM45" s="83">
        <f t="shared" si="53"/>
        <v>190858.19768399996</v>
      </c>
      <c r="DO45" s="195">
        <v>6.7799999999999999E-2</v>
      </c>
      <c r="DP45" s="194">
        <f t="shared" si="30"/>
        <v>0.1</v>
      </c>
      <c r="DQ45" s="195">
        <v>1.4999999999999999E-2</v>
      </c>
      <c r="DR45" s="195">
        <v>1.4999999999999999E-2</v>
      </c>
      <c r="DS45" s="195">
        <v>2.06E-2</v>
      </c>
      <c r="DT45" s="195">
        <v>1.78E-2</v>
      </c>
      <c r="DU45" s="195">
        <v>2.2700000000000001E-2</v>
      </c>
      <c r="DV45" s="195">
        <v>2.1700000000000001E-2</v>
      </c>
      <c r="DW45" s="195">
        <v>4.3299999999999998E-2</v>
      </c>
      <c r="DX45" s="195">
        <v>1.3100000000000001E-2</v>
      </c>
      <c r="DY45" s="195">
        <v>4.7000000000000002E-3</v>
      </c>
      <c r="DZ45" s="195">
        <v>3.09E-2</v>
      </c>
      <c r="EA45" s="195">
        <v>1.8800000000000001E-2</v>
      </c>
      <c r="EB45" s="195">
        <v>1.4999999999999999E-2</v>
      </c>
      <c r="EC45" s="195">
        <v>2.5399999999999999E-2</v>
      </c>
      <c r="ED45" s="195">
        <v>2.3199999999999998E-2</v>
      </c>
      <c r="EE45" s="195">
        <v>2.18E-2</v>
      </c>
      <c r="EF45" s="195">
        <v>2.2700000000000001E-2</v>
      </c>
      <c r="EG45" s="195">
        <v>0.2</v>
      </c>
      <c r="EH45" s="195">
        <v>6.6699999999999995E-2</v>
      </c>
      <c r="EI45" s="195">
        <v>3.0200000000000001E-2</v>
      </c>
      <c r="EL45" s="107">
        <f t="shared" si="31"/>
        <v>0</v>
      </c>
      <c r="EM45" s="107">
        <f t="shared" si="32"/>
        <v>19085.819768399997</v>
      </c>
      <c r="EN45" s="107">
        <f t="shared" si="33"/>
        <v>0</v>
      </c>
      <c r="EO45" s="107">
        <f t="shared" si="34"/>
        <v>0</v>
      </c>
      <c r="EP45" s="107">
        <f t="shared" si="35"/>
        <v>0</v>
      </c>
      <c r="EQ45" s="107">
        <f t="shared" si="54"/>
        <v>0</v>
      </c>
      <c r="ER45" s="107">
        <f t="shared" si="36"/>
        <v>0</v>
      </c>
      <c r="ES45" s="107">
        <f t="shared" si="37"/>
        <v>0</v>
      </c>
      <c r="ET45" s="107">
        <f t="shared" si="38"/>
        <v>0</v>
      </c>
      <c r="EU45" s="107">
        <f t="shared" si="39"/>
        <v>0</v>
      </c>
      <c r="EV45" s="107">
        <f t="shared" si="40"/>
        <v>0</v>
      </c>
      <c r="EW45" s="107">
        <f t="shared" si="41"/>
        <v>0</v>
      </c>
      <c r="EX45" s="107">
        <f t="shared" si="42"/>
        <v>0</v>
      </c>
      <c r="EY45" s="107">
        <f t="shared" si="43"/>
        <v>0</v>
      </c>
      <c r="EZ45" s="107">
        <f t="shared" si="44"/>
        <v>0</v>
      </c>
      <c r="FA45" s="107">
        <f t="shared" si="45"/>
        <v>0</v>
      </c>
      <c r="FB45" s="107">
        <f t="shared" si="46"/>
        <v>0</v>
      </c>
      <c r="FC45" s="107">
        <f t="shared" si="47"/>
        <v>0</v>
      </c>
      <c r="FD45" s="107">
        <f t="shared" si="48"/>
        <v>0</v>
      </c>
      <c r="FE45" s="107">
        <f t="shared" si="49"/>
        <v>0</v>
      </c>
      <c r="FF45" s="107">
        <f t="shared" si="50"/>
        <v>0</v>
      </c>
      <c r="FG45" s="107">
        <f t="shared" si="55"/>
        <v>19085.819768399997</v>
      </c>
      <c r="FH45" s="107"/>
      <c r="FI45" s="213">
        <v>4.5</v>
      </c>
      <c r="FJ45" s="219">
        <f t="shared" si="56"/>
        <v>7157.1824131499989</v>
      </c>
      <c r="FK45" s="214">
        <f t="shared" si="57"/>
        <v>183701.01527084995</v>
      </c>
    </row>
    <row r="46" spans="1:176" x14ac:dyDescent="0.35">
      <c r="A46" s="62"/>
      <c r="B46" s="2" t="s">
        <v>330</v>
      </c>
      <c r="C46" s="59">
        <v>38</v>
      </c>
      <c r="D46" s="14">
        <v>0.12</v>
      </c>
      <c r="E46" s="60">
        <v>202264</v>
      </c>
      <c r="F46" s="163" t="s">
        <v>145</v>
      </c>
      <c r="G46" s="188">
        <v>44440</v>
      </c>
      <c r="H46" s="182">
        <v>0</v>
      </c>
      <c r="I46" s="183">
        <v>0</v>
      </c>
      <c r="J46" s="183">
        <v>0</v>
      </c>
      <c r="K46" s="183">
        <v>0</v>
      </c>
      <c r="L46" s="184">
        <f t="shared" ref="L46:L47" si="228">SUM(H46:K46)</f>
        <v>0</v>
      </c>
      <c r="M46" s="182">
        <v>1758837</v>
      </c>
      <c r="N46" s="183">
        <v>143549</v>
      </c>
      <c r="O46" s="183">
        <v>6940</v>
      </c>
      <c r="P46" s="183">
        <v>16632</v>
      </c>
      <c r="Q46" s="184">
        <f t="shared" ref="Q46:Q47" si="229">SUM(M46:P46)</f>
        <v>1925958</v>
      </c>
      <c r="R46" s="182">
        <f t="shared" ref="R46:U46" si="230">IFERROR(H46+M46,"")</f>
        <v>1758837</v>
      </c>
      <c r="S46" s="183">
        <f t="shared" si="230"/>
        <v>143549</v>
      </c>
      <c r="T46" s="183">
        <f t="shared" si="230"/>
        <v>6940</v>
      </c>
      <c r="U46" s="183">
        <f t="shared" si="230"/>
        <v>16632</v>
      </c>
      <c r="V46" s="186">
        <v>467479</v>
      </c>
      <c r="W46" s="184">
        <f t="shared" ref="W46:W47" si="231">SUM(R46:V46)</f>
        <v>2393437</v>
      </c>
      <c r="AA46" s="14"/>
      <c r="AB46" s="14">
        <v>1</v>
      </c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45">
        <f t="shared" si="51"/>
        <v>1</v>
      </c>
      <c r="AX46" s="38">
        <f t="shared" si="223"/>
        <v>0</v>
      </c>
      <c r="AY46" s="38">
        <f t="shared" si="136"/>
        <v>2393437</v>
      </c>
      <c r="AZ46" s="38">
        <f t="shared" si="137"/>
        <v>0</v>
      </c>
      <c r="BA46" s="38">
        <f t="shared" si="138"/>
        <v>0</v>
      </c>
      <c r="BB46" s="38">
        <f t="shared" si="139"/>
        <v>0</v>
      </c>
      <c r="BC46" s="38">
        <f t="shared" si="140"/>
        <v>0</v>
      </c>
      <c r="BD46" s="38">
        <f t="shared" si="141"/>
        <v>0</v>
      </c>
      <c r="BE46" s="38">
        <f t="shared" si="142"/>
        <v>0</v>
      </c>
      <c r="BF46" s="38">
        <f t="shared" si="143"/>
        <v>0</v>
      </c>
      <c r="BG46" s="38">
        <f t="shared" si="144"/>
        <v>0</v>
      </c>
      <c r="BH46" s="38">
        <f t="shared" si="145"/>
        <v>0</v>
      </c>
      <c r="BI46" s="38">
        <f t="shared" si="146"/>
        <v>0</v>
      </c>
      <c r="BJ46" s="38">
        <f t="shared" si="147"/>
        <v>0</v>
      </c>
      <c r="BK46" s="38">
        <f t="shared" si="148"/>
        <v>0</v>
      </c>
      <c r="BL46" s="38">
        <f t="shared" si="149"/>
        <v>0</v>
      </c>
      <c r="BM46" s="38">
        <f t="shared" si="150"/>
        <v>0</v>
      </c>
      <c r="BN46" s="38">
        <f t="shared" si="151"/>
        <v>0</v>
      </c>
      <c r="BO46" s="38">
        <f t="shared" si="152"/>
        <v>0</v>
      </c>
      <c r="BP46" s="38">
        <f t="shared" si="153"/>
        <v>0</v>
      </c>
      <c r="BQ46" s="38">
        <f t="shared" si="154"/>
        <v>0</v>
      </c>
      <c r="BR46" s="38">
        <f t="shared" si="155"/>
        <v>0</v>
      </c>
      <c r="BS46" s="39">
        <f t="shared" si="52"/>
        <v>2393437</v>
      </c>
      <c r="BT46" s="48">
        <f t="shared" si="226"/>
        <v>0</v>
      </c>
      <c r="BU46" s="193">
        <f>'[1]Primary and Summary'!$D$105</f>
        <v>0.11529999999999996</v>
      </c>
      <c r="BV46" s="193">
        <f>'[1]Primary and Summary'!$D$105</f>
        <v>0.11529999999999996</v>
      </c>
      <c r="BW46" s="193">
        <f>'[1]Primary and Summary'!$D$111</f>
        <v>0.10809999999999997</v>
      </c>
      <c r="BX46" s="193">
        <f>'[1]Primary and Summary'!$D$111</f>
        <v>0.10809999999999997</v>
      </c>
      <c r="BY46" s="193">
        <f>'[1]Primary and Summary'!$D$111</f>
        <v>0.10809999999999997</v>
      </c>
      <c r="BZ46" s="193">
        <f>'[1]Primary and Summary'!$D$111</f>
        <v>0.10809999999999997</v>
      </c>
      <c r="CA46" s="193">
        <f>'[1]Primary and Summary'!$D$111</f>
        <v>0.10809999999999997</v>
      </c>
      <c r="CB46" s="193">
        <f>'[1]Primary and Summary'!$D$111</f>
        <v>0.10809999999999997</v>
      </c>
      <c r="CC46" s="193">
        <f>'[1]Primary and Summary'!$D$111</f>
        <v>0.10809999999999997</v>
      </c>
      <c r="CD46" s="193">
        <f>'[1]Primary and Summary'!$D$111</f>
        <v>0.10809999999999997</v>
      </c>
      <c r="CE46" s="193">
        <f>'[1]Primary and Summary'!$D$111</f>
        <v>0.10809999999999997</v>
      </c>
      <c r="CF46" s="193">
        <f>'[1]Primary and Summary'!$D$111</f>
        <v>0.10809999999999997</v>
      </c>
      <c r="CG46" s="193">
        <f>'[1]Primary and Summary'!$D$120</f>
        <v>1</v>
      </c>
      <c r="CH46" s="193">
        <f>'[1]Primary and Summary'!$D$120</f>
        <v>1</v>
      </c>
      <c r="CI46" s="193">
        <f>'[1]Primary and Summary'!$D$120</f>
        <v>1</v>
      </c>
      <c r="CJ46" s="193">
        <f>'[1]Primary and Summary'!$D$120</f>
        <v>1</v>
      </c>
      <c r="CK46" s="193">
        <f>'[1]Primary and Summary'!$D$120</f>
        <v>1</v>
      </c>
      <c r="CL46" s="193">
        <f>'[1]Primary and Summary'!$D$120</f>
        <v>1</v>
      </c>
      <c r="CM46" s="193">
        <f>'[1]Primary and Summary'!$D$105</f>
        <v>0.11529999999999996</v>
      </c>
      <c r="CN46" s="193">
        <f>'[1]Primary and Summary'!$D$105</f>
        <v>0.11529999999999996</v>
      </c>
      <c r="CO46" s="193">
        <v>1</v>
      </c>
      <c r="CP46" s="39"/>
      <c r="CR46" s="38">
        <f t="shared" si="225"/>
        <v>0</v>
      </c>
      <c r="CS46" s="38">
        <f t="shared" si="157"/>
        <v>275963.28609999991</v>
      </c>
      <c r="CT46" s="38">
        <f t="shared" si="158"/>
        <v>0</v>
      </c>
      <c r="CU46" s="38">
        <f t="shared" si="159"/>
        <v>0</v>
      </c>
      <c r="CV46" s="38">
        <f t="shared" si="160"/>
        <v>0</v>
      </c>
      <c r="CW46" s="38">
        <f t="shared" si="161"/>
        <v>0</v>
      </c>
      <c r="CX46" s="38">
        <f t="shared" si="162"/>
        <v>0</v>
      </c>
      <c r="CY46" s="38">
        <f t="shared" si="163"/>
        <v>0</v>
      </c>
      <c r="CZ46" s="38">
        <f t="shared" si="164"/>
        <v>0</v>
      </c>
      <c r="DA46" s="38">
        <f t="shared" si="165"/>
        <v>0</v>
      </c>
      <c r="DB46" s="38">
        <f t="shared" si="166"/>
        <v>0</v>
      </c>
      <c r="DC46" s="38">
        <f t="shared" si="167"/>
        <v>0</v>
      </c>
      <c r="DD46" s="38">
        <f t="shared" si="168"/>
        <v>0</v>
      </c>
      <c r="DE46" s="38">
        <f t="shared" si="169"/>
        <v>0</v>
      </c>
      <c r="DF46" s="38">
        <f t="shared" si="170"/>
        <v>0</v>
      </c>
      <c r="DG46" s="38">
        <f t="shared" si="171"/>
        <v>0</v>
      </c>
      <c r="DH46" s="38">
        <f t="shared" si="172"/>
        <v>0</v>
      </c>
      <c r="DI46" s="38">
        <f t="shared" si="173"/>
        <v>0</v>
      </c>
      <c r="DJ46" s="38">
        <f t="shared" si="174"/>
        <v>0</v>
      </c>
      <c r="DK46" s="38">
        <f t="shared" si="175"/>
        <v>0</v>
      </c>
      <c r="DL46" s="38">
        <f t="shared" si="176"/>
        <v>0</v>
      </c>
      <c r="DM46" s="83">
        <f t="shared" si="53"/>
        <v>275963.28609999991</v>
      </c>
      <c r="DO46" s="195">
        <v>6.7799999999999999E-2</v>
      </c>
      <c r="DP46" s="194">
        <f t="shared" si="30"/>
        <v>0.1</v>
      </c>
      <c r="DQ46" s="195">
        <v>1.4999999999999999E-2</v>
      </c>
      <c r="DR46" s="195">
        <v>1.4999999999999999E-2</v>
      </c>
      <c r="DS46" s="195">
        <v>2.06E-2</v>
      </c>
      <c r="DT46" s="195">
        <v>1.78E-2</v>
      </c>
      <c r="DU46" s="195">
        <v>2.2700000000000001E-2</v>
      </c>
      <c r="DV46" s="195">
        <v>2.1700000000000001E-2</v>
      </c>
      <c r="DW46" s="195">
        <v>4.3299999999999998E-2</v>
      </c>
      <c r="DX46" s="195">
        <v>1.3100000000000001E-2</v>
      </c>
      <c r="DY46" s="195">
        <v>4.7000000000000002E-3</v>
      </c>
      <c r="DZ46" s="195">
        <v>3.09E-2</v>
      </c>
      <c r="EA46" s="195">
        <v>1.8800000000000001E-2</v>
      </c>
      <c r="EB46" s="195">
        <v>1.4999999999999999E-2</v>
      </c>
      <c r="EC46" s="195">
        <v>2.5399999999999999E-2</v>
      </c>
      <c r="ED46" s="195">
        <v>2.3199999999999998E-2</v>
      </c>
      <c r="EE46" s="195">
        <v>2.18E-2</v>
      </c>
      <c r="EF46" s="195">
        <v>2.2700000000000001E-2</v>
      </c>
      <c r="EG46" s="195">
        <v>0.2</v>
      </c>
      <c r="EH46" s="195">
        <v>6.6699999999999995E-2</v>
      </c>
      <c r="EI46" s="195">
        <v>3.0200000000000001E-2</v>
      </c>
      <c r="EL46" s="107">
        <f t="shared" si="31"/>
        <v>0</v>
      </c>
      <c r="EM46" s="107">
        <f t="shared" si="32"/>
        <v>27596.328609999993</v>
      </c>
      <c r="EN46" s="107">
        <f t="shared" si="33"/>
        <v>0</v>
      </c>
      <c r="EO46" s="107">
        <f t="shared" si="34"/>
        <v>0</v>
      </c>
      <c r="EP46" s="107">
        <f t="shared" si="35"/>
        <v>0</v>
      </c>
      <c r="EQ46" s="107">
        <f t="shared" si="54"/>
        <v>0</v>
      </c>
      <c r="ER46" s="107">
        <f t="shared" si="36"/>
        <v>0</v>
      </c>
      <c r="ES46" s="107">
        <f t="shared" si="37"/>
        <v>0</v>
      </c>
      <c r="ET46" s="107">
        <f t="shared" si="38"/>
        <v>0</v>
      </c>
      <c r="EU46" s="107">
        <f t="shared" si="39"/>
        <v>0</v>
      </c>
      <c r="EV46" s="107">
        <f t="shared" si="40"/>
        <v>0</v>
      </c>
      <c r="EW46" s="107">
        <f t="shared" si="41"/>
        <v>0</v>
      </c>
      <c r="EX46" s="107">
        <f t="shared" si="42"/>
        <v>0</v>
      </c>
      <c r="EY46" s="107">
        <f t="shared" si="43"/>
        <v>0</v>
      </c>
      <c r="EZ46" s="107">
        <f t="shared" si="44"/>
        <v>0</v>
      </c>
      <c r="FA46" s="107">
        <f t="shared" si="45"/>
        <v>0</v>
      </c>
      <c r="FB46" s="107">
        <f t="shared" si="46"/>
        <v>0</v>
      </c>
      <c r="FC46" s="107">
        <f t="shared" si="47"/>
        <v>0</v>
      </c>
      <c r="FD46" s="107">
        <f t="shared" si="48"/>
        <v>0</v>
      </c>
      <c r="FE46" s="107">
        <f t="shared" si="49"/>
        <v>0</v>
      </c>
      <c r="FF46" s="107">
        <f t="shared" si="50"/>
        <v>0</v>
      </c>
      <c r="FG46" s="107">
        <f t="shared" si="55"/>
        <v>27596.328609999993</v>
      </c>
      <c r="FH46" s="107"/>
      <c r="FI46" s="213">
        <v>1.5</v>
      </c>
      <c r="FJ46" s="219">
        <f t="shared" si="56"/>
        <v>3449.5410762499992</v>
      </c>
      <c r="FK46" s="214">
        <f t="shared" si="57"/>
        <v>272513.74502374989</v>
      </c>
    </row>
    <row r="47" spans="1:176" x14ac:dyDescent="0.35">
      <c r="B47" s="2" t="s">
        <v>330</v>
      </c>
      <c r="C47" s="61">
        <v>38</v>
      </c>
      <c r="D47" s="63">
        <v>0.12</v>
      </c>
      <c r="E47" s="62">
        <v>201979</v>
      </c>
      <c r="F47" s="164" t="s">
        <v>147</v>
      </c>
      <c r="G47" s="187" t="s">
        <v>171</v>
      </c>
      <c r="H47" s="182">
        <v>0</v>
      </c>
      <c r="I47" s="183">
        <v>0</v>
      </c>
      <c r="J47" s="183">
        <v>0</v>
      </c>
      <c r="K47" s="183">
        <v>0</v>
      </c>
      <c r="L47" s="184">
        <f t="shared" si="228"/>
        <v>0</v>
      </c>
      <c r="M47" s="182">
        <v>1198599.7009100001</v>
      </c>
      <c r="N47" s="183">
        <v>79151</v>
      </c>
      <c r="O47" s="183">
        <v>0</v>
      </c>
      <c r="P47" s="183">
        <v>0</v>
      </c>
      <c r="Q47" s="184">
        <f t="shared" si="229"/>
        <v>1277750.7009100001</v>
      </c>
      <c r="R47" s="182">
        <f t="shared" ref="R47:U47" si="232">IFERROR(H47+M47,"")</f>
        <v>1198599.7009100001</v>
      </c>
      <c r="S47" s="183">
        <f t="shared" si="232"/>
        <v>79151</v>
      </c>
      <c r="T47" s="183">
        <f t="shared" si="232"/>
        <v>0</v>
      </c>
      <c r="U47" s="183">
        <f t="shared" si="232"/>
        <v>0</v>
      </c>
      <c r="V47" s="189"/>
      <c r="W47" s="184">
        <f t="shared" si="231"/>
        <v>1277750.7009100001</v>
      </c>
      <c r="AA47" s="14">
        <v>1</v>
      </c>
      <c r="AB47" s="1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62"/>
      <c r="AO47" s="4"/>
      <c r="AP47" s="4"/>
      <c r="AQ47" s="62"/>
      <c r="AR47" s="4"/>
      <c r="AS47" s="4"/>
      <c r="AT47" s="4"/>
      <c r="AU47" s="62"/>
      <c r="AV47" s="45">
        <f t="shared" si="51"/>
        <v>1</v>
      </c>
      <c r="AX47" s="38">
        <f t="shared" si="223"/>
        <v>1277750.7009100001</v>
      </c>
      <c r="AY47" s="38">
        <f t="shared" si="136"/>
        <v>0</v>
      </c>
      <c r="AZ47" s="38">
        <f t="shared" si="137"/>
        <v>0</v>
      </c>
      <c r="BA47" s="38">
        <f t="shared" si="138"/>
        <v>0</v>
      </c>
      <c r="BB47" s="38">
        <f t="shared" si="139"/>
        <v>0</v>
      </c>
      <c r="BC47" s="38">
        <f t="shared" si="140"/>
        <v>0</v>
      </c>
      <c r="BD47" s="38">
        <f t="shared" si="141"/>
        <v>0</v>
      </c>
      <c r="BE47" s="38">
        <f t="shared" si="142"/>
        <v>0</v>
      </c>
      <c r="BF47" s="38">
        <f t="shared" si="143"/>
        <v>0</v>
      </c>
      <c r="BG47" s="38">
        <f t="shared" si="144"/>
        <v>0</v>
      </c>
      <c r="BH47" s="38">
        <f t="shared" si="145"/>
        <v>0</v>
      </c>
      <c r="BI47" s="38">
        <f t="shared" si="146"/>
        <v>0</v>
      </c>
      <c r="BJ47" s="38">
        <f t="shared" si="147"/>
        <v>0</v>
      </c>
      <c r="BK47" s="38">
        <f t="shared" si="148"/>
        <v>0</v>
      </c>
      <c r="BL47" s="38">
        <f t="shared" si="149"/>
        <v>0</v>
      </c>
      <c r="BM47" s="38">
        <f t="shared" si="150"/>
        <v>0</v>
      </c>
      <c r="BN47" s="38">
        <f t="shared" si="151"/>
        <v>0</v>
      </c>
      <c r="BO47" s="38">
        <f t="shared" si="152"/>
        <v>0</v>
      </c>
      <c r="BP47" s="38">
        <f t="shared" si="153"/>
        <v>0</v>
      </c>
      <c r="BQ47" s="38">
        <f t="shared" si="154"/>
        <v>0</v>
      </c>
      <c r="BR47" s="38">
        <f t="shared" si="155"/>
        <v>0</v>
      </c>
      <c r="BS47" s="39">
        <f t="shared" si="52"/>
        <v>1277750.7009100001</v>
      </c>
      <c r="BT47" s="48">
        <f t="shared" ref="BT47" si="233">BS47-W47</f>
        <v>0</v>
      </c>
      <c r="BU47" s="193">
        <f>'[1]Primary and Summary'!$D$105</f>
        <v>0.11529999999999996</v>
      </c>
      <c r="BV47" s="193">
        <f>'[1]Primary and Summary'!$D$105</f>
        <v>0.11529999999999996</v>
      </c>
      <c r="BW47" s="193">
        <f>'[1]Primary and Summary'!$D$111</f>
        <v>0.10809999999999997</v>
      </c>
      <c r="BX47" s="193">
        <f>'[1]Primary and Summary'!$D$111</f>
        <v>0.10809999999999997</v>
      </c>
      <c r="BY47" s="193">
        <f>'[1]Primary and Summary'!$D$111</f>
        <v>0.10809999999999997</v>
      </c>
      <c r="BZ47" s="193">
        <f>'[1]Primary and Summary'!$D$111</f>
        <v>0.10809999999999997</v>
      </c>
      <c r="CA47" s="193">
        <f>'[1]Primary and Summary'!$D$111</f>
        <v>0.10809999999999997</v>
      </c>
      <c r="CB47" s="193">
        <f>'[1]Primary and Summary'!$D$111</f>
        <v>0.10809999999999997</v>
      </c>
      <c r="CC47" s="193">
        <f>'[1]Primary and Summary'!$D$111</f>
        <v>0.10809999999999997</v>
      </c>
      <c r="CD47" s="193">
        <f>'[1]Primary and Summary'!$D$111</f>
        <v>0.10809999999999997</v>
      </c>
      <c r="CE47" s="193">
        <f>'[1]Primary and Summary'!$D$111</f>
        <v>0.10809999999999997</v>
      </c>
      <c r="CF47" s="193">
        <f>'[1]Primary and Summary'!$D$111</f>
        <v>0.10809999999999997</v>
      </c>
      <c r="CG47" s="193">
        <f>'[1]Primary and Summary'!$D$120</f>
        <v>1</v>
      </c>
      <c r="CH47" s="193">
        <f>'[1]Primary and Summary'!$D$120</f>
        <v>1</v>
      </c>
      <c r="CI47" s="193">
        <f>'[1]Primary and Summary'!$D$120</f>
        <v>1</v>
      </c>
      <c r="CJ47" s="193">
        <f>'[1]Primary and Summary'!$D$120</f>
        <v>1</v>
      </c>
      <c r="CK47" s="193">
        <f>'[1]Primary and Summary'!$D$120</f>
        <v>1</v>
      </c>
      <c r="CL47" s="193">
        <f>'[1]Primary and Summary'!$D$120</f>
        <v>1</v>
      </c>
      <c r="CM47" s="193">
        <f>'[1]Primary and Summary'!$D$105</f>
        <v>0.11529999999999996</v>
      </c>
      <c r="CN47" s="193">
        <f>'[1]Primary and Summary'!$D$105</f>
        <v>0.11529999999999996</v>
      </c>
      <c r="CO47" s="193">
        <v>1</v>
      </c>
      <c r="CP47" s="39"/>
      <c r="CQ47" s="49"/>
      <c r="CR47" s="38">
        <f t="shared" si="225"/>
        <v>147324.65581492297</v>
      </c>
      <c r="CS47" s="38">
        <f t="shared" si="157"/>
        <v>0</v>
      </c>
      <c r="CT47" s="38">
        <f t="shared" si="158"/>
        <v>0</v>
      </c>
      <c r="CU47" s="38">
        <f t="shared" si="159"/>
        <v>0</v>
      </c>
      <c r="CV47" s="38">
        <f t="shared" si="160"/>
        <v>0</v>
      </c>
      <c r="CW47" s="38">
        <f t="shared" si="161"/>
        <v>0</v>
      </c>
      <c r="CX47" s="38">
        <f t="shared" si="162"/>
        <v>0</v>
      </c>
      <c r="CY47" s="38">
        <f t="shared" si="163"/>
        <v>0</v>
      </c>
      <c r="CZ47" s="38">
        <f t="shared" si="164"/>
        <v>0</v>
      </c>
      <c r="DA47" s="38">
        <f t="shared" si="165"/>
        <v>0</v>
      </c>
      <c r="DB47" s="38">
        <f t="shared" si="166"/>
        <v>0</v>
      </c>
      <c r="DC47" s="38">
        <f t="shared" si="167"/>
        <v>0</v>
      </c>
      <c r="DD47" s="38">
        <f t="shared" si="168"/>
        <v>0</v>
      </c>
      <c r="DE47" s="38">
        <f t="shared" si="169"/>
        <v>0</v>
      </c>
      <c r="DF47" s="38">
        <f t="shared" si="170"/>
        <v>0</v>
      </c>
      <c r="DG47" s="38">
        <f t="shared" si="171"/>
        <v>0</v>
      </c>
      <c r="DH47" s="38">
        <f t="shared" si="172"/>
        <v>0</v>
      </c>
      <c r="DI47" s="38">
        <f t="shared" si="173"/>
        <v>0</v>
      </c>
      <c r="DJ47" s="38">
        <f t="shared" si="174"/>
        <v>0</v>
      </c>
      <c r="DK47" s="38">
        <f t="shared" si="175"/>
        <v>0</v>
      </c>
      <c r="DL47" s="38">
        <f t="shared" si="176"/>
        <v>0</v>
      </c>
      <c r="DM47" s="83">
        <f t="shared" si="53"/>
        <v>147324.65581492297</v>
      </c>
      <c r="DO47" s="195">
        <v>6.7799999999999999E-2</v>
      </c>
      <c r="DP47" s="194">
        <f t="shared" si="30"/>
        <v>0.1</v>
      </c>
      <c r="DQ47" s="195">
        <v>1.4999999999999999E-2</v>
      </c>
      <c r="DR47" s="195">
        <v>1.4999999999999999E-2</v>
      </c>
      <c r="DS47" s="195">
        <v>2.06E-2</v>
      </c>
      <c r="DT47" s="195">
        <v>1.78E-2</v>
      </c>
      <c r="DU47" s="195">
        <v>2.2700000000000001E-2</v>
      </c>
      <c r="DV47" s="195">
        <v>2.1700000000000001E-2</v>
      </c>
      <c r="DW47" s="195">
        <v>4.3299999999999998E-2</v>
      </c>
      <c r="DX47" s="195">
        <v>1.3100000000000001E-2</v>
      </c>
      <c r="DY47" s="195">
        <v>4.7000000000000002E-3</v>
      </c>
      <c r="DZ47" s="195">
        <v>3.09E-2</v>
      </c>
      <c r="EA47" s="195">
        <v>1.8800000000000001E-2</v>
      </c>
      <c r="EB47" s="195">
        <v>1.4999999999999999E-2</v>
      </c>
      <c r="EC47" s="195">
        <v>2.5399999999999999E-2</v>
      </c>
      <c r="ED47" s="195">
        <v>2.3199999999999998E-2</v>
      </c>
      <c r="EE47" s="195">
        <v>2.18E-2</v>
      </c>
      <c r="EF47" s="195">
        <v>2.2700000000000001E-2</v>
      </c>
      <c r="EG47" s="195">
        <v>0.2</v>
      </c>
      <c r="EH47" s="195">
        <v>6.6699999999999995E-2</v>
      </c>
      <c r="EI47" s="195">
        <v>3.0200000000000001E-2</v>
      </c>
      <c r="EL47" s="107">
        <f t="shared" si="31"/>
        <v>9988.6116642517773</v>
      </c>
      <c r="EM47" s="107">
        <f t="shared" si="32"/>
        <v>0</v>
      </c>
      <c r="EN47" s="107">
        <f t="shared" si="33"/>
        <v>0</v>
      </c>
      <c r="EO47" s="107">
        <f t="shared" si="34"/>
        <v>0</v>
      </c>
      <c r="EP47" s="107">
        <f t="shared" si="35"/>
        <v>0</v>
      </c>
      <c r="EQ47" s="107">
        <f t="shared" si="54"/>
        <v>0</v>
      </c>
      <c r="ER47" s="107">
        <f t="shared" si="36"/>
        <v>0</v>
      </c>
      <c r="ES47" s="107">
        <f t="shared" si="37"/>
        <v>0</v>
      </c>
      <c r="ET47" s="107">
        <f t="shared" si="38"/>
        <v>0</v>
      </c>
      <c r="EU47" s="107">
        <f t="shared" si="39"/>
        <v>0</v>
      </c>
      <c r="EV47" s="107">
        <f t="shared" si="40"/>
        <v>0</v>
      </c>
      <c r="EW47" s="107">
        <f t="shared" si="41"/>
        <v>0</v>
      </c>
      <c r="EX47" s="107">
        <f t="shared" si="42"/>
        <v>0</v>
      </c>
      <c r="EY47" s="107">
        <f t="shared" si="43"/>
        <v>0</v>
      </c>
      <c r="EZ47" s="107">
        <f t="shared" si="44"/>
        <v>0</v>
      </c>
      <c r="FA47" s="107">
        <f t="shared" si="45"/>
        <v>0</v>
      </c>
      <c r="FB47" s="107">
        <f t="shared" si="46"/>
        <v>0</v>
      </c>
      <c r="FC47" s="107">
        <f t="shared" si="47"/>
        <v>0</v>
      </c>
      <c r="FD47" s="107">
        <f t="shared" si="48"/>
        <v>0</v>
      </c>
      <c r="FE47" s="107">
        <f t="shared" si="49"/>
        <v>0</v>
      </c>
      <c r="FF47" s="107">
        <f t="shared" si="50"/>
        <v>0</v>
      </c>
      <c r="FG47" s="107">
        <f t="shared" si="55"/>
        <v>9988.6116642517773</v>
      </c>
      <c r="FH47" s="107"/>
      <c r="FI47" s="215" t="s">
        <v>340</v>
      </c>
      <c r="FJ47" s="214">
        <f>SUM('BI Strategy_Power BI'!C16:M16)</f>
        <v>6351.5967583056663</v>
      </c>
      <c r="FK47" s="214">
        <f t="shared" si="57"/>
        <v>140973.05905661729</v>
      </c>
    </row>
    <row r="48" spans="1:176" s="41" customFormat="1" ht="15" thickBot="1" x14ac:dyDescent="0.4">
      <c r="B48" s="5"/>
      <c r="D48" s="67"/>
      <c r="E48" s="51"/>
      <c r="F48" s="68"/>
      <c r="G48" s="69"/>
      <c r="H48" s="64"/>
      <c r="I48" s="64"/>
      <c r="J48" s="64"/>
      <c r="K48" s="64"/>
      <c r="L48" s="70"/>
      <c r="M48" s="64"/>
      <c r="N48" s="64"/>
      <c r="O48" s="64"/>
      <c r="P48" s="64"/>
      <c r="Q48" s="70"/>
      <c r="R48" s="53"/>
      <c r="S48" s="53"/>
      <c r="T48" s="53"/>
      <c r="U48" s="53"/>
      <c r="V48" s="54"/>
      <c r="W48" s="70"/>
      <c r="AA48" s="71"/>
      <c r="AB48" s="7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67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3"/>
      <c r="CP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201" t="s">
        <v>335</v>
      </c>
      <c r="DL48" s="201"/>
      <c r="DM48" s="202">
        <f>SUM(DM7:DM47)</f>
        <v>44356489.423439421</v>
      </c>
      <c r="FE48" s="200" t="s">
        <v>334</v>
      </c>
      <c r="FF48" s="200"/>
      <c r="FG48" s="199">
        <f>SUM(FG6:FG47)</f>
        <v>1881311.2712684425</v>
      </c>
      <c r="FH48" s="208"/>
      <c r="FI48" s="5"/>
      <c r="FJ48" s="5"/>
      <c r="FK48" s="5"/>
    </row>
    <row r="49" spans="2:167" s="41" customFormat="1" ht="15.5" thickTop="1" thickBot="1" x14ac:dyDescent="0.4">
      <c r="B49" s="5"/>
      <c r="D49" s="67"/>
      <c r="E49" s="51"/>
      <c r="F49" s="68"/>
      <c r="G49" s="69"/>
      <c r="H49" s="64"/>
      <c r="I49" s="64"/>
      <c r="J49" s="64"/>
      <c r="K49" s="64"/>
      <c r="L49" s="70"/>
      <c r="M49" s="64"/>
      <c r="N49" s="64"/>
      <c r="O49" s="64"/>
      <c r="P49" s="64"/>
      <c r="Q49" s="70"/>
      <c r="R49" s="53"/>
      <c r="S49" s="53"/>
      <c r="T49" s="53"/>
      <c r="U49" s="53"/>
      <c r="V49" s="54"/>
      <c r="W49" s="70"/>
      <c r="AA49" s="71"/>
      <c r="AB49" s="7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67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3"/>
      <c r="CP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FI49" s="5"/>
      <c r="FJ49" s="5"/>
      <c r="FK49" s="5"/>
    </row>
    <row r="50" spans="2:167" s="41" customFormat="1" x14ac:dyDescent="0.35">
      <c r="B50" s="5"/>
      <c r="D50" s="67"/>
      <c r="E50" s="51"/>
      <c r="F50" s="68"/>
      <c r="G50" s="69"/>
      <c r="H50" s="64"/>
      <c r="I50" s="64"/>
      <c r="J50" s="64"/>
      <c r="K50" s="64"/>
      <c r="L50" s="70"/>
      <c r="M50" s="64"/>
      <c r="N50" s="64"/>
      <c r="O50" s="64"/>
      <c r="P50" s="64"/>
      <c r="Q50" s="70"/>
      <c r="R50" s="53"/>
      <c r="S50" s="53"/>
      <c r="T50" s="53"/>
      <c r="U50" s="53"/>
      <c r="V50" s="54"/>
      <c r="W50" s="70"/>
      <c r="AA50" s="71"/>
      <c r="AB50" s="7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67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3"/>
      <c r="CP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203" t="s">
        <v>330</v>
      </c>
      <c r="DL50" s="221"/>
      <c r="DM50" s="204">
        <f>SUMIF($B$6:$B$47,DK50,$DM$6:$DM$47)</f>
        <v>22598984.608585924</v>
      </c>
      <c r="FE50" s="203" t="s">
        <v>330</v>
      </c>
      <c r="FF50" s="221"/>
      <c r="FG50" s="204">
        <f>SUMIF($B$6:$B$47,FE50,$FG$6:$FG$47)</f>
        <v>906066.07278298936</v>
      </c>
      <c r="FH50" s="209"/>
      <c r="FI50" s="5"/>
      <c r="FJ50" s="203" t="s">
        <v>330</v>
      </c>
      <c r="FK50" s="204">
        <f>SUMIF($B$6:$B$47,FJ50,$FK$6:$FK$47)</f>
        <v>21735765.834850535</v>
      </c>
    </row>
    <row r="51" spans="2:167" s="41" customFormat="1" ht="15" thickBot="1" x14ac:dyDescent="0.4">
      <c r="B51" s="5"/>
      <c r="D51" s="67"/>
      <c r="E51" s="51"/>
      <c r="F51" s="68"/>
      <c r="G51" s="69"/>
      <c r="H51" s="64"/>
      <c r="I51" s="64"/>
      <c r="J51" s="64"/>
      <c r="K51" s="64"/>
      <c r="L51" s="70"/>
      <c r="M51" s="64"/>
      <c r="N51" s="64"/>
      <c r="O51" s="64"/>
      <c r="P51" s="64"/>
      <c r="Q51" s="70"/>
      <c r="R51" s="53"/>
      <c r="S51" s="53"/>
      <c r="T51" s="53"/>
      <c r="U51" s="53"/>
      <c r="V51" s="54"/>
      <c r="W51" s="70"/>
      <c r="AA51" s="71"/>
      <c r="AB51" s="7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67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3"/>
      <c r="CP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205" t="s">
        <v>329</v>
      </c>
      <c r="DL51" s="222"/>
      <c r="DM51" s="206">
        <f>SUMIF($B$6:$B$47,DK51,$DM$6:$DM$47)</f>
        <v>21757504.814853497</v>
      </c>
      <c r="FE51" s="205" t="s">
        <v>329</v>
      </c>
      <c r="FF51" s="222"/>
      <c r="FG51" s="206">
        <f>SUMIF($B$6:$B$47,FE51,$FG$6:$FG$47)</f>
        <v>975245.19848545315</v>
      </c>
      <c r="FH51" s="209"/>
      <c r="FI51" s="5"/>
      <c r="FJ51" s="205" t="s">
        <v>329</v>
      </c>
      <c r="FK51" s="206">
        <f>SUMIF($B$6:$B$47,FJ51,$FK$6:$FK$47)</f>
        <v>21420708.367492773</v>
      </c>
    </row>
    <row r="52" spans="2:167" s="41" customFormat="1" x14ac:dyDescent="0.35">
      <c r="B52" s="5"/>
      <c r="D52" s="67"/>
      <c r="E52" s="51"/>
      <c r="F52" s="68"/>
      <c r="G52" s="69"/>
      <c r="H52" s="64"/>
      <c r="I52" s="64"/>
      <c r="J52" s="64"/>
      <c r="K52" s="64"/>
      <c r="L52" s="70"/>
      <c r="M52" s="64"/>
      <c r="N52" s="64"/>
      <c r="O52" s="64"/>
      <c r="P52" s="64"/>
      <c r="Q52" s="70"/>
      <c r="R52" s="53"/>
      <c r="S52" s="53"/>
      <c r="T52" s="53"/>
      <c r="U52" s="53"/>
      <c r="V52" s="54"/>
      <c r="W52" s="70"/>
      <c r="AA52" s="71"/>
      <c r="AB52" s="7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67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3"/>
      <c r="CP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FI52" s="5"/>
      <c r="FJ52" s="5"/>
      <c r="FK52" s="5"/>
    </row>
    <row r="53" spans="2:167" s="41" customFormat="1" x14ac:dyDescent="0.35">
      <c r="B53" s="5"/>
      <c r="D53" s="67"/>
      <c r="E53" s="51"/>
      <c r="F53" s="68"/>
      <c r="G53" s="69"/>
      <c r="H53" s="64"/>
      <c r="I53" s="64"/>
      <c r="J53" s="64"/>
      <c r="K53" s="64"/>
      <c r="L53" s="70"/>
      <c r="M53" s="64"/>
      <c r="N53" s="64"/>
      <c r="O53" s="64"/>
      <c r="P53" s="64"/>
      <c r="Q53" s="70"/>
      <c r="R53" s="53"/>
      <c r="S53" s="53"/>
      <c r="T53" s="53"/>
      <c r="U53" s="53"/>
      <c r="V53" s="54"/>
      <c r="W53" s="70"/>
      <c r="AA53" s="71"/>
      <c r="AB53" s="7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67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3"/>
      <c r="CP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FI53" s="5"/>
      <c r="FJ53" s="5"/>
      <c r="FK53" s="5"/>
    </row>
    <row r="54" spans="2:167" s="41" customFormat="1" x14ac:dyDescent="0.35">
      <c r="B54" s="5"/>
      <c r="D54" s="67"/>
      <c r="E54" s="51"/>
      <c r="F54" s="68"/>
      <c r="G54" s="69"/>
      <c r="H54" s="64"/>
      <c r="I54" s="64"/>
      <c r="J54" s="64"/>
      <c r="K54" s="64"/>
      <c r="L54" s="70"/>
      <c r="M54" s="64"/>
      <c r="N54" s="64"/>
      <c r="O54" s="64"/>
      <c r="P54" s="64"/>
      <c r="Q54" s="70"/>
      <c r="R54" s="53"/>
      <c r="S54" s="53"/>
      <c r="T54" s="53"/>
      <c r="U54" s="53"/>
      <c r="V54" s="54"/>
      <c r="W54" s="70"/>
      <c r="AA54" s="71"/>
      <c r="AB54" s="7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67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3"/>
      <c r="CP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FI54" s="5"/>
      <c r="FJ54" s="5"/>
      <c r="FK54" s="5"/>
    </row>
    <row r="55" spans="2:167" s="41" customFormat="1" x14ac:dyDescent="0.35">
      <c r="B55" s="5"/>
      <c r="D55" s="67"/>
      <c r="E55" s="51"/>
      <c r="F55" s="68"/>
      <c r="G55" s="69"/>
      <c r="H55" s="64"/>
      <c r="I55" s="64"/>
      <c r="J55" s="64"/>
      <c r="K55" s="64"/>
      <c r="L55" s="70"/>
      <c r="M55" s="64"/>
      <c r="N55" s="64"/>
      <c r="O55" s="64"/>
      <c r="P55" s="64"/>
      <c r="Q55" s="70"/>
      <c r="R55" s="53"/>
      <c r="S55" s="53"/>
      <c r="T55" s="53"/>
      <c r="U55" s="53"/>
      <c r="V55" s="54"/>
      <c r="W55" s="70"/>
      <c r="AA55" s="71"/>
      <c r="AB55" s="7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67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3"/>
      <c r="CP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FI55" s="5"/>
      <c r="FJ55" s="5"/>
      <c r="FK55" s="5"/>
    </row>
  </sheetData>
  <mergeCells count="14">
    <mergeCell ref="FN31:FT33"/>
    <mergeCell ref="FI4:FI5"/>
    <mergeCell ref="FJ4:FJ5"/>
    <mergeCell ref="FK4:FK5"/>
    <mergeCell ref="H2:L2"/>
    <mergeCell ref="AA3:AV3"/>
    <mergeCell ref="AX3:BS3"/>
    <mergeCell ref="V3:V4"/>
    <mergeCell ref="DO3:EJ3"/>
    <mergeCell ref="EL3:FG3"/>
    <mergeCell ref="BU3:CP3"/>
    <mergeCell ref="CR3:DM3"/>
    <mergeCell ref="M2:Q2"/>
    <mergeCell ref="R2:W2"/>
  </mergeCells>
  <pageMargins left="0.7" right="0.7" top="0.75" bottom="0.75" header="0.3" footer="0.3"/>
  <pageSetup orientation="portrait" r:id="rId1"/>
  <ignoredErrors>
    <ignoredError sqref="AC4 AZ4 CT4 BW4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67C3A-4500-4582-A9DD-C393A4AEE2D0}">
  <dimension ref="A1:AN380"/>
  <sheetViews>
    <sheetView zoomScale="140" zoomScaleNormal="140" workbookViewId="0">
      <pane xSplit="1" ySplit="3" topLeftCell="V325" activePane="bottomRight" state="frozen"/>
      <selection pane="topRight" activeCell="B1" sqref="B1"/>
      <selection pane="bottomLeft" activeCell="A4" sqref="A4"/>
      <selection pane="bottomRight" activeCell="AJ1" sqref="AJ1:AK1048576"/>
    </sheetView>
  </sheetViews>
  <sheetFormatPr defaultColWidth="9.1796875" defaultRowHeight="10.5" x14ac:dyDescent="0.25"/>
  <cols>
    <col min="1" max="1" width="43.81640625" style="25" customWidth="1"/>
    <col min="2" max="21" width="10.7265625" style="26" hidden="1" customWidth="1"/>
    <col min="22" max="22" width="7.1796875" style="26" bestFit="1" customWidth="1"/>
    <col min="23" max="23" width="7" style="26" bestFit="1" customWidth="1"/>
    <col min="24" max="25" width="7.26953125" style="26" bestFit="1" customWidth="1"/>
    <col min="26" max="26" width="7" style="26" bestFit="1" customWidth="1"/>
    <col min="27" max="27" width="7.1796875" style="26" bestFit="1" customWidth="1"/>
    <col min="28" max="28" width="7.453125" style="26" bestFit="1" customWidth="1"/>
    <col min="29" max="29" width="7" style="26" bestFit="1" customWidth="1"/>
    <col min="30" max="30" width="7.54296875" style="26" bestFit="1" customWidth="1"/>
    <col min="31" max="31" width="7" style="26" bestFit="1" customWidth="1"/>
    <col min="32" max="32" width="6.54296875" style="26" bestFit="1" customWidth="1"/>
    <col min="33" max="34" width="7.1796875" style="26" bestFit="1" customWidth="1"/>
    <col min="35" max="35" width="7" style="26" bestFit="1" customWidth="1"/>
    <col min="36" max="37" width="7.26953125" style="26" bestFit="1" customWidth="1"/>
    <col min="38" max="16384" width="9.1796875" style="26"/>
  </cols>
  <sheetData>
    <row r="1" spans="1:39" s="24" customFormat="1" x14ac:dyDescent="0.25">
      <c r="A1" s="23"/>
    </row>
    <row r="2" spans="1:39" s="24" customFormat="1" x14ac:dyDescent="0.25">
      <c r="A2" s="23" t="s">
        <v>50</v>
      </c>
      <c r="B2" s="24" t="s">
        <v>51</v>
      </c>
      <c r="C2" s="24" t="s">
        <v>52</v>
      </c>
      <c r="D2" s="24" t="s">
        <v>53</v>
      </c>
      <c r="E2" s="24" t="s">
        <v>54</v>
      </c>
      <c r="F2" s="24" t="s">
        <v>55</v>
      </c>
      <c r="G2" s="24" t="s">
        <v>56</v>
      </c>
      <c r="H2" s="24" t="s">
        <v>57</v>
      </c>
      <c r="I2" s="24" t="s">
        <v>58</v>
      </c>
      <c r="J2" s="24" t="s">
        <v>59</v>
      </c>
      <c r="K2" s="24" t="s">
        <v>60</v>
      </c>
      <c r="L2" s="24" t="s">
        <v>61</v>
      </c>
      <c r="M2" s="24" t="s">
        <v>62</v>
      </c>
      <c r="N2" s="24" t="s">
        <v>63</v>
      </c>
      <c r="O2" s="24" t="s">
        <v>64</v>
      </c>
      <c r="P2" s="24" t="s">
        <v>65</v>
      </c>
      <c r="Q2" s="24" t="s">
        <v>66</v>
      </c>
      <c r="R2" s="24" t="s">
        <v>67</v>
      </c>
      <c r="S2" s="24" t="s">
        <v>68</v>
      </c>
      <c r="T2" s="24" t="s">
        <v>69</v>
      </c>
      <c r="U2" s="24" t="s">
        <v>70</v>
      </c>
      <c r="V2" s="24" t="s">
        <v>71</v>
      </c>
      <c r="W2" s="24" t="s">
        <v>72</v>
      </c>
      <c r="X2" s="24" t="s">
        <v>73</v>
      </c>
      <c r="Y2" s="24" t="s">
        <v>74</v>
      </c>
      <c r="Z2" s="24" t="s">
        <v>75</v>
      </c>
      <c r="AA2" s="24" t="s">
        <v>76</v>
      </c>
      <c r="AB2" s="24" t="s">
        <v>77</v>
      </c>
      <c r="AC2" s="24" t="s">
        <v>78</v>
      </c>
      <c r="AD2" s="24" t="s">
        <v>79</v>
      </c>
      <c r="AE2" s="24" t="s">
        <v>80</v>
      </c>
      <c r="AF2" s="24" t="s">
        <v>81</v>
      </c>
      <c r="AG2" s="24" t="s">
        <v>82</v>
      </c>
      <c r="AH2" s="24" t="s">
        <v>83</v>
      </c>
      <c r="AI2" s="24" t="s">
        <v>84</v>
      </c>
      <c r="AJ2" s="24" t="s">
        <v>85</v>
      </c>
      <c r="AK2" s="24" t="s">
        <v>86</v>
      </c>
      <c r="AL2" s="24" t="s">
        <v>87</v>
      </c>
    </row>
    <row r="3" spans="1:39" s="24" customFormat="1" x14ac:dyDescent="0.25">
      <c r="A3" s="23"/>
    </row>
    <row r="5" spans="1:39" x14ac:dyDescent="0.25">
      <c r="A5" s="25" t="s">
        <v>88</v>
      </c>
    </row>
    <row r="6" spans="1:39" x14ac:dyDescent="0.25">
      <c r="A6" s="25" t="s">
        <v>89</v>
      </c>
      <c r="B6" s="26">
        <v>2.1001099999999999</v>
      </c>
      <c r="C6" s="26">
        <v>23.490490000000001</v>
      </c>
      <c r="D6" s="26">
        <v>4.5170300000000001</v>
      </c>
      <c r="E6" s="26">
        <v>1.96495</v>
      </c>
      <c r="F6" s="26">
        <v>2.3069199999999999</v>
      </c>
      <c r="G6" s="26">
        <v>1.7484299999999999</v>
      </c>
      <c r="H6" s="26">
        <v>2.6945399999999999</v>
      </c>
      <c r="I6" s="26">
        <v>1.5562100000000001</v>
      </c>
      <c r="J6" s="26">
        <v>1.8214999999999999</v>
      </c>
      <c r="K6" s="26">
        <v>1.7132799999999999</v>
      </c>
      <c r="L6" s="26">
        <v>1.43835</v>
      </c>
      <c r="M6" s="26">
        <v>2.3284099999999999</v>
      </c>
      <c r="N6" s="26">
        <v>0.98877999999999999</v>
      </c>
      <c r="O6" s="26">
        <v>1.2675399999999999</v>
      </c>
      <c r="P6" s="26">
        <v>5.23102</v>
      </c>
      <c r="Q6" s="26">
        <v>8.6902500000000007</v>
      </c>
      <c r="R6" s="26">
        <v>9.9562000000000008</v>
      </c>
      <c r="S6" s="26">
        <v>0.88158000000000003</v>
      </c>
      <c r="T6" s="26">
        <v>22.201309999999999</v>
      </c>
      <c r="U6" s="26">
        <v>4.8308200000000001</v>
      </c>
      <c r="V6" s="26">
        <v>6.71</v>
      </c>
      <c r="W6" s="26">
        <v>2E-3</v>
      </c>
      <c r="X6" s="26">
        <v>170</v>
      </c>
      <c r="Y6" s="26">
        <v>100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7">
        <f>SUM(V6:AI6)</f>
        <v>276.71199999999999</v>
      </c>
      <c r="AM6" s="26">
        <f>AL6*1000</f>
        <v>276712</v>
      </c>
    </row>
    <row r="7" spans="1:39" x14ac:dyDescent="0.25">
      <c r="A7" s="25" t="s">
        <v>90</v>
      </c>
      <c r="B7" s="26">
        <v>51.923209999999997</v>
      </c>
      <c r="C7" s="26">
        <v>84.447590000000005</v>
      </c>
      <c r="D7" s="26">
        <v>55.056159999999998</v>
      </c>
      <c r="E7" s="26">
        <v>40.57732</v>
      </c>
      <c r="F7" s="26">
        <v>26.113990000000001</v>
      </c>
      <c r="G7" s="26">
        <v>5.3002599999999997</v>
      </c>
      <c r="H7" s="26">
        <v>85.539569999999998</v>
      </c>
      <c r="I7" s="26">
        <v>7.7847600000000003</v>
      </c>
      <c r="J7" s="26">
        <v>3.2082000000000002</v>
      </c>
      <c r="K7" s="26">
        <v>3.34226</v>
      </c>
      <c r="L7" s="26">
        <v>0</v>
      </c>
      <c r="M7" s="26">
        <v>13.06353</v>
      </c>
      <c r="N7" s="26">
        <v>16.0976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8.5000000000000006E-2</v>
      </c>
      <c r="W7" s="26">
        <v>1.5</v>
      </c>
      <c r="X7" s="26">
        <v>1.5</v>
      </c>
      <c r="Y7" s="26">
        <v>1.5</v>
      </c>
      <c r="Z7" s="26">
        <v>2.5</v>
      </c>
      <c r="AA7" s="26">
        <v>2.5</v>
      </c>
      <c r="AB7" s="26">
        <v>2.5</v>
      </c>
      <c r="AC7" s="26">
        <v>2.5</v>
      </c>
      <c r="AD7" s="26">
        <v>2.5</v>
      </c>
      <c r="AE7" s="26">
        <v>45</v>
      </c>
      <c r="AF7" s="26">
        <v>30</v>
      </c>
      <c r="AG7" s="26">
        <v>30</v>
      </c>
      <c r="AH7" s="26">
        <v>0</v>
      </c>
      <c r="AI7" s="26">
        <v>0</v>
      </c>
      <c r="AJ7" s="26">
        <v>0</v>
      </c>
      <c r="AK7" s="26">
        <v>0</v>
      </c>
      <c r="AL7" s="27">
        <f t="shared" ref="AL7:AL70" si="0">SUM(V7:AI7)</f>
        <v>122.08500000000001</v>
      </c>
      <c r="AM7" s="26">
        <f t="shared" ref="AM7:AM70" si="1">AL7*1000</f>
        <v>122085.00000000001</v>
      </c>
    </row>
    <row r="8" spans="1:39" x14ac:dyDescent="0.25">
      <c r="A8" s="25" t="s">
        <v>91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70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7">
        <f t="shared" si="0"/>
        <v>70</v>
      </c>
      <c r="AM8" s="26">
        <f t="shared" si="1"/>
        <v>70000</v>
      </c>
    </row>
    <row r="9" spans="1:39" x14ac:dyDescent="0.25">
      <c r="A9" s="25" t="s">
        <v>92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0.63119999999999998</v>
      </c>
      <c r="M9" s="26">
        <v>3.9398900000000001</v>
      </c>
      <c r="N9" s="26">
        <v>10.637840000000001</v>
      </c>
      <c r="O9" s="26">
        <v>0.61707000000000001</v>
      </c>
      <c r="P9" s="26">
        <v>0.70111000000000001</v>
      </c>
      <c r="Q9" s="26">
        <v>6.7638199999999999</v>
      </c>
      <c r="R9" s="26">
        <v>9.6860000000000002E-2</v>
      </c>
      <c r="S9" s="26">
        <v>9.2090000000000005E-2</v>
      </c>
      <c r="T9" s="26">
        <v>9.257E-2</v>
      </c>
      <c r="U9" s="26">
        <v>9.3719999999999998E-2</v>
      </c>
      <c r="V9" s="26">
        <v>8.7999999999999995E-2</v>
      </c>
      <c r="W9" s="26">
        <v>0</v>
      </c>
      <c r="X9" s="26">
        <v>5</v>
      </c>
      <c r="Y9" s="26">
        <v>5</v>
      </c>
      <c r="Z9" s="26">
        <v>25</v>
      </c>
      <c r="AA9" s="26">
        <v>25</v>
      </c>
      <c r="AB9" s="26">
        <v>25</v>
      </c>
      <c r="AC9" s="26">
        <v>25</v>
      </c>
      <c r="AD9" s="26">
        <v>25</v>
      </c>
      <c r="AE9" s="26">
        <v>200</v>
      </c>
      <c r="AF9" s="26">
        <v>400</v>
      </c>
      <c r="AG9" s="26">
        <v>400</v>
      </c>
      <c r="AH9" s="26">
        <v>400</v>
      </c>
      <c r="AI9" s="26">
        <v>200</v>
      </c>
      <c r="AJ9" s="26">
        <v>0</v>
      </c>
      <c r="AK9" s="26">
        <v>0</v>
      </c>
      <c r="AL9" s="27">
        <f t="shared" si="0"/>
        <v>1735.088</v>
      </c>
      <c r="AM9" s="26">
        <f t="shared" si="1"/>
        <v>1735088</v>
      </c>
    </row>
    <row r="10" spans="1:39" x14ac:dyDescent="0.25">
      <c r="A10" s="25" t="s">
        <v>93</v>
      </c>
      <c r="B10" s="26">
        <v>13.461220000000001</v>
      </c>
      <c r="C10" s="26">
        <v>14.10981</v>
      </c>
      <c r="D10" s="26">
        <v>214.57886999999999</v>
      </c>
      <c r="E10" s="26">
        <v>71.251949999999994</v>
      </c>
      <c r="F10" s="26">
        <v>367.60347999999999</v>
      </c>
      <c r="G10" s="26">
        <v>402.03609</v>
      </c>
      <c r="H10" s="26">
        <v>140.90681000000001</v>
      </c>
      <c r="I10" s="26">
        <v>35.521749999999997</v>
      </c>
      <c r="J10" s="26">
        <v>1351.4165</v>
      </c>
      <c r="K10" s="26">
        <v>885.68475000000001</v>
      </c>
      <c r="L10" s="26">
        <v>1345.7163</v>
      </c>
      <c r="M10" s="26">
        <v>773.91258000000005</v>
      </c>
      <c r="N10" s="26">
        <v>1725.8283200000001</v>
      </c>
      <c r="O10" s="26">
        <v>133.7174</v>
      </c>
      <c r="P10" s="26">
        <v>5344.4399000000003</v>
      </c>
      <c r="Q10" s="26">
        <v>5272.4199200000003</v>
      </c>
      <c r="R10" s="26">
        <v>145.18883</v>
      </c>
      <c r="S10" s="26">
        <v>22.456759999999999</v>
      </c>
      <c r="T10" s="26">
        <v>2378.4470200000001</v>
      </c>
      <c r="U10" s="26">
        <v>2903.3343599999998</v>
      </c>
      <c r="V10" s="26">
        <v>0.246</v>
      </c>
      <c r="W10" s="26">
        <v>1</v>
      </c>
      <c r="X10" s="26">
        <v>35</v>
      </c>
      <c r="Y10" s="26">
        <v>2</v>
      </c>
      <c r="Z10" s="26">
        <v>0</v>
      </c>
      <c r="AA10" s="26">
        <v>130</v>
      </c>
      <c r="AB10" s="26">
        <v>5</v>
      </c>
      <c r="AC10" s="26">
        <v>5</v>
      </c>
      <c r="AD10" s="26">
        <v>5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7">
        <f t="shared" si="0"/>
        <v>183.24600000000001</v>
      </c>
      <c r="AM10" s="26">
        <f t="shared" si="1"/>
        <v>183246</v>
      </c>
    </row>
    <row r="11" spans="1:39" x14ac:dyDescent="0.25">
      <c r="A11" s="25" t="s">
        <v>94</v>
      </c>
      <c r="B11" s="26">
        <v>5.8991499999999997</v>
      </c>
      <c r="C11" s="26">
        <v>3.43797</v>
      </c>
      <c r="D11" s="26">
        <v>0.87204000000000004</v>
      </c>
      <c r="E11" s="26">
        <v>2.6541199999999998</v>
      </c>
      <c r="F11" s="26">
        <v>1.29189</v>
      </c>
      <c r="G11" s="26">
        <v>2.6088100000000001</v>
      </c>
      <c r="H11" s="26">
        <v>1.2175</v>
      </c>
      <c r="I11" s="26">
        <v>1.3015699999999999</v>
      </c>
      <c r="J11" s="26">
        <v>1.17</v>
      </c>
      <c r="K11" s="26">
        <v>1.1965399999999999</v>
      </c>
      <c r="L11" s="26">
        <v>1.6881699999999999</v>
      </c>
      <c r="M11" s="26">
        <v>6.8507999999999996</v>
      </c>
      <c r="N11" s="26">
        <v>4.3303099999999999</v>
      </c>
      <c r="O11" s="26">
        <v>3.7656700000000001</v>
      </c>
      <c r="P11" s="26">
        <v>11.968629999999999</v>
      </c>
      <c r="Q11" s="26">
        <v>31.746870000000001</v>
      </c>
      <c r="R11" s="26">
        <v>167.09952999999999</v>
      </c>
      <c r="S11" s="26">
        <v>317.1653</v>
      </c>
      <c r="T11" s="26">
        <v>53.137999999999998</v>
      </c>
      <c r="U11" s="26">
        <v>257.29872</v>
      </c>
      <c r="V11" s="26">
        <v>48.581000000000003</v>
      </c>
      <c r="W11" s="26">
        <v>135.376</v>
      </c>
      <c r="X11" s="26">
        <v>5</v>
      </c>
      <c r="Y11" s="26">
        <v>5</v>
      </c>
      <c r="Z11" s="26">
        <v>2.5</v>
      </c>
      <c r="AA11" s="26">
        <v>2.5</v>
      </c>
      <c r="AB11" s="26">
        <v>2.5</v>
      </c>
      <c r="AC11" s="26">
        <v>2.5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7">
        <f t="shared" si="0"/>
        <v>203.95699999999999</v>
      </c>
      <c r="AM11" s="26">
        <f t="shared" si="1"/>
        <v>203957</v>
      </c>
    </row>
    <row r="12" spans="1:39" x14ac:dyDescent="0.25">
      <c r="A12" s="25" t="s">
        <v>95</v>
      </c>
      <c r="B12" s="26">
        <v>20.378910000000001</v>
      </c>
      <c r="C12" s="26">
        <v>99.975539999999995</v>
      </c>
      <c r="D12" s="26">
        <v>21.734449999999999</v>
      </c>
      <c r="E12" s="26">
        <v>73.702669999999998</v>
      </c>
      <c r="F12" s="26">
        <v>289.61975000000001</v>
      </c>
      <c r="G12" s="26">
        <v>14.39273</v>
      </c>
      <c r="H12" s="26">
        <v>117.99397</v>
      </c>
      <c r="I12" s="26">
        <v>196.49814000000001</v>
      </c>
      <c r="J12" s="26">
        <v>32.731659999999998</v>
      </c>
      <c r="K12" s="26">
        <v>151.77665999999999</v>
      </c>
      <c r="L12" s="26">
        <v>13.42873</v>
      </c>
      <c r="M12" s="26">
        <v>358.33704</v>
      </c>
      <c r="N12" s="26">
        <v>8.9801300000000008</v>
      </c>
      <c r="O12" s="26">
        <v>267.67993000000001</v>
      </c>
      <c r="P12" s="26">
        <v>8.7049599999999998</v>
      </c>
      <c r="Q12" s="26">
        <v>-9.8961500000000004</v>
      </c>
      <c r="R12" s="26">
        <v>6.5979200000000002</v>
      </c>
      <c r="S12" s="26">
        <v>13.62</v>
      </c>
      <c r="T12" s="26">
        <v>0.72</v>
      </c>
      <c r="U12" s="26">
        <v>22.120509999999999</v>
      </c>
      <c r="V12" s="26">
        <v>0</v>
      </c>
      <c r="W12" s="26">
        <v>12.396000000000001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7">
        <f t="shared" si="0"/>
        <v>12.396000000000001</v>
      </c>
      <c r="AM12" s="26">
        <f t="shared" si="1"/>
        <v>12396</v>
      </c>
    </row>
    <row r="13" spans="1:39" x14ac:dyDescent="0.25">
      <c r="A13" s="25" t="s">
        <v>96</v>
      </c>
      <c r="B13" s="26">
        <v>0</v>
      </c>
      <c r="C13" s="26">
        <v>0</v>
      </c>
      <c r="D13" s="26">
        <v>0</v>
      </c>
      <c r="E13" s="26">
        <v>215.59415999999999</v>
      </c>
      <c r="F13" s="26">
        <v>61.469990000000003</v>
      </c>
      <c r="G13" s="26">
        <v>40.93383</v>
      </c>
      <c r="H13" s="26">
        <v>53.369729999999997</v>
      </c>
      <c r="I13" s="26">
        <v>482.90359000000001</v>
      </c>
      <c r="J13" s="26">
        <v>67.668469999999999</v>
      </c>
      <c r="K13" s="26">
        <v>20.865939999999998</v>
      </c>
      <c r="L13" s="26">
        <v>15.86665</v>
      </c>
      <c r="M13" s="26">
        <v>5.1791799999999997</v>
      </c>
      <c r="N13" s="26">
        <v>1.34196</v>
      </c>
      <c r="O13" s="26">
        <v>0.63980999999999999</v>
      </c>
      <c r="P13" s="26">
        <v>0.72</v>
      </c>
      <c r="Q13" s="26">
        <v>1.9590700000000001</v>
      </c>
      <c r="R13" s="26">
        <v>11.099449999999999</v>
      </c>
      <c r="S13" s="26">
        <v>1.08944</v>
      </c>
      <c r="T13" s="26">
        <v>2.8800000000000002E-3</v>
      </c>
      <c r="U13" s="26">
        <v>2.9199999999999999E-3</v>
      </c>
      <c r="V13" s="26">
        <v>1.589</v>
      </c>
      <c r="W13" s="26">
        <v>1</v>
      </c>
      <c r="X13" s="26">
        <v>0.5</v>
      </c>
      <c r="Y13" s="26">
        <v>0.5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7">
        <f t="shared" si="0"/>
        <v>3.589</v>
      </c>
      <c r="AM13" s="26">
        <f t="shared" si="1"/>
        <v>3589</v>
      </c>
    </row>
    <row r="14" spans="1:39" x14ac:dyDescent="0.25">
      <c r="A14" s="25" t="s">
        <v>97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1.3595999999999999</v>
      </c>
      <c r="U14" s="26">
        <v>0.52209000000000005</v>
      </c>
      <c r="V14" s="26">
        <v>1.3879999999999999</v>
      </c>
      <c r="W14" s="26">
        <v>1</v>
      </c>
      <c r="X14" s="26">
        <v>1</v>
      </c>
      <c r="Y14" s="26">
        <v>1</v>
      </c>
      <c r="Z14" s="26">
        <v>1</v>
      </c>
      <c r="AA14" s="26">
        <v>1</v>
      </c>
      <c r="AB14" s="26">
        <v>1</v>
      </c>
      <c r="AC14" s="26">
        <v>300</v>
      </c>
      <c r="AD14" s="26">
        <v>300</v>
      </c>
      <c r="AE14" s="26">
        <v>500</v>
      </c>
      <c r="AF14" s="26">
        <v>500</v>
      </c>
      <c r="AG14" s="26">
        <v>500</v>
      </c>
      <c r="AH14" s="26">
        <v>500</v>
      </c>
      <c r="AI14" s="26">
        <v>5</v>
      </c>
      <c r="AJ14" s="26">
        <v>0</v>
      </c>
      <c r="AK14" s="26">
        <v>0</v>
      </c>
      <c r="AL14" s="27">
        <f t="shared" si="0"/>
        <v>2612.3879999999999</v>
      </c>
      <c r="AM14" s="26">
        <f t="shared" si="1"/>
        <v>2612388</v>
      </c>
    </row>
    <row r="15" spans="1:39" x14ac:dyDescent="0.25">
      <c r="A15" s="25" t="s">
        <v>98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6.4832299999999998</v>
      </c>
      <c r="K15" s="26">
        <v>6.5808200000000001</v>
      </c>
      <c r="L15" s="26">
        <v>13.371449999999999</v>
      </c>
      <c r="M15" s="26">
        <v>64.675330000000002</v>
      </c>
      <c r="N15" s="26">
        <v>26.096419999999998</v>
      </c>
      <c r="O15" s="26">
        <v>4.8571</v>
      </c>
      <c r="P15" s="26">
        <v>4.6856</v>
      </c>
      <c r="Q15" s="26">
        <v>3.10547</v>
      </c>
      <c r="R15" s="26">
        <v>332.92651000000001</v>
      </c>
      <c r="S15" s="26">
        <v>227.58963</v>
      </c>
      <c r="T15" s="26">
        <v>32.698090000000001</v>
      </c>
      <c r="U15" s="26">
        <v>32.27328</v>
      </c>
      <c r="V15" s="26">
        <v>8.11</v>
      </c>
      <c r="W15" s="26">
        <v>80</v>
      </c>
      <c r="X15" s="26">
        <v>60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7">
        <f t="shared" si="0"/>
        <v>148.11000000000001</v>
      </c>
      <c r="AM15" s="26">
        <f t="shared" si="1"/>
        <v>148110</v>
      </c>
    </row>
    <row r="16" spans="1:39" x14ac:dyDescent="0.25">
      <c r="A16" s="25" t="s">
        <v>99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6.9043599999999996</v>
      </c>
      <c r="K16" s="26">
        <v>6.5831499999999998</v>
      </c>
      <c r="L16" s="26">
        <v>21.408580000000001</v>
      </c>
      <c r="M16" s="26">
        <v>72.9114</v>
      </c>
      <c r="N16" s="26">
        <v>1.0286999999999999</v>
      </c>
      <c r="O16" s="26">
        <v>15.571339999999999</v>
      </c>
      <c r="P16" s="26">
        <v>9.7529800000000009</v>
      </c>
      <c r="Q16" s="26">
        <v>26.877659999999999</v>
      </c>
      <c r="R16" s="26">
        <v>81.089070000000007</v>
      </c>
      <c r="S16" s="26">
        <v>13.96888</v>
      </c>
      <c r="T16" s="26">
        <v>403.79771</v>
      </c>
      <c r="U16" s="26">
        <v>122.39879000000001</v>
      </c>
      <c r="V16" s="26">
        <v>578.11422000000005</v>
      </c>
      <c r="W16" s="26">
        <v>200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7">
        <f t="shared" si="0"/>
        <v>778.11422000000005</v>
      </c>
      <c r="AM16" s="26">
        <f t="shared" si="1"/>
        <v>778114.22000000009</v>
      </c>
    </row>
    <row r="17" spans="1:40" x14ac:dyDescent="0.25">
      <c r="A17" s="25" t="s">
        <v>100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217.30018000000001</v>
      </c>
      <c r="K17" s="26">
        <v>4.7995900000000002</v>
      </c>
      <c r="L17" s="26">
        <v>1.0792900000000001</v>
      </c>
      <c r="M17" s="26">
        <v>340.63024000000001</v>
      </c>
      <c r="N17" s="26">
        <v>121.55264</v>
      </c>
      <c r="O17" s="26">
        <v>149.05555000000001</v>
      </c>
      <c r="P17" s="26">
        <v>136.61446000000001</v>
      </c>
      <c r="Q17" s="26">
        <v>266.86660000000001</v>
      </c>
      <c r="R17" s="26">
        <v>300.00389000000001</v>
      </c>
      <c r="S17" s="26">
        <v>233.23369</v>
      </c>
      <c r="T17" s="26">
        <v>251.54995</v>
      </c>
      <c r="U17" s="26">
        <v>299.70006000000001</v>
      </c>
      <c r="V17" s="26">
        <v>96.164000000000001</v>
      </c>
      <c r="W17" s="26">
        <v>15</v>
      </c>
      <c r="X17" s="26">
        <v>10</v>
      </c>
      <c r="Y17" s="26">
        <v>7.5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7">
        <f t="shared" si="0"/>
        <v>128.66399999999999</v>
      </c>
      <c r="AM17" s="26">
        <f t="shared" si="1"/>
        <v>128663.99999999999</v>
      </c>
    </row>
    <row r="18" spans="1:40" x14ac:dyDescent="0.25">
      <c r="A18" s="25" t="s">
        <v>101</v>
      </c>
      <c r="B18" s="26">
        <v>0</v>
      </c>
      <c r="C18" s="26">
        <v>0</v>
      </c>
      <c r="D18" s="26">
        <v>44.231650000000002</v>
      </c>
      <c r="E18" s="26">
        <v>35.405189999999997</v>
      </c>
      <c r="F18" s="26">
        <v>17.62227</v>
      </c>
      <c r="G18" s="26">
        <v>3.2257600000000002</v>
      </c>
      <c r="H18" s="26">
        <v>10.664899999999999</v>
      </c>
      <c r="I18" s="26">
        <v>59.050539999999998</v>
      </c>
      <c r="J18" s="26">
        <v>48.031709999999997</v>
      </c>
      <c r="K18" s="26">
        <v>66.466440000000006</v>
      </c>
      <c r="L18" s="26">
        <v>104.99336</v>
      </c>
      <c r="M18" s="26">
        <v>169.81115</v>
      </c>
      <c r="N18" s="26">
        <v>298.50491</v>
      </c>
      <c r="O18" s="26">
        <v>183.26038</v>
      </c>
      <c r="P18" s="26">
        <v>185.47657000000001</v>
      </c>
      <c r="Q18" s="26">
        <v>359.29915999999997</v>
      </c>
      <c r="R18" s="26">
        <v>963.41943000000003</v>
      </c>
      <c r="S18" s="26">
        <v>939.80507</v>
      </c>
      <c r="T18" s="26">
        <v>1249.8535400000001</v>
      </c>
      <c r="U18" s="26">
        <v>1152.3036999999999</v>
      </c>
      <c r="V18" s="26">
        <v>669.58299999999997</v>
      </c>
      <c r="W18" s="26">
        <v>1670.8130000000001</v>
      </c>
      <c r="X18" s="26">
        <v>1402.289</v>
      </c>
      <c r="Y18" s="26">
        <v>660.30200000000002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7">
        <f t="shared" si="0"/>
        <v>4402.9870000000001</v>
      </c>
      <c r="AM18" s="26">
        <f t="shared" si="1"/>
        <v>4402987</v>
      </c>
    </row>
    <row r="19" spans="1:40" x14ac:dyDescent="0.25">
      <c r="A19" s="25" t="s">
        <v>102</v>
      </c>
      <c r="B19" s="26">
        <v>547.32438000000002</v>
      </c>
      <c r="C19" s="26">
        <v>15.9846</v>
      </c>
      <c r="D19" s="26">
        <v>70.772409999999994</v>
      </c>
      <c r="E19" s="26">
        <v>32.099600000000002</v>
      </c>
      <c r="F19" s="26">
        <v>129.99808999999999</v>
      </c>
      <c r="G19" s="26">
        <v>94.832099999999997</v>
      </c>
      <c r="H19" s="26">
        <v>203.00758999999999</v>
      </c>
      <c r="I19" s="26">
        <v>44.924619999999997</v>
      </c>
      <c r="J19" s="26">
        <v>53.203710000000001</v>
      </c>
      <c r="K19" s="26">
        <v>58.782739999999997</v>
      </c>
      <c r="L19" s="26">
        <v>72.463340000000002</v>
      </c>
      <c r="M19" s="26">
        <v>710.25094000000001</v>
      </c>
      <c r="N19" s="26">
        <v>136.01105999999999</v>
      </c>
      <c r="O19" s="26">
        <v>40.637250000000002</v>
      </c>
      <c r="P19" s="26">
        <v>121.62999000000001</v>
      </c>
      <c r="Q19" s="26">
        <v>324.87238000000002</v>
      </c>
      <c r="R19" s="26">
        <v>274.32616999999999</v>
      </c>
      <c r="S19" s="26">
        <v>322.53397999999999</v>
      </c>
      <c r="T19" s="26">
        <v>71.461389999999994</v>
      </c>
      <c r="U19" s="26">
        <v>105.14917</v>
      </c>
      <c r="V19" s="26">
        <v>326.00130000000001</v>
      </c>
      <c r="W19" s="26">
        <v>339.50400000000002</v>
      </c>
      <c r="X19" s="26">
        <v>183</v>
      </c>
      <c r="Y19" s="26">
        <v>150</v>
      </c>
      <c r="Z19" s="26">
        <v>20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7">
        <f t="shared" si="0"/>
        <v>1018.5053</v>
      </c>
      <c r="AM19" s="26">
        <f t="shared" si="1"/>
        <v>1018505.3</v>
      </c>
    </row>
    <row r="20" spans="1:40" x14ac:dyDescent="0.25">
      <c r="A20" s="25" t="s">
        <v>103</v>
      </c>
      <c r="B20" s="26">
        <v>470.11655999999999</v>
      </c>
      <c r="C20" s="26">
        <v>556.71292000000005</v>
      </c>
      <c r="D20" s="26">
        <v>518.12067000000002</v>
      </c>
      <c r="E20" s="26">
        <v>-105.36275000000001</v>
      </c>
      <c r="F20" s="26">
        <v>451.23649999999998</v>
      </c>
      <c r="G20" s="26">
        <v>293.86653999999999</v>
      </c>
      <c r="H20" s="26">
        <v>389.63162999999997</v>
      </c>
      <c r="I20" s="26">
        <v>361.84710000000001</v>
      </c>
      <c r="J20" s="26">
        <v>417.19882999999999</v>
      </c>
      <c r="K20" s="26">
        <v>362.71791999999999</v>
      </c>
      <c r="L20" s="26">
        <v>176.87295</v>
      </c>
      <c r="M20" s="26">
        <v>192.11850999999999</v>
      </c>
      <c r="N20" s="26">
        <v>300.34649000000002</v>
      </c>
      <c r="O20" s="26">
        <v>341.91144000000003</v>
      </c>
      <c r="P20" s="26">
        <v>554.10834</v>
      </c>
      <c r="Q20" s="26">
        <v>266.72732000000002</v>
      </c>
      <c r="R20" s="26">
        <v>410.98147</v>
      </c>
      <c r="S20" s="26">
        <v>133.90514999999999</v>
      </c>
      <c r="T20" s="26">
        <v>279.34730000000002</v>
      </c>
      <c r="U20" s="26">
        <v>144.85468</v>
      </c>
      <c r="V20" s="26">
        <v>232.32130000000001</v>
      </c>
      <c r="W20" s="26">
        <v>87.302400000000006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7">
        <f t="shared" si="0"/>
        <v>319.62369999999999</v>
      </c>
      <c r="AM20" s="26">
        <f t="shared" si="1"/>
        <v>319623.7</v>
      </c>
      <c r="AN20" s="26">
        <f>AM20+AM30</f>
        <v>332941.35600000003</v>
      </c>
    </row>
    <row r="21" spans="1:40" x14ac:dyDescent="0.25">
      <c r="A21" s="25" t="s">
        <v>104</v>
      </c>
      <c r="B21" s="26">
        <v>0</v>
      </c>
      <c r="C21" s="26">
        <v>0</v>
      </c>
      <c r="D21" s="26">
        <v>19.78885</v>
      </c>
      <c r="E21" s="26">
        <v>33.871969999999997</v>
      </c>
      <c r="F21" s="26">
        <v>122.57151</v>
      </c>
      <c r="G21" s="26">
        <v>23.473479999999999</v>
      </c>
      <c r="H21" s="26">
        <v>239.47738000000001</v>
      </c>
      <c r="I21" s="26">
        <v>97.47242</v>
      </c>
      <c r="J21" s="26">
        <v>222.91175000000001</v>
      </c>
      <c r="K21" s="26">
        <v>271.38927000000001</v>
      </c>
      <c r="L21" s="26">
        <v>279.46672999999998</v>
      </c>
      <c r="M21" s="26">
        <v>388.89100000000002</v>
      </c>
      <c r="N21" s="26">
        <v>170.82492999999999</v>
      </c>
      <c r="O21" s="26">
        <v>305.28955999999999</v>
      </c>
      <c r="P21" s="26">
        <v>125.0442</v>
      </c>
      <c r="Q21" s="26">
        <v>48.865409999999997</v>
      </c>
      <c r="R21" s="26">
        <v>289.86349000000001</v>
      </c>
      <c r="S21" s="26">
        <v>342.95704000000001</v>
      </c>
      <c r="T21" s="26">
        <v>183.83545000000001</v>
      </c>
      <c r="U21" s="26">
        <v>215.44243</v>
      </c>
      <c r="V21" s="26">
        <v>62.163600000000002</v>
      </c>
      <c r="W21" s="26">
        <v>52.5</v>
      </c>
      <c r="X21" s="26">
        <v>51.25</v>
      </c>
      <c r="Y21" s="26">
        <v>66.75</v>
      </c>
      <c r="Z21" s="26">
        <v>52.25</v>
      </c>
      <c r="AA21" s="26">
        <v>52.25</v>
      </c>
      <c r="AB21" s="26">
        <v>66.25</v>
      </c>
      <c r="AC21" s="26">
        <v>51.5</v>
      </c>
      <c r="AD21" s="26">
        <v>52</v>
      </c>
      <c r="AE21" s="26">
        <v>65.5</v>
      </c>
      <c r="AF21" s="26">
        <v>39.5</v>
      </c>
      <c r="AG21" s="26">
        <v>36.5</v>
      </c>
      <c r="AH21" s="26">
        <v>25</v>
      </c>
      <c r="AI21" s="26">
        <v>0</v>
      </c>
      <c r="AJ21" s="26">
        <v>0</v>
      </c>
      <c r="AK21" s="26">
        <v>0</v>
      </c>
      <c r="AL21" s="27">
        <f t="shared" si="0"/>
        <v>673.41359999999997</v>
      </c>
      <c r="AM21" s="26">
        <f t="shared" si="1"/>
        <v>673413.6</v>
      </c>
      <c r="AN21" s="26">
        <f>AM21+AM31</f>
        <v>2693654.3</v>
      </c>
    </row>
    <row r="22" spans="1:40" x14ac:dyDescent="0.25">
      <c r="A22" s="25" t="s">
        <v>105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5.2</v>
      </c>
      <c r="AA22" s="26">
        <v>5.2</v>
      </c>
      <c r="AB22" s="26">
        <v>5.2</v>
      </c>
      <c r="AC22" s="26">
        <v>5.2</v>
      </c>
      <c r="AD22" s="26">
        <v>819.9</v>
      </c>
      <c r="AE22" s="26">
        <v>819.9</v>
      </c>
      <c r="AF22" s="26">
        <v>819.9</v>
      </c>
      <c r="AG22" s="26">
        <v>819.9</v>
      </c>
      <c r="AH22" s="26">
        <v>819.9</v>
      </c>
      <c r="AI22" s="26">
        <v>819.9</v>
      </c>
      <c r="AJ22" s="26">
        <v>819.9</v>
      </c>
      <c r="AK22" s="26">
        <v>819.9</v>
      </c>
      <c r="AL22" s="27">
        <f t="shared" si="0"/>
        <v>4940.2</v>
      </c>
      <c r="AM22" s="26">
        <f t="shared" si="1"/>
        <v>4940200</v>
      </c>
    </row>
    <row r="23" spans="1:40" x14ac:dyDescent="0.25">
      <c r="A23" s="25" t="s">
        <v>106</v>
      </c>
      <c r="B23" s="26">
        <v>0</v>
      </c>
      <c r="C23" s="26">
        <v>0</v>
      </c>
      <c r="D23" s="26">
        <v>0</v>
      </c>
      <c r="E23" s="26">
        <v>0</v>
      </c>
      <c r="F23" s="26">
        <v>66.169300000000007</v>
      </c>
      <c r="G23" s="26">
        <v>42.14208</v>
      </c>
      <c r="H23" s="26">
        <v>431.12682999999998</v>
      </c>
      <c r="I23" s="26">
        <v>1099.0541800000001</v>
      </c>
      <c r="J23" s="26">
        <v>567.36555999999996</v>
      </c>
      <c r="K23" s="26">
        <v>421.36844000000002</v>
      </c>
      <c r="L23" s="26">
        <v>134.36530999999999</v>
      </c>
      <c r="M23" s="26">
        <v>41.026829999999997</v>
      </c>
      <c r="N23" s="26">
        <v>10.327809999999999</v>
      </c>
      <c r="O23" s="26">
        <v>124.81471000000001</v>
      </c>
      <c r="P23" s="26">
        <v>11.39034</v>
      </c>
      <c r="Q23" s="26">
        <v>4.1447399999999996</v>
      </c>
      <c r="R23" s="26">
        <v>2.50936</v>
      </c>
      <c r="S23" s="26">
        <v>0.45115</v>
      </c>
      <c r="T23" s="26">
        <v>1083.3885499999999</v>
      </c>
      <c r="U23" s="26">
        <v>869.19122000000004</v>
      </c>
      <c r="V23" s="26">
        <v>862.87800000000004</v>
      </c>
      <c r="W23" s="26">
        <v>150</v>
      </c>
      <c r="X23" s="26">
        <v>5</v>
      </c>
      <c r="Y23" s="26">
        <v>5</v>
      </c>
      <c r="Z23" s="26">
        <v>2</v>
      </c>
      <c r="AA23" s="26">
        <v>1</v>
      </c>
      <c r="AB23" s="26">
        <v>1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7">
        <f t="shared" si="0"/>
        <v>1026.8780000000002</v>
      </c>
      <c r="AM23" s="26">
        <f t="shared" si="1"/>
        <v>1026878.0000000001</v>
      </c>
    </row>
    <row r="24" spans="1:40" x14ac:dyDescent="0.25">
      <c r="A24" s="25" t="s">
        <v>107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0.45343</v>
      </c>
      <c r="U24" s="26">
        <v>0.45912999999999998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10</v>
      </c>
      <c r="AC24" s="26">
        <v>250</v>
      </c>
      <c r="AD24" s="26">
        <v>500</v>
      </c>
      <c r="AE24" s="26">
        <v>500</v>
      </c>
      <c r="AF24" s="26">
        <v>500</v>
      </c>
      <c r="AG24" s="26">
        <v>500</v>
      </c>
      <c r="AH24" s="26">
        <v>500</v>
      </c>
      <c r="AI24" s="26">
        <v>50</v>
      </c>
      <c r="AJ24" s="26">
        <v>50</v>
      </c>
      <c r="AK24" s="26">
        <v>10</v>
      </c>
      <c r="AL24" s="27">
        <f t="shared" si="0"/>
        <v>2810</v>
      </c>
      <c r="AM24" s="26">
        <f t="shared" si="1"/>
        <v>2810000</v>
      </c>
      <c r="AN24" s="26">
        <f>AM37+AM21</f>
        <v>20434213.600000001</v>
      </c>
    </row>
    <row r="25" spans="1:40" x14ac:dyDescent="0.25">
      <c r="A25" s="25" t="s">
        <v>108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16.035900000000002</v>
      </c>
      <c r="O25" s="26">
        <v>11.67367</v>
      </c>
      <c r="P25" s="26">
        <v>39.214260000000003</v>
      </c>
      <c r="Q25" s="26">
        <v>11.19173</v>
      </c>
      <c r="R25" s="26">
        <v>15.3963</v>
      </c>
      <c r="S25" s="26">
        <v>19.855090000000001</v>
      </c>
      <c r="T25" s="26">
        <v>27.281289999999998</v>
      </c>
      <c r="U25" s="26">
        <v>16.417870000000001</v>
      </c>
      <c r="V25" s="26">
        <v>6.0570000000000004</v>
      </c>
      <c r="W25" s="26">
        <v>400</v>
      </c>
      <c r="X25" s="26">
        <v>500</v>
      </c>
      <c r="Y25" s="26">
        <v>400</v>
      </c>
      <c r="Z25" s="26">
        <v>200</v>
      </c>
      <c r="AA25" s="26">
        <v>50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7">
        <f t="shared" si="0"/>
        <v>1556.057</v>
      </c>
      <c r="AM25" s="26">
        <f t="shared" si="1"/>
        <v>1556057</v>
      </c>
    </row>
    <row r="26" spans="1:40" x14ac:dyDescent="0.25">
      <c r="A26" s="25" t="s">
        <v>109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7">
        <f t="shared" si="0"/>
        <v>0</v>
      </c>
      <c r="AM26" s="26">
        <f t="shared" si="1"/>
        <v>0</v>
      </c>
    </row>
    <row r="27" spans="1:40" x14ac:dyDescent="0.25">
      <c r="A27" s="25" t="s">
        <v>110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159.66123999999999</v>
      </c>
      <c r="Q27" s="26">
        <v>273.14224999999999</v>
      </c>
      <c r="R27" s="26">
        <v>425.02895999999998</v>
      </c>
      <c r="S27" s="26">
        <v>466.35205000000002</v>
      </c>
      <c r="T27" s="26">
        <v>178.28308000000001</v>
      </c>
      <c r="U27" s="26">
        <v>136.75384</v>
      </c>
      <c r="V27" s="26">
        <v>27.248200000000001</v>
      </c>
      <c r="W27" s="26">
        <v>48.65</v>
      </c>
      <c r="X27" s="26">
        <v>48.65</v>
      </c>
      <c r="Y27" s="26">
        <v>48.65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7">
        <f t="shared" si="0"/>
        <v>173.19820000000001</v>
      </c>
      <c r="AM27" s="26">
        <f t="shared" si="1"/>
        <v>173198.2</v>
      </c>
    </row>
    <row r="28" spans="1:40" x14ac:dyDescent="0.25">
      <c r="A28" s="25" t="s">
        <v>111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140.15876</v>
      </c>
      <c r="U28" s="26">
        <v>15.492789999999999</v>
      </c>
      <c r="V28" s="26">
        <v>153.11442</v>
      </c>
      <c r="W28" s="26">
        <v>59.078000000000003</v>
      </c>
      <c r="X28" s="26">
        <v>59.078000000000003</v>
      </c>
      <c r="Y28" s="26">
        <v>59.078000000000003</v>
      </c>
      <c r="Z28" s="26">
        <v>406.149</v>
      </c>
      <c r="AA28" s="26">
        <v>265.03199999999998</v>
      </c>
      <c r="AB28" s="26">
        <v>141.11699999999999</v>
      </c>
      <c r="AC28" s="26">
        <v>47.039000000000001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7">
        <f t="shared" si="0"/>
        <v>1189.68542</v>
      </c>
      <c r="AM28" s="26">
        <f t="shared" si="1"/>
        <v>1189685.42</v>
      </c>
    </row>
    <row r="29" spans="1:40" x14ac:dyDescent="0.25">
      <c r="A29" s="25" t="s">
        <v>112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17.93852</v>
      </c>
      <c r="O29" s="26">
        <v>14.61491</v>
      </c>
      <c r="P29" s="26">
        <v>37.249090000000002</v>
      </c>
      <c r="Q29" s="26">
        <v>43.17286</v>
      </c>
      <c r="R29" s="26">
        <v>210.25942000000001</v>
      </c>
      <c r="S29" s="26">
        <v>57.952060000000003</v>
      </c>
      <c r="T29" s="26">
        <v>180.50029000000001</v>
      </c>
      <c r="U29" s="26">
        <v>94.44023</v>
      </c>
      <c r="V29" s="26">
        <v>192.89819</v>
      </c>
      <c r="W29" s="26">
        <v>289.67200000000003</v>
      </c>
      <c r="X29" s="26">
        <v>248.827</v>
      </c>
      <c r="Y29" s="26">
        <v>129.66499999999999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7">
        <f t="shared" si="0"/>
        <v>861.06218999999999</v>
      </c>
      <c r="AM29" s="26">
        <f t="shared" si="1"/>
        <v>861062.19</v>
      </c>
    </row>
    <row r="30" spans="1:40" x14ac:dyDescent="0.25">
      <c r="A30" s="25" t="s">
        <v>113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9.6800560000000004</v>
      </c>
      <c r="W30" s="26">
        <v>3.6375999999999999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7">
        <f t="shared" si="0"/>
        <v>13.317655999999999</v>
      </c>
      <c r="AM30" s="26">
        <f t="shared" si="1"/>
        <v>13317.655999999999</v>
      </c>
    </row>
    <row r="31" spans="1:40" x14ac:dyDescent="0.25">
      <c r="A31" s="25" t="s">
        <v>114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186.4907</v>
      </c>
      <c r="W31" s="26">
        <v>157.5</v>
      </c>
      <c r="X31" s="26">
        <v>153.75</v>
      </c>
      <c r="Y31" s="26">
        <v>200.25</v>
      </c>
      <c r="Z31" s="26">
        <v>156.75</v>
      </c>
      <c r="AA31" s="26">
        <v>156.75</v>
      </c>
      <c r="AB31" s="26">
        <v>198.75</v>
      </c>
      <c r="AC31" s="26">
        <v>154.5</v>
      </c>
      <c r="AD31" s="26">
        <v>156</v>
      </c>
      <c r="AE31" s="26">
        <v>196.5</v>
      </c>
      <c r="AF31" s="26">
        <v>118.5</v>
      </c>
      <c r="AG31" s="26">
        <v>109.5</v>
      </c>
      <c r="AH31" s="26">
        <v>75</v>
      </c>
      <c r="AI31" s="26">
        <v>0</v>
      </c>
      <c r="AJ31" s="26">
        <v>0</v>
      </c>
      <c r="AK31" s="26">
        <v>0</v>
      </c>
      <c r="AL31" s="27">
        <f t="shared" si="0"/>
        <v>2020.2407000000001</v>
      </c>
      <c r="AM31" s="26">
        <f t="shared" si="1"/>
        <v>2020240.7</v>
      </c>
    </row>
    <row r="32" spans="1:40" x14ac:dyDescent="0.25">
      <c r="A32" s="25" t="s">
        <v>115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5.375</v>
      </c>
      <c r="W32" s="26">
        <v>25</v>
      </c>
      <c r="X32" s="26">
        <v>5</v>
      </c>
      <c r="Y32" s="26">
        <v>5</v>
      </c>
      <c r="Z32" s="26">
        <v>25</v>
      </c>
      <c r="AA32" s="26">
        <v>25</v>
      </c>
      <c r="AB32" s="26">
        <v>30</v>
      </c>
      <c r="AC32" s="26">
        <v>40</v>
      </c>
      <c r="AD32" s="26">
        <v>40</v>
      </c>
      <c r="AE32" s="26">
        <v>100</v>
      </c>
      <c r="AF32" s="26">
        <v>300</v>
      </c>
      <c r="AG32" s="26">
        <v>300</v>
      </c>
      <c r="AH32" s="26">
        <v>300</v>
      </c>
      <c r="AI32" s="26">
        <v>300</v>
      </c>
      <c r="AJ32" s="26">
        <v>0</v>
      </c>
      <c r="AK32" s="26">
        <v>0</v>
      </c>
      <c r="AL32" s="27">
        <f t="shared" si="0"/>
        <v>1500.375</v>
      </c>
      <c r="AM32" s="26">
        <f t="shared" si="1"/>
        <v>1500375</v>
      </c>
    </row>
    <row r="33" spans="1:39" x14ac:dyDescent="0.25">
      <c r="A33" s="25" t="s">
        <v>116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2.5</v>
      </c>
      <c r="Y33" s="26">
        <v>2.5</v>
      </c>
      <c r="Z33" s="26">
        <v>2.5</v>
      </c>
      <c r="AA33" s="26">
        <v>2.5</v>
      </c>
      <c r="AB33" s="26">
        <v>2.5</v>
      </c>
      <c r="AC33" s="26">
        <v>2.5</v>
      </c>
      <c r="AD33" s="26">
        <v>25</v>
      </c>
      <c r="AE33" s="26">
        <v>125</v>
      </c>
      <c r="AF33" s="26">
        <v>350</v>
      </c>
      <c r="AG33" s="26">
        <v>300</v>
      </c>
      <c r="AH33" s="26">
        <v>300</v>
      </c>
      <c r="AI33" s="26">
        <v>50</v>
      </c>
      <c r="AJ33" s="26">
        <v>25</v>
      </c>
      <c r="AK33" s="26">
        <v>2.5</v>
      </c>
      <c r="AL33" s="27">
        <f t="shared" si="0"/>
        <v>1165</v>
      </c>
      <c r="AM33" s="26">
        <f t="shared" si="1"/>
        <v>1165000</v>
      </c>
    </row>
    <row r="34" spans="1:39" x14ac:dyDescent="0.25">
      <c r="A34" s="25" t="s">
        <v>117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1</v>
      </c>
      <c r="Y34" s="26">
        <v>1</v>
      </c>
      <c r="Z34" s="26">
        <v>2.5</v>
      </c>
      <c r="AA34" s="26">
        <v>25</v>
      </c>
      <c r="AB34" s="26">
        <v>200</v>
      </c>
      <c r="AC34" s="26">
        <v>50</v>
      </c>
      <c r="AD34" s="26">
        <v>50</v>
      </c>
      <c r="AE34" s="26">
        <v>250</v>
      </c>
      <c r="AF34" s="26">
        <v>250</v>
      </c>
      <c r="AG34" s="26">
        <v>250</v>
      </c>
      <c r="AH34" s="26">
        <v>150</v>
      </c>
      <c r="AI34" s="26">
        <v>100</v>
      </c>
      <c r="AJ34" s="26">
        <v>140</v>
      </c>
      <c r="AK34" s="26">
        <v>5</v>
      </c>
      <c r="AL34" s="27">
        <f t="shared" si="0"/>
        <v>1329.5</v>
      </c>
      <c r="AM34" s="26">
        <f t="shared" si="1"/>
        <v>1329500</v>
      </c>
    </row>
    <row r="35" spans="1:39" x14ac:dyDescent="0.25">
      <c r="A35" s="25" t="s">
        <v>118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93.89</v>
      </c>
      <c r="W35" s="26">
        <v>450</v>
      </c>
      <c r="X35" s="26">
        <v>500</v>
      </c>
      <c r="Y35" s="26">
        <v>500</v>
      </c>
      <c r="Z35" s="26">
        <v>500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7">
        <f t="shared" si="0"/>
        <v>2043.8899999999999</v>
      </c>
      <c r="AM35" s="26">
        <f t="shared" si="1"/>
        <v>2043889.9999999998</v>
      </c>
    </row>
    <row r="36" spans="1:39" x14ac:dyDescent="0.25">
      <c r="A36" s="25" t="s">
        <v>119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70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7">
        <f t="shared" si="0"/>
        <v>70</v>
      </c>
      <c r="AM36" s="26">
        <f t="shared" si="1"/>
        <v>70000</v>
      </c>
    </row>
    <row r="37" spans="1:39" x14ac:dyDescent="0.25">
      <c r="A37" s="25" t="s">
        <v>120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20.8</v>
      </c>
      <c r="AA37" s="26">
        <v>20.8</v>
      </c>
      <c r="AB37" s="26">
        <v>20.8</v>
      </c>
      <c r="AC37" s="26">
        <v>20.8</v>
      </c>
      <c r="AD37" s="26">
        <v>3279.6</v>
      </c>
      <c r="AE37" s="26">
        <v>3279.6</v>
      </c>
      <c r="AF37" s="26">
        <v>3279.6</v>
      </c>
      <c r="AG37" s="26">
        <v>3279.6</v>
      </c>
      <c r="AH37" s="26">
        <v>3279.6</v>
      </c>
      <c r="AI37" s="26">
        <v>3279.6</v>
      </c>
      <c r="AJ37" s="26">
        <v>3279.6</v>
      </c>
      <c r="AK37" s="26">
        <v>3279.6</v>
      </c>
      <c r="AL37" s="27">
        <f t="shared" si="0"/>
        <v>19760.8</v>
      </c>
      <c r="AM37" s="26">
        <f t="shared" si="1"/>
        <v>19760800</v>
      </c>
    </row>
    <row r="38" spans="1:39" x14ac:dyDescent="0.25">
      <c r="AL38" s="27">
        <f t="shared" si="0"/>
        <v>0</v>
      </c>
      <c r="AM38" s="26">
        <f t="shared" si="1"/>
        <v>0</v>
      </c>
    </row>
    <row r="39" spans="1:39" x14ac:dyDescent="0.25">
      <c r="A39" s="25" t="s">
        <v>121</v>
      </c>
      <c r="AL39" s="27">
        <f t="shared" si="0"/>
        <v>0</v>
      </c>
      <c r="AM39" s="26">
        <f t="shared" si="1"/>
        <v>0</v>
      </c>
    </row>
    <row r="40" spans="1:39" x14ac:dyDescent="0.25">
      <c r="A40" s="25" t="s">
        <v>89</v>
      </c>
      <c r="B40" s="26">
        <v>2.1001099999999999</v>
      </c>
      <c r="C40" s="26">
        <v>23.490490000000001</v>
      </c>
      <c r="D40" s="26">
        <v>4.5170300000000001</v>
      </c>
      <c r="E40" s="26">
        <v>1.96495</v>
      </c>
      <c r="F40" s="26">
        <v>2.3069199999999999</v>
      </c>
      <c r="G40" s="26">
        <v>1.7484299999999999</v>
      </c>
      <c r="H40" s="26">
        <v>2.6945399999999999</v>
      </c>
      <c r="I40" s="26">
        <v>1.5562100000000001</v>
      </c>
      <c r="J40" s="26">
        <v>1.8214999999999999</v>
      </c>
      <c r="K40" s="26">
        <v>1.7132799999999999</v>
      </c>
      <c r="L40" s="26">
        <v>1.43835</v>
      </c>
      <c r="M40" s="26">
        <v>2.3284099999999999</v>
      </c>
      <c r="N40" s="26">
        <v>0.98877999999999999</v>
      </c>
      <c r="O40" s="26">
        <v>1.2675399999999999</v>
      </c>
      <c r="P40" s="26">
        <v>5.23102</v>
      </c>
      <c r="Q40" s="26">
        <v>8.6902500000000007</v>
      </c>
      <c r="R40" s="26">
        <v>9.9562000000000008</v>
      </c>
      <c r="S40" s="26">
        <v>0.88158000000000003</v>
      </c>
      <c r="T40" s="26">
        <v>22.201309999999999</v>
      </c>
      <c r="U40" s="26">
        <v>4.8308200000000001</v>
      </c>
      <c r="V40" s="26">
        <v>6.71</v>
      </c>
      <c r="W40" s="26">
        <v>2E-3</v>
      </c>
      <c r="X40" s="26">
        <v>170</v>
      </c>
      <c r="Y40" s="26">
        <v>100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f t="shared" si="0"/>
        <v>276.71199999999999</v>
      </c>
      <c r="AM40" s="26">
        <f t="shared" si="1"/>
        <v>276712</v>
      </c>
    </row>
    <row r="41" spans="1:39" x14ac:dyDescent="0.25">
      <c r="A41" s="25" t="s">
        <v>90</v>
      </c>
      <c r="B41" s="26">
        <v>51.923209999999997</v>
      </c>
      <c r="C41" s="26">
        <v>84.447590000000005</v>
      </c>
      <c r="D41" s="26">
        <v>55.056159999999998</v>
      </c>
      <c r="E41" s="26">
        <v>40.57732</v>
      </c>
      <c r="F41" s="26">
        <v>26.113990000000001</v>
      </c>
      <c r="G41" s="26">
        <v>5.3002599999999997</v>
      </c>
      <c r="H41" s="26">
        <v>85.539569999999998</v>
      </c>
      <c r="I41" s="26">
        <v>7.7847600000000003</v>
      </c>
      <c r="J41" s="26">
        <v>3.2082000000000002</v>
      </c>
      <c r="K41" s="26">
        <v>3.34226</v>
      </c>
      <c r="L41" s="26">
        <v>0</v>
      </c>
      <c r="M41" s="26">
        <v>13.06353</v>
      </c>
      <c r="N41" s="26">
        <v>16.0976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8.5000000000000006E-2</v>
      </c>
      <c r="W41" s="26">
        <v>1.5</v>
      </c>
      <c r="X41" s="26">
        <v>1.5</v>
      </c>
      <c r="Y41" s="26">
        <v>1.5</v>
      </c>
      <c r="Z41" s="26">
        <v>2.5</v>
      </c>
      <c r="AA41" s="26">
        <v>2.5</v>
      </c>
      <c r="AB41" s="26">
        <v>2.5</v>
      </c>
      <c r="AC41" s="26">
        <v>2.5</v>
      </c>
      <c r="AD41" s="26">
        <v>2.5</v>
      </c>
      <c r="AE41" s="26">
        <v>45</v>
      </c>
      <c r="AF41" s="26">
        <v>30</v>
      </c>
      <c r="AG41" s="26">
        <v>30</v>
      </c>
      <c r="AH41" s="26">
        <v>0</v>
      </c>
      <c r="AI41" s="26">
        <v>0</v>
      </c>
      <c r="AJ41" s="26">
        <v>0</v>
      </c>
      <c r="AK41" s="26">
        <v>0</v>
      </c>
      <c r="AL41" s="27">
        <f t="shared" si="0"/>
        <v>122.08500000000001</v>
      </c>
      <c r="AM41" s="26">
        <f t="shared" si="1"/>
        <v>122085.00000000001</v>
      </c>
    </row>
    <row r="42" spans="1:39" x14ac:dyDescent="0.25">
      <c r="A42" s="25" t="s">
        <v>91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70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7">
        <f t="shared" si="0"/>
        <v>70</v>
      </c>
      <c r="AM42" s="26">
        <f t="shared" si="1"/>
        <v>70000</v>
      </c>
    </row>
    <row r="43" spans="1:39" x14ac:dyDescent="0.25">
      <c r="A43" s="25" t="s">
        <v>92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0.63119999999999998</v>
      </c>
      <c r="M43" s="26">
        <v>3.9398900000000001</v>
      </c>
      <c r="N43" s="26">
        <v>10.637840000000001</v>
      </c>
      <c r="O43" s="26">
        <v>0.61707000000000001</v>
      </c>
      <c r="P43" s="26">
        <v>0.70111000000000001</v>
      </c>
      <c r="Q43" s="26">
        <v>6.7638199999999999</v>
      </c>
      <c r="R43" s="26">
        <v>9.6860000000000002E-2</v>
      </c>
      <c r="S43" s="26">
        <v>9.2090000000000005E-2</v>
      </c>
      <c r="T43" s="26">
        <v>9.257E-2</v>
      </c>
      <c r="U43" s="26">
        <v>9.3719999999999998E-2</v>
      </c>
      <c r="V43" s="26">
        <v>8.7999999999999995E-2</v>
      </c>
      <c r="W43" s="26">
        <v>0</v>
      </c>
      <c r="X43" s="26">
        <v>5</v>
      </c>
      <c r="Y43" s="26">
        <v>5</v>
      </c>
      <c r="Z43" s="26">
        <v>25</v>
      </c>
      <c r="AA43" s="26">
        <v>25</v>
      </c>
      <c r="AB43" s="26">
        <v>25</v>
      </c>
      <c r="AC43" s="26">
        <v>25</v>
      </c>
      <c r="AD43" s="26">
        <v>25</v>
      </c>
      <c r="AE43" s="26">
        <v>200</v>
      </c>
      <c r="AF43" s="26">
        <v>400</v>
      </c>
      <c r="AG43" s="26">
        <v>400</v>
      </c>
      <c r="AH43" s="26">
        <v>400</v>
      </c>
      <c r="AI43" s="26">
        <v>200</v>
      </c>
      <c r="AJ43" s="26">
        <v>0</v>
      </c>
      <c r="AK43" s="26">
        <v>0</v>
      </c>
      <c r="AL43" s="27">
        <f t="shared" si="0"/>
        <v>1735.088</v>
      </c>
      <c r="AM43" s="26">
        <f t="shared" si="1"/>
        <v>1735088</v>
      </c>
    </row>
    <row r="44" spans="1:39" x14ac:dyDescent="0.25">
      <c r="A44" s="25" t="s">
        <v>93</v>
      </c>
      <c r="B44" s="26">
        <v>13.461220000000001</v>
      </c>
      <c r="C44" s="26">
        <v>14.10981</v>
      </c>
      <c r="D44" s="26">
        <v>214.57886999999999</v>
      </c>
      <c r="E44" s="26">
        <v>71.251949999999994</v>
      </c>
      <c r="F44" s="26">
        <v>367.60347999999999</v>
      </c>
      <c r="G44" s="26">
        <v>402.03609</v>
      </c>
      <c r="H44" s="26">
        <v>140.90681000000001</v>
      </c>
      <c r="I44" s="26">
        <v>35.521749999999997</v>
      </c>
      <c r="J44" s="26">
        <v>1351.4165</v>
      </c>
      <c r="K44" s="26">
        <v>885.68475000000001</v>
      </c>
      <c r="L44" s="26">
        <v>1345.7163</v>
      </c>
      <c r="M44" s="26">
        <v>773.91258000000005</v>
      </c>
      <c r="N44" s="26">
        <v>1725.8283200000001</v>
      </c>
      <c r="O44" s="26">
        <v>133.7174</v>
      </c>
      <c r="P44" s="26">
        <v>5344.4399000000003</v>
      </c>
      <c r="Q44" s="26">
        <v>5272.4199200000003</v>
      </c>
      <c r="R44" s="26">
        <v>145.18883</v>
      </c>
      <c r="S44" s="26">
        <v>22.456759999999999</v>
      </c>
      <c r="T44" s="26">
        <v>2378.4470200000001</v>
      </c>
      <c r="U44" s="26">
        <v>2903.3343599999998</v>
      </c>
      <c r="V44" s="26">
        <v>0.246</v>
      </c>
      <c r="W44" s="26">
        <v>1</v>
      </c>
      <c r="X44" s="26">
        <v>35</v>
      </c>
      <c r="Y44" s="26">
        <v>2</v>
      </c>
      <c r="Z44" s="26">
        <v>0</v>
      </c>
      <c r="AA44" s="26">
        <v>130</v>
      </c>
      <c r="AB44" s="26">
        <v>5</v>
      </c>
      <c r="AC44" s="26">
        <v>5</v>
      </c>
      <c r="AD44" s="26">
        <v>5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7">
        <f t="shared" si="0"/>
        <v>183.24600000000001</v>
      </c>
      <c r="AM44" s="26">
        <f t="shared" si="1"/>
        <v>183246</v>
      </c>
    </row>
    <row r="45" spans="1:39" x14ac:dyDescent="0.25">
      <c r="A45" s="25" t="s">
        <v>94</v>
      </c>
      <c r="B45" s="26">
        <v>5.8991499999999997</v>
      </c>
      <c r="C45" s="26">
        <v>3.43797</v>
      </c>
      <c r="D45" s="26">
        <v>0.87204000000000004</v>
      </c>
      <c r="E45" s="26">
        <v>2.6541199999999998</v>
      </c>
      <c r="F45" s="26">
        <v>1.29189</v>
      </c>
      <c r="G45" s="26">
        <v>2.6088100000000001</v>
      </c>
      <c r="H45" s="26">
        <v>1.2175</v>
      </c>
      <c r="I45" s="26">
        <v>1.3015699999999999</v>
      </c>
      <c r="J45" s="26">
        <v>1.17</v>
      </c>
      <c r="K45" s="26">
        <v>1.1965399999999999</v>
      </c>
      <c r="L45" s="26">
        <v>1.6881699999999999</v>
      </c>
      <c r="M45" s="26">
        <v>6.8507999999999996</v>
      </c>
      <c r="N45" s="26">
        <v>4.3303099999999999</v>
      </c>
      <c r="O45" s="26">
        <v>3.7656700000000001</v>
      </c>
      <c r="P45" s="26">
        <v>11.968629999999999</v>
      </c>
      <c r="Q45" s="26">
        <v>31.746870000000001</v>
      </c>
      <c r="R45" s="26">
        <v>167.09952999999999</v>
      </c>
      <c r="S45" s="26">
        <v>317.1653</v>
      </c>
      <c r="T45" s="26">
        <v>53.137999999999998</v>
      </c>
      <c r="U45" s="26">
        <v>257.29872</v>
      </c>
      <c r="V45" s="26">
        <v>48.581000000000003</v>
      </c>
      <c r="W45" s="26">
        <v>135.376</v>
      </c>
      <c r="X45" s="26">
        <v>5</v>
      </c>
      <c r="Y45" s="26">
        <v>5</v>
      </c>
      <c r="Z45" s="26">
        <v>2.5</v>
      </c>
      <c r="AA45" s="26">
        <v>2.5</v>
      </c>
      <c r="AB45" s="26">
        <v>2.5</v>
      </c>
      <c r="AC45" s="26">
        <v>2.5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7">
        <f t="shared" si="0"/>
        <v>203.95699999999999</v>
      </c>
      <c r="AM45" s="26">
        <f t="shared" si="1"/>
        <v>203957</v>
      </c>
    </row>
    <row r="46" spans="1:39" x14ac:dyDescent="0.25">
      <c r="A46" s="25" t="s">
        <v>95</v>
      </c>
      <c r="B46" s="26">
        <v>20.378910000000001</v>
      </c>
      <c r="C46" s="26">
        <v>99.975539999999995</v>
      </c>
      <c r="D46" s="26">
        <v>21.734449999999999</v>
      </c>
      <c r="E46" s="26">
        <v>73.702669999999998</v>
      </c>
      <c r="F46" s="26">
        <v>289.61975000000001</v>
      </c>
      <c r="G46" s="26">
        <v>14.39273</v>
      </c>
      <c r="H46" s="26">
        <v>117.99397</v>
      </c>
      <c r="I46" s="26">
        <v>196.49814000000001</v>
      </c>
      <c r="J46" s="26">
        <v>32.731659999999998</v>
      </c>
      <c r="K46" s="26">
        <v>151.77665999999999</v>
      </c>
      <c r="L46" s="26">
        <v>13.42873</v>
      </c>
      <c r="M46" s="26">
        <v>358.33704</v>
      </c>
      <c r="N46" s="26">
        <v>8.9801300000000008</v>
      </c>
      <c r="O46" s="26">
        <v>267.67993000000001</v>
      </c>
      <c r="P46" s="26">
        <v>8.7049599999999998</v>
      </c>
      <c r="Q46" s="26">
        <v>-9.8961500000000004</v>
      </c>
      <c r="R46" s="26">
        <v>6.5979200000000002</v>
      </c>
      <c r="S46" s="26">
        <v>13.62</v>
      </c>
      <c r="T46" s="26">
        <v>0.72</v>
      </c>
      <c r="U46" s="26">
        <v>22.120509999999999</v>
      </c>
      <c r="V46" s="26">
        <v>0</v>
      </c>
      <c r="W46" s="26">
        <v>12.396000000000001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7">
        <f t="shared" si="0"/>
        <v>12.396000000000001</v>
      </c>
      <c r="AM46" s="26">
        <f t="shared" si="1"/>
        <v>12396</v>
      </c>
    </row>
    <row r="47" spans="1:39" x14ac:dyDescent="0.25">
      <c r="A47" s="25" t="s">
        <v>96</v>
      </c>
      <c r="B47" s="26">
        <v>0</v>
      </c>
      <c r="C47" s="26">
        <v>0</v>
      </c>
      <c r="D47" s="26">
        <v>0</v>
      </c>
      <c r="E47" s="26">
        <v>215.59415999999999</v>
      </c>
      <c r="F47" s="26">
        <v>61.469990000000003</v>
      </c>
      <c r="G47" s="26">
        <v>40.93383</v>
      </c>
      <c r="H47" s="26">
        <v>53.369729999999997</v>
      </c>
      <c r="I47" s="26">
        <v>482.90359000000001</v>
      </c>
      <c r="J47" s="26">
        <v>67.668469999999999</v>
      </c>
      <c r="K47" s="26">
        <v>20.865939999999998</v>
      </c>
      <c r="L47" s="26">
        <v>15.86665</v>
      </c>
      <c r="M47" s="26">
        <v>5.1791799999999997</v>
      </c>
      <c r="N47" s="26">
        <v>1.34196</v>
      </c>
      <c r="O47" s="26">
        <v>0.63980999999999999</v>
      </c>
      <c r="P47" s="26">
        <v>0.72</v>
      </c>
      <c r="Q47" s="26">
        <v>1.9590700000000001</v>
      </c>
      <c r="R47" s="26">
        <v>11.099449999999999</v>
      </c>
      <c r="S47" s="26">
        <v>1.08944</v>
      </c>
      <c r="T47" s="26">
        <v>2.8800000000000002E-3</v>
      </c>
      <c r="U47" s="26">
        <v>2.9199999999999999E-3</v>
      </c>
      <c r="V47" s="26">
        <v>1.589</v>
      </c>
      <c r="W47" s="26">
        <v>1</v>
      </c>
      <c r="X47" s="26">
        <v>0.5</v>
      </c>
      <c r="Y47" s="26">
        <v>0.5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7">
        <f t="shared" si="0"/>
        <v>3.589</v>
      </c>
      <c r="AM47" s="26">
        <f t="shared" si="1"/>
        <v>3589</v>
      </c>
    </row>
    <row r="48" spans="1:39" x14ac:dyDescent="0.25">
      <c r="A48" s="25" t="s">
        <v>97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1.3595999999999999</v>
      </c>
      <c r="U48" s="26">
        <v>0.52209000000000005</v>
      </c>
      <c r="V48" s="26">
        <v>1.3879999999999999</v>
      </c>
      <c r="W48" s="26">
        <v>1</v>
      </c>
      <c r="X48" s="26">
        <v>1</v>
      </c>
      <c r="Y48" s="26">
        <v>1</v>
      </c>
      <c r="Z48" s="26">
        <v>1</v>
      </c>
      <c r="AA48" s="26">
        <v>1</v>
      </c>
      <c r="AB48" s="26">
        <v>1</v>
      </c>
      <c r="AC48" s="26">
        <v>300</v>
      </c>
      <c r="AD48" s="26">
        <v>300</v>
      </c>
      <c r="AE48" s="26">
        <v>500</v>
      </c>
      <c r="AF48" s="26">
        <v>500</v>
      </c>
      <c r="AG48" s="26">
        <v>500</v>
      </c>
      <c r="AH48" s="26">
        <v>500</v>
      </c>
      <c r="AI48" s="26">
        <v>5</v>
      </c>
      <c r="AJ48" s="26">
        <v>0</v>
      </c>
      <c r="AK48" s="26">
        <v>0</v>
      </c>
      <c r="AL48" s="27">
        <f t="shared" si="0"/>
        <v>2612.3879999999999</v>
      </c>
      <c r="AM48" s="26">
        <f t="shared" si="1"/>
        <v>2612388</v>
      </c>
    </row>
    <row r="49" spans="1:39" x14ac:dyDescent="0.25">
      <c r="A49" s="25" t="s">
        <v>98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6.4832299999999998</v>
      </c>
      <c r="K49" s="26">
        <v>6.5808200000000001</v>
      </c>
      <c r="L49" s="26">
        <v>13.371449999999999</v>
      </c>
      <c r="M49" s="26">
        <v>64.675330000000002</v>
      </c>
      <c r="N49" s="26">
        <v>26.096419999999998</v>
      </c>
      <c r="O49" s="26">
        <v>4.8571</v>
      </c>
      <c r="P49" s="26">
        <v>4.6856</v>
      </c>
      <c r="Q49" s="26">
        <v>3.10547</v>
      </c>
      <c r="R49" s="26">
        <v>332.92651000000001</v>
      </c>
      <c r="S49" s="26">
        <v>227.58963</v>
      </c>
      <c r="T49" s="26">
        <v>32.698090000000001</v>
      </c>
      <c r="U49" s="26">
        <v>32.27328</v>
      </c>
      <c r="V49" s="26">
        <v>8.11</v>
      </c>
      <c r="W49" s="26">
        <v>80</v>
      </c>
      <c r="X49" s="26">
        <v>60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7">
        <f t="shared" si="0"/>
        <v>148.11000000000001</v>
      </c>
      <c r="AM49" s="26">
        <f t="shared" si="1"/>
        <v>148110</v>
      </c>
    </row>
    <row r="50" spans="1:39" x14ac:dyDescent="0.25">
      <c r="A50" s="25" t="s">
        <v>99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6.9043599999999996</v>
      </c>
      <c r="K50" s="26">
        <v>6.5831499999999998</v>
      </c>
      <c r="L50" s="26">
        <v>21.408580000000001</v>
      </c>
      <c r="M50" s="26">
        <v>72.9114</v>
      </c>
      <c r="N50" s="26">
        <v>1.0286999999999999</v>
      </c>
      <c r="O50" s="26">
        <v>15.571339999999999</v>
      </c>
      <c r="P50" s="26">
        <v>9.7529800000000009</v>
      </c>
      <c r="Q50" s="26">
        <v>26.877659999999999</v>
      </c>
      <c r="R50" s="26">
        <v>81.089070000000007</v>
      </c>
      <c r="S50" s="26">
        <v>13.96888</v>
      </c>
      <c r="T50" s="26">
        <v>403.79771</v>
      </c>
      <c r="U50" s="26">
        <v>122.39879000000001</v>
      </c>
      <c r="V50" s="26">
        <v>578.11422000000005</v>
      </c>
      <c r="W50" s="26">
        <v>200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7">
        <f t="shared" si="0"/>
        <v>778.11422000000005</v>
      </c>
      <c r="AM50" s="26">
        <f t="shared" si="1"/>
        <v>778114.22000000009</v>
      </c>
    </row>
    <row r="51" spans="1:39" x14ac:dyDescent="0.25">
      <c r="A51" s="25" t="s">
        <v>100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217.30018000000001</v>
      </c>
      <c r="K51" s="26">
        <v>4.7995900000000002</v>
      </c>
      <c r="L51" s="26">
        <v>1.0792900000000001</v>
      </c>
      <c r="M51" s="26">
        <v>340.63024000000001</v>
      </c>
      <c r="N51" s="26">
        <v>121.55264</v>
      </c>
      <c r="O51" s="26">
        <v>149.05555000000001</v>
      </c>
      <c r="P51" s="26">
        <v>136.61446000000001</v>
      </c>
      <c r="Q51" s="26">
        <v>266.86660000000001</v>
      </c>
      <c r="R51" s="26">
        <v>300.00389000000001</v>
      </c>
      <c r="S51" s="26">
        <v>233.23369</v>
      </c>
      <c r="T51" s="26">
        <v>251.54995</v>
      </c>
      <c r="U51" s="26">
        <v>299.70006000000001</v>
      </c>
      <c r="V51" s="26">
        <v>96.164000000000001</v>
      </c>
      <c r="W51" s="26">
        <v>15</v>
      </c>
      <c r="X51" s="26">
        <v>10</v>
      </c>
      <c r="Y51" s="26">
        <v>7.5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7">
        <f t="shared" si="0"/>
        <v>128.66399999999999</v>
      </c>
      <c r="AM51" s="26">
        <f t="shared" si="1"/>
        <v>128663.99999999999</v>
      </c>
    </row>
    <row r="52" spans="1:39" x14ac:dyDescent="0.25">
      <c r="A52" s="25" t="s">
        <v>101</v>
      </c>
      <c r="B52" s="26">
        <v>0</v>
      </c>
      <c r="C52" s="26">
        <v>0</v>
      </c>
      <c r="D52" s="26">
        <v>44.231650000000002</v>
      </c>
      <c r="E52" s="26">
        <v>35.405189999999997</v>
      </c>
      <c r="F52" s="26">
        <v>17.62227</v>
      </c>
      <c r="G52" s="26">
        <v>3.2257600000000002</v>
      </c>
      <c r="H52" s="26">
        <v>10.664899999999999</v>
      </c>
      <c r="I52" s="26">
        <v>59.050539999999998</v>
      </c>
      <c r="J52" s="26">
        <v>48.031709999999997</v>
      </c>
      <c r="K52" s="26">
        <v>66.466440000000006</v>
      </c>
      <c r="L52" s="26">
        <v>104.99336</v>
      </c>
      <c r="M52" s="26">
        <v>169.81115</v>
      </c>
      <c r="N52" s="26">
        <v>298.50491</v>
      </c>
      <c r="O52" s="26">
        <v>183.26038</v>
      </c>
      <c r="P52" s="26">
        <v>185.47657000000001</v>
      </c>
      <c r="Q52" s="26">
        <v>359.29915999999997</v>
      </c>
      <c r="R52" s="26">
        <v>963.41943000000003</v>
      </c>
      <c r="S52" s="26">
        <v>939.80507</v>
      </c>
      <c r="T52" s="26">
        <v>1249.8535400000001</v>
      </c>
      <c r="U52" s="26">
        <v>1152.3036999999999</v>
      </c>
      <c r="V52" s="26">
        <v>669.58299999999997</v>
      </c>
      <c r="W52" s="26">
        <v>1670.8130000000001</v>
      </c>
      <c r="X52" s="26">
        <v>1402.289</v>
      </c>
      <c r="Y52" s="26">
        <v>660.30200000000002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7">
        <f t="shared" si="0"/>
        <v>4402.9870000000001</v>
      </c>
      <c r="AM52" s="26">
        <f t="shared" si="1"/>
        <v>4402987</v>
      </c>
    </row>
    <row r="53" spans="1:39" x14ac:dyDescent="0.25">
      <c r="A53" s="25" t="s">
        <v>102</v>
      </c>
      <c r="B53" s="26">
        <v>547.32438000000002</v>
      </c>
      <c r="C53" s="26">
        <v>15.9846</v>
      </c>
      <c r="D53" s="26">
        <v>70.772409999999994</v>
      </c>
      <c r="E53" s="26">
        <v>32.099600000000002</v>
      </c>
      <c r="F53" s="26">
        <v>129.99808999999999</v>
      </c>
      <c r="G53" s="26">
        <v>94.832099999999997</v>
      </c>
      <c r="H53" s="26">
        <v>203.00758999999999</v>
      </c>
      <c r="I53" s="26">
        <v>44.924619999999997</v>
      </c>
      <c r="J53" s="26">
        <v>53.203710000000001</v>
      </c>
      <c r="K53" s="26">
        <v>58.782739999999997</v>
      </c>
      <c r="L53" s="26">
        <v>72.463340000000002</v>
      </c>
      <c r="M53" s="26">
        <v>710.25094000000001</v>
      </c>
      <c r="N53" s="26">
        <v>136.01105999999999</v>
      </c>
      <c r="O53" s="26">
        <v>40.637250000000002</v>
      </c>
      <c r="P53" s="26">
        <v>121.62999000000001</v>
      </c>
      <c r="Q53" s="26">
        <v>324.87238000000002</v>
      </c>
      <c r="R53" s="26">
        <v>274.32616999999999</v>
      </c>
      <c r="S53" s="26">
        <v>322.53397999999999</v>
      </c>
      <c r="T53" s="26">
        <v>71.461389999999994</v>
      </c>
      <c r="U53" s="26">
        <v>105.14917</v>
      </c>
      <c r="V53" s="26">
        <v>326.00130000000001</v>
      </c>
      <c r="W53" s="26">
        <v>339.50400000000002</v>
      </c>
      <c r="X53" s="26">
        <v>183</v>
      </c>
      <c r="Y53" s="26">
        <v>150</v>
      </c>
      <c r="Z53" s="26">
        <v>20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7">
        <f t="shared" si="0"/>
        <v>1018.5053</v>
      </c>
      <c r="AM53" s="26">
        <f t="shared" si="1"/>
        <v>1018505.3</v>
      </c>
    </row>
    <row r="54" spans="1:39" x14ac:dyDescent="0.25">
      <c r="A54" s="25" t="s">
        <v>103</v>
      </c>
      <c r="B54" s="26">
        <v>470.11655999999999</v>
      </c>
      <c r="C54" s="26">
        <v>556.71292000000005</v>
      </c>
      <c r="D54" s="26">
        <v>518.12067000000002</v>
      </c>
      <c r="E54" s="26">
        <v>-105.36275000000001</v>
      </c>
      <c r="F54" s="26">
        <v>451.23649999999998</v>
      </c>
      <c r="G54" s="26">
        <v>293.86653999999999</v>
      </c>
      <c r="H54" s="26">
        <v>389.63162999999997</v>
      </c>
      <c r="I54" s="26">
        <v>361.84710000000001</v>
      </c>
      <c r="J54" s="26">
        <v>417.19882999999999</v>
      </c>
      <c r="K54" s="26">
        <v>362.71791999999999</v>
      </c>
      <c r="L54" s="26">
        <v>176.87295</v>
      </c>
      <c r="M54" s="26">
        <v>192.11850999999999</v>
      </c>
      <c r="N54" s="26">
        <v>300.34649000000002</v>
      </c>
      <c r="O54" s="26">
        <v>341.91144000000003</v>
      </c>
      <c r="P54" s="26">
        <v>554.10834</v>
      </c>
      <c r="Q54" s="26">
        <v>266.72732000000002</v>
      </c>
      <c r="R54" s="26">
        <v>410.98147</v>
      </c>
      <c r="S54" s="26">
        <v>133.90514999999999</v>
      </c>
      <c r="T54" s="26">
        <v>279.34730000000002</v>
      </c>
      <c r="U54" s="26">
        <v>144.85468</v>
      </c>
      <c r="V54" s="26">
        <v>232.32130000000001</v>
      </c>
      <c r="W54" s="26">
        <v>87.302400000000006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7">
        <f t="shared" si="0"/>
        <v>319.62369999999999</v>
      </c>
      <c r="AM54" s="26">
        <f t="shared" si="1"/>
        <v>319623.7</v>
      </c>
    </row>
    <row r="55" spans="1:39" x14ac:dyDescent="0.25">
      <c r="A55" s="25" t="s">
        <v>104</v>
      </c>
      <c r="B55" s="26">
        <v>0</v>
      </c>
      <c r="C55" s="26">
        <v>0</v>
      </c>
      <c r="D55" s="26">
        <v>19.78885</v>
      </c>
      <c r="E55" s="26">
        <v>33.871969999999997</v>
      </c>
      <c r="F55" s="26">
        <v>122.57151</v>
      </c>
      <c r="G55" s="26">
        <v>23.473479999999999</v>
      </c>
      <c r="H55" s="26">
        <v>239.47738000000001</v>
      </c>
      <c r="I55" s="26">
        <v>97.47242</v>
      </c>
      <c r="J55" s="26">
        <v>222.91175000000001</v>
      </c>
      <c r="K55" s="26">
        <v>271.38927000000001</v>
      </c>
      <c r="L55" s="26">
        <v>279.46672999999998</v>
      </c>
      <c r="M55" s="26">
        <v>388.89100000000002</v>
      </c>
      <c r="N55" s="26">
        <v>170.82492999999999</v>
      </c>
      <c r="O55" s="26">
        <v>305.28955999999999</v>
      </c>
      <c r="P55" s="26">
        <v>125.0442</v>
      </c>
      <c r="Q55" s="26">
        <v>48.865409999999997</v>
      </c>
      <c r="R55" s="26">
        <v>289.86349000000001</v>
      </c>
      <c r="S55" s="26">
        <v>342.95704000000001</v>
      </c>
      <c r="T55" s="26">
        <v>183.83545000000001</v>
      </c>
      <c r="U55" s="26">
        <v>215.44243</v>
      </c>
      <c r="V55" s="26">
        <v>62.163600000000002</v>
      </c>
      <c r="W55" s="26">
        <v>52.5</v>
      </c>
      <c r="X55" s="26">
        <v>51.25</v>
      </c>
      <c r="Y55" s="26">
        <v>66.75</v>
      </c>
      <c r="Z55" s="26">
        <v>52.25</v>
      </c>
      <c r="AA55" s="26">
        <v>52.25</v>
      </c>
      <c r="AB55" s="26">
        <v>66.25</v>
      </c>
      <c r="AC55" s="26">
        <v>51.5</v>
      </c>
      <c r="AD55" s="26">
        <v>52</v>
      </c>
      <c r="AE55" s="26">
        <v>65.5</v>
      </c>
      <c r="AF55" s="26">
        <v>39.5</v>
      </c>
      <c r="AG55" s="26">
        <v>36.5</v>
      </c>
      <c r="AH55" s="26">
        <v>25</v>
      </c>
      <c r="AI55" s="26">
        <v>0</v>
      </c>
      <c r="AJ55" s="26">
        <v>0</v>
      </c>
      <c r="AK55" s="26">
        <v>0</v>
      </c>
      <c r="AL55" s="27">
        <f t="shared" si="0"/>
        <v>673.41359999999997</v>
      </c>
      <c r="AM55" s="26">
        <f t="shared" si="1"/>
        <v>673413.6</v>
      </c>
    </row>
    <row r="56" spans="1:39" x14ac:dyDescent="0.25">
      <c r="A56" s="25" t="s">
        <v>105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5.2</v>
      </c>
      <c r="AA56" s="26">
        <v>5.2</v>
      </c>
      <c r="AB56" s="26">
        <v>5.2</v>
      </c>
      <c r="AC56" s="26">
        <v>5.2</v>
      </c>
      <c r="AD56" s="26">
        <v>819.9</v>
      </c>
      <c r="AE56" s="26">
        <v>819.9</v>
      </c>
      <c r="AF56" s="26">
        <v>819.9</v>
      </c>
      <c r="AG56" s="26">
        <v>819.9</v>
      </c>
      <c r="AH56" s="26">
        <v>819.9</v>
      </c>
      <c r="AI56" s="26">
        <v>819.9</v>
      </c>
      <c r="AJ56" s="26">
        <v>819.9</v>
      </c>
      <c r="AK56" s="26">
        <v>819.9</v>
      </c>
      <c r="AL56" s="27">
        <f t="shared" si="0"/>
        <v>4940.2</v>
      </c>
      <c r="AM56" s="26">
        <f t="shared" si="1"/>
        <v>4940200</v>
      </c>
    </row>
    <row r="57" spans="1:39" x14ac:dyDescent="0.25">
      <c r="A57" s="25" t="s">
        <v>106</v>
      </c>
      <c r="B57" s="26">
        <v>0</v>
      </c>
      <c r="C57" s="26">
        <v>0</v>
      </c>
      <c r="D57" s="26">
        <v>0</v>
      </c>
      <c r="E57" s="26">
        <v>0</v>
      </c>
      <c r="F57" s="26">
        <v>66.169300000000007</v>
      </c>
      <c r="G57" s="26">
        <v>42.14208</v>
      </c>
      <c r="H57" s="26">
        <v>431.12682999999998</v>
      </c>
      <c r="I57" s="26">
        <v>1099.0541800000001</v>
      </c>
      <c r="J57" s="26">
        <v>567.36555999999996</v>
      </c>
      <c r="K57" s="26">
        <v>421.36844000000002</v>
      </c>
      <c r="L57" s="26">
        <v>134.36530999999999</v>
      </c>
      <c r="M57" s="26">
        <v>41.026829999999997</v>
      </c>
      <c r="N57" s="26">
        <v>10.327809999999999</v>
      </c>
      <c r="O57" s="26">
        <v>124.81471000000001</v>
      </c>
      <c r="P57" s="26">
        <v>11.39034</v>
      </c>
      <c r="Q57" s="26">
        <v>4.1447399999999996</v>
      </c>
      <c r="R57" s="26">
        <v>2.50936</v>
      </c>
      <c r="S57" s="26">
        <v>0.45115</v>
      </c>
      <c r="T57" s="26">
        <v>1083.3885499999999</v>
      </c>
      <c r="U57" s="26">
        <v>869.19122000000004</v>
      </c>
      <c r="V57" s="26">
        <v>862.87800000000004</v>
      </c>
      <c r="W57" s="26">
        <v>150</v>
      </c>
      <c r="X57" s="26">
        <v>5</v>
      </c>
      <c r="Y57" s="26">
        <v>5</v>
      </c>
      <c r="Z57" s="26">
        <v>2</v>
      </c>
      <c r="AA57" s="26">
        <v>1</v>
      </c>
      <c r="AB57" s="26">
        <v>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7">
        <f t="shared" si="0"/>
        <v>1026.8780000000002</v>
      </c>
      <c r="AM57" s="26">
        <f t="shared" si="1"/>
        <v>1026878.0000000001</v>
      </c>
    </row>
    <row r="58" spans="1:39" x14ac:dyDescent="0.25">
      <c r="A58" s="25" t="s">
        <v>107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0.45343</v>
      </c>
      <c r="U58" s="26">
        <v>0.45912999999999998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10</v>
      </c>
      <c r="AC58" s="26">
        <v>250</v>
      </c>
      <c r="AD58" s="26">
        <v>500</v>
      </c>
      <c r="AE58" s="26">
        <v>500</v>
      </c>
      <c r="AF58" s="26">
        <v>500</v>
      </c>
      <c r="AG58" s="26">
        <v>500</v>
      </c>
      <c r="AH58" s="26">
        <v>500</v>
      </c>
      <c r="AI58" s="26">
        <v>50</v>
      </c>
      <c r="AJ58" s="26">
        <v>50</v>
      </c>
      <c r="AK58" s="26">
        <v>10</v>
      </c>
      <c r="AL58" s="27">
        <f t="shared" si="0"/>
        <v>2810</v>
      </c>
      <c r="AM58" s="26">
        <f t="shared" si="1"/>
        <v>2810000</v>
      </c>
    </row>
    <row r="59" spans="1:39" x14ac:dyDescent="0.25">
      <c r="A59" s="25" t="s">
        <v>108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16.035900000000002</v>
      </c>
      <c r="O59" s="26">
        <v>11.67367</v>
      </c>
      <c r="P59" s="26">
        <v>39.214260000000003</v>
      </c>
      <c r="Q59" s="26">
        <v>11.19173</v>
      </c>
      <c r="R59" s="26">
        <v>15.3963</v>
      </c>
      <c r="S59" s="26">
        <v>19.855090000000001</v>
      </c>
      <c r="T59" s="26">
        <v>27.281289999999998</v>
      </c>
      <c r="U59" s="26">
        <v>16.417870000000001</v>
      </c>
      <c r="V59" s="26">
        <v>6.0570000000000004</v>
      </c>
      <c r="W59" s="26">
        <v>400</v>
      </c>
      <c r="X59" s="26">
        <v>500</v>
      </c>
      <c r="Y59" s="26">
        <v>400</v>
      </c>
      <c r="Z59" s="26">
        <v>200</v>
      </c>
      <c r="AA59" s="26">
        <v>50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7">
        <f t="shared" si="0"/>
        <v>1556.057</v>
      </c>
      <c r="AM59" s="26">
        <f t="shared" si="1"/>
        <v>1556057</v>
      </c>
    </row>
    <row r="60" spans="1:39" x14ac:dyDescent="0.25">
      <c r="A60" s="25" t="s">
        <v>109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7">
        <f t="shared" si="0"/>
        <v>0</v>
      </c>
      <c r="AM60" s="26">
        <f t="shared" si="1"/>
        <v>0</v>
      </c>
    </row>
    <row r="61" spans="1:39" x14ac:dyDescent="0.25">
      <c r="A61" s="25" t="s">
        <v>110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159.66123999999999</v>
      </c>
      <c r="Q61" s="26">
        <v>273.14224999999999</v>
      </c>
      <c r="R61" s="26">
        <v>425.02895999999998</v>
      </c>
      <c r="S61" s="26">
        <v>466.35205000000002</v>
      </c>
      <c r="T61" s="26">
        <v>178.28308000000001</v>
      </c>
      <c r="U61" s="26">
        <v>136.75384</v>
      </c>
      <c r="V61" s="26">
        <v>27.248200000000001</v>
      </c>
      <c r="W61" s="26">
        <v>48.65</v>
      </c>
      <c r="X61" s="26">
        <v>48.65</v>
      </c>
      <c r="Y61" s="26">
        <v>48.65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7">
        <f t="shared" si="0"/>
        <v>173.19820000000001</v>
      </c>
      <c r="AM61" s="26">
        <f t="shared" si="1"/>
        <v>173198.2</v>
      </c>
    </row>
    <row r="62" spans="1:39" x14ac:dyDescent="0.25">
      <c r="A62" s="25" t="s">
        <v>111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140.15876</v>
      </c>
      <c r="U62" s="26">
        <v>15.492789999999999</v>
      </c>
      <c r="V62" s="26">
        <v>153.11442</v>
      </c>
      <c r="W62" s="26">
        <v>59.078000000000003</v>
      </c>
      <c r="X62" s="26">
        <v>59.078000000000003</v>
      </c>
      <c r="Y62" s="26">
        <v>59.078000000000003</v>
      </c>
      <c r="Z62" s="26">
        <v>406.149</v>
      </c>
      <c r="AA62" s="26">
        <v>265.03199999999998</v>
      </c>
      <c r="AB62" s="26">
        <v>141.11699999999999</v>
      </c>
      <c r="AC62" s="26">
        <v>47.039000000000001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7">
        <f t="shared" si="0"/>
        <v>1189.68542</v>
      </c>
      <c r="AM62" s="26">
        <f t="shared" si="1"/>
        <v>1189685.42</v>
      </c>
    </row>
    <row r="63" spans="1:39" x14ac:dyDescent="0.25">
      <c r="A63" s="25" t="s">
        <v>112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17.93852</v>
      </c>
      <c r="O63" s="26">
        <v>14.61491</v>
      </c>
      <c r="P63" s="26">
        <v>37.249090000000002</v>
      </c>
      <c r="Q63" s="26">
        <v>43.17286</v>
      </c>
      <c r="R63" s="26">
        <v>210.25942000000001</v>
      </c>
      <c r="S63" s="26">
        <v>57.952060000000003</v>
      </c>
      <c r="T63" s="26">
        <v>180.50029000000001</v>
      </c>
      <c r="U63" s="26">
        <v>94.44023</v>
      </c>
      <c r="V63" s="26">
        <v>192.89819</v>
      </c>
      <c r="W63" s="26">
        <v>289.67200000000003</v>
      </c>
      <c r="X63" s="26">
        <v>248.827</v>
      </c>
      <c r="Y63" s="26">
        <v>129.66499999999999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7">
        <f t="shared" si="0"/>
        <v>861.06218999999999</v>
      </c>
      <c r="AM63" s="26">
        <f t="shared" si="1"/>
        <v>861062.19</v>
      </c>
    </row>
    <row r="64" spans="1:39" x14ac:dyDescent="0.25">
      <c r="A64" s="25" t="s">
        <v>113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9.6800560000000004</v>
      </c>
      <c r="W64" s="26">
        <v>3.6375999999999999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7">
        <f t="shared" si="0"/>
        <v>13.317655999999999</v>
      </c>
      <c r="AM64" s="26">
        <f t="shared" si="1"/>
        <v>13317.655999999999</v>
      </c>
    </row>
    <row r="65" spans="1:39" x14ac:dyDescent="0.25">
      <c r="A65" s="25" t="s">
        <v>114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186.4907</v>
      </c>
      <c r="W65" s="26">
        <v>157.5</v>
      </c>
      <c r="X65" s="26">
        <v>153.75</v>
      </c>
      <c r="Y65" s="26">
        <v>200.25</v>
      </c>
      <c r="Z65" s="26">
        <v>156.75</v>
      </c>
      <c r="AA65" s="26">
        <v>156.75</v>
      </c>
      <c r="AB65" s="26">
        <v>198.75</v>
      </c>
      <c r="AC65" s="26">
        <v>154.5</v>
      </c>
      <c r="AD65" s="26">
        <v>156</v>
      </c>
      <c r="AE65" s="26">
        <v>196.5</v>
      </c>
      <c r="AF65" s="26">
        <v>118.5</v>
      </c>
      <c r="AG65" s="26">
        <v>109.5</v>
      </c>
      <c r="AH65" s="26">
        <v>75</v>
      </c>
      <c r="AI65" s="26">
        <v>0</v>
      </c>
      <c r="AJ65" s="26">
        <v>0</v>
      </c>
      <c r="AK65" s="26">
        <v>0</v>
      </c>
      <c r="AL65" s="27">
        <f t="shared" si="0"/>
        <v>2020.2407000000001</v>
      </c>
      <c r="AM65" s="26">
        <f t="shared" si="1"/>
        <v>2020240.7</v>
      </c>
    </row>
    <row r="66" spans="1:39" x14ac:dyDescent="0.25">
      <c r="A66" s="25" t="s">
        <v>115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5.375</v>
      </c>
      <c r="W66" s="26">
        <v>25</v>
      </c>
      <c r="X66" s="26">
        <v>5</v>
      </c>
      <c r="Y66" s="26">
        <v>5</v>
      </c>
      <c r="Z66" s="26">
        <v>25</v>
      </c>
      <c r="AA66" s="26">
        <v>25</v>
      </c>
      <c r="AB66" s="26">
        <v>30</v>
      </c>
      <c r="AC66" s="26">
        <v>40</v>
      </c>
      <c r="AD66" s="26">
        <v>40</v>
      </c>
      <c r="AE66" s="26">
        <v>100</v>
      </c>
      <c r="AF66" s="26">
        <v>300</v>
      </c>
      <c r="AG66" s="26">
        <v>300</v>
      </c>
      <c r="AH66" s="26">
        <v>300</v>
      </c>
      <c r="AI66" s="26">
        <v>300</v>
      </c>
      <c r="AJ66" s="26">
        <v>0</v>
      </c>
      <c r="AK66" s="26">
        <v>0</v>
      </c>
      <c r="AL66" s="27">
        <f t="shared" si="0"/>
        <v>1500.375</v>
      </c>
      <c r="AM66" s="26">
        <f t="shared" si="1"/>
        <v>1500375</v>
      </c>
    </row>
    <row r="67" spans="1:39" x14ac:dyDescent="0.25">
      <c r="A67" s="25" t="s">
        <v>116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2.5</v>
      </c>
      <c r="Y67" s="26">
        <v>2.5</v>
      </c>
      <c r="Z67" s="26">
        <v>2.5</v>
      </c>
      <c r="AA67" s="26">
        <v>2.5</v>
      </c>
      <c r="AB67" s="26">
        <v>2.5</v>
      </c>
      <c r="AC67" s="26">
        <v>2.5</v>
      </c>
      <c r="AD67" s="26">
        <v>25</v>
      </c>
      <c r="AE67" s="26">
        <v>125</v>
      </c>
      <c r="AF67" s="26">
        <v>350</v>
      </c>
      <c r="AG67" s="26">
        <v>300</v>
      </c>
      <c r="AH67" s="26">
        <v>300</v>
      </c>
      <c r="AI67" s="26">
        <v>50</v>
      </c>
      <c r="AJ67" s="26">
        <v>25</v>
      </c>
      <c r="AK67" s="26">
        <v>2.5</v>
      </c>
      <c r="AL67" s="27">
        <f t="shared" si="0"/>
        <v>1165</v>
      </c>
      <c r="AM67" s="26">
        <f t="shared" si="1"/>
        <v>1165000</v>
      </c>
    </row>
    <row r="68" spans="1:39" x14ac:dyDescent="0.25">
      <c r="A68" s="25" t="s">
        <v>117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1</v>
      </c>
      <c r="Y68" s="26">
        <v>1</v>
      </c>
      <c r="Z68" s="26">
        <v>2.5</v>
      </c>
      <c r="AA68" s="26">
        <v>25</v>
      </c>
      <c r="AB68" s="26">
        <v>200</v>
      </c>
      <c r="AC68" s="26">
        <v>50</v>
      </c>
      <c r="AD68" s="26">
        <v>50</v>
      </c>
      <c r="AE68" s="26">
        <v>250</v>
      </c>
      <c r="AF68" s="26">
        <v>250</v>
      </c>
      <c r="AG68" s="26">
        <v>250</v>
      </c>
      <c r="AH68" s="26">
        <v>150</v>
      </c>
      <c r="AI68" s="26">
        <v>100</v>
      </c>
      <c r="AJ68" s="26">
        <v>140</v>
      </c>
      <c r="AK68" s="26">
        <v>5</v>
      </c>
      <c r="AL68" s="27">
        <f t="shared" si="0"/>
        <v>1329.5</v>
      </c>
      <c r="AM68" s="26">
        <f t="shared" si="1"/>
        <v>1329500</v>
      </c>
    </row>
    <row r="69" spans="1:39" x14ac:dyDescent="0.25">
      <c r="A69" s="25" t="s">
        <v>118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93.89</v>
      </c>
      <c r="W69" s="26">
        <v>450</v>
      </c>
      <c r="X69" s="26">
        <v>500</v>
      </c>
      <c r="Y69" s="26">
        <v>500</v>
      </c>
      <c r="Z69" s="26">
        <v>500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7">
        <f t="shared" si="0"/>
        <v>2043.8899999999999</v>
      </c>
      <c r="AM69" s="26">
        <f t="shared" si="1"/>
        <v>2043889.9999999998</v>
      </c>
    </row>
    <row r="70" spans="1:39" x14ac:dyDescent="0.25">
      <c r="A70" s="25" t="s">
        <v>119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70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7">
        <f t="shared" si="0"/>
        <v>70</v>
      </c>
      <c r="AM70" s="26">
        <f t="shared" si="1"/>
        <v>70000</v>
      </c>
    </row>
    <row r="71" spans="1:39" x14ac:dyDescent="0.25">
      <c r="A71" s="25" t="s">
        <v>120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20.8</v>
      </c>
      <c r="AA71" s="26">
        <v>20.8</v>
      </c>
      <c r="AB71" s="26">
        <v>20.8</v>
      </c>
      <c r="AC71" s="26">
        <v>20.8</v>
      </c>
      <c r="AD71" s="26">
        <v>3279.6</v>
      </c>
      <c r="AE71" s="26">
        <v>3279.6</v>
      </c>
      <c r="AF71" s="26">
        <v>3279.6</v>
      </c>
      <c r="AG71" s="26">
        <v>3279.6</v>
      </c>
      <c r="AH71" s="26">
        <v>3279.6</v>
      </c>
      <c r="AI71" s="26">
        <v>3279.6</v>
      </c>
      <c r="AJ71" s="26">
        <v>3279.6</v>
      </c>
      <c r="AK71" s="26">
        <v>3279.6</v>
      </c>
      <c r="AL71" s="27">
        <f t="shared" ref="AL71:AL134" si="2">SUM(V71:AI71)</f>
        <v>19760.8</v>
      </c>
      <c r="AM71" s="26">
        <f t="shared" ref="AM71:AM134" si="3">AL71*1000</f>
        <v>19760800</v>
      </c>
    </row>
    <row r="72" spans="1:39" x14ac:dyDescent="0.25">
      <c r="AL72" s="27">
        <f t="shared" si="2"/>
        <v>0</v>
      </c>
      <c r="AM72" s="26">
        <f t="shared" si="3"/>
        <v>0</v>
      </c>
    </row>
    <row r="73" spans="1:39" x14ac:dyDescent="0.25">
      <c r="A73" s="25" t="s">
        <v>122</v>
      </c>
      <c r="AL73" s="27">
        <f t="shared" si="2"/>
        <v>0</v>
      </c>
      <c r="AM73" s="26">
        <f t="shared" si="3"/>
        <v>0</v>
      </c>
    </row>
    <row r="74" spans="1:39" x14ac:dyDescent="0.25">
      <c r="A74" s="25" t="s">
        <v>89</v>
      </c>
      <c r="B74" s="26">
        <v>0.54602859999999998</v>
      </c>
      <c r="C74" s="26">
        <v>6.1075274000000004</v>
      </c>
      <c r="D74" s="26">
        <v>1.1744277999999999</v>
      </c>
      <c r="E74" s="26">
        <v>0.51088699999999998</v>
      </c>
      <c r="F74" s="26">
        <v>0.59979919999999998</v>
      </c>
      <c r="G74" s="26">
        <v>0.45459179999999999</v>
      </c>
      <c r="H74" s="26">
        <v>0.70058039999999999</v>
      </c>
      <c r="I74" s="26">
        <v>0.40461459999999999</v>
      </c>
      <c r="J74" s="26">
        <v>0.47359000000000001</v>
      </c>
      <c r="K74" s="26">
        <v>0.44545279999999998</v>
      </c>
      <c r="L74" s="26">
        <v>0.373971</v>
      </c>
      <c r="M74" s="26">
        <v>0.6053866</v>
      </c>
      <c r="N74" s="26">
        <v>0.2570828</v>
      </c>
      <c r="O74" s="26">
        <v>0.32956039999999998</v>
      </c>
      <c r="P74" s="26">
        <v>1.3600652</v>
      </c>
      <c r="Q74" s="26">
        <v>2.2594650000000001</v>
      </c>
      <c r="R74" s="26">
        <v>2.5886119999999999</v>
      </c>
      <c r="S74" s="26">
        <v>0.22921079999999999</v>
      </c>
      <c r="T74" s="26">
        <v>5.7723405999999997</v>
      </c>
      <c r="U74" s="26">
        <v>1.2560131999999999</v>
      </c>
      <c r="V74" s="26">
        <v>1.7445999999999999</v>
      </c>
      <c r="W74" s="26">
        <v>5.1999999999999995E-4</v>
      </c>
      <c r="X74" s="26">
        <v>44.2</v>
      </c>
      <c r="Y74" s="26">
        <v>26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7">
        <f t="shared" si="2"/>
        <v>71.945120000000003</v>
      </c>
      <c r="AM74" s="26">
        <f t="shared" si="3"/>
        <v>71945.12000000001</v>
      </c>
    </row>
    <row r="75" spans="1:39" x14ac:dyDescent="0.25">
      <c r="A75" s="25" t="s">
        <v>90</v>
      </c>
      <c r="B75" s="26">
        <v>13.500034599999999</v>
      </c>
      <c r="C75" s="26">
        <v>21.9563734</v>
      </c>
      <c r="D75" s="26">
        <v>14.3146016</v>
      </c>
      <c r="E75" s="26">
        <v>10.550103200000001</v>
      </c>
      <c r="F75" s="26">
        <v>6.7896374000000002</v>
      </c>
      <c r="G75" s="26">
        <v>1.3780676000000001</v>
      </c>
      <c r="H75" s="26">
        <v>22.240288199999998</v>
      </c>
      <c r="I75" s="26">
        <v>2.0240376000000002</v>
      </c>
      <c r="J75" s="26">
        <v>0.83413199999999998</v>
      </c>
      <c r="K75" s="26">
        <v>0.86898759999999997</v>
      </c>
      <c r="L75" s="26">
        <v>0</v>
      </c>
      <c r="M75" s="26">
        <v>3.3965177999999998</v>
      </c>
      <c r="N75" s="26">
        <v>4.1853759999999998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2.2100000000000002E-2</v>
      </c>
      <c r="W75" s="26">
        <v>0.39</v>
      </c>
      <c r="X75" s="26">
        <v>0.39</v>
      </c>
      <c r="Y75" s="26">
        <v>0.39</v>
      </c>
      <c r="Z75" s="26">
        <v>0.65</v>
      </c>
      <c r="AA75" s="26">
        <v>0.65</v>
      </c>
      <c r="AB75" s="26">
        <v>0.65</v>
      </c>
      <c r="AC75" s="26">
        <v>0.65</v>
      </c>
      <c r="AD75" s="26">
        <v>0.65</v>
      </c>
      <c r="AE75" s="26">
        <v>11.7</v>
      </c>
      <c r="AF75" s="26">
        <v>7.8</v>
      </c>
      <c r="AG75" s="26">
        <v>7.8</v>
      </c>
      <c r="AH75" s="26">
        <v>0</v>
      </c>
      <c r="AI75" s="26">
        <v>0</v>
      </c>
      <c r="AJ75" s="26">
        <v>0</v>
      </c>
      <c r="AK75" s="26">
        <v>0</v>
      </c>
      <c r="AL75" s="27">
        <f t="shared" si="2"/>
        <v>31.742100000000001</v>
      </c>
      <c r="AM75" s="26">
        <f t="shared" si="3"/>
        <v>31742.100000000002</v>
      </c>
    </row>
    <row r="76" spans="1:39" x14ac:dyDescent="0.25">
      <c r="A76" s="25" t="s">
        <v>91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18.2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7">
        <f t="shared" si="2"/>
        <v>18.2</v>
      </c>
      <c r="AM76" s="26">
        <f t="shared" si="3"/>
        <v>18200</v>
      </c>
    </row>
    <row r="77" spans="1:39" x14ac:dyDescent="0.25">
      <c r="A77" s="25" t="s">
        <v>92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0.37240799999999902</v>
      </c>
      <c r="M77" s="26">
        <v>2.3245350999999999</v>
      </c>
      <c r="N77" s="26">
        <v>6.2763255999999998</v>
      </c>
      <c r="O77" s="26">
        <v>0.36407129999999999</v>
      </c>
      <c r="P77" s="26">
        <v>0.41365489999999999</v>
      </c>
      <c r="Q77" s="26">
        <v>3.9906537999999898</v>
      </c>
      <c r="R77" s="26">
        <v>5.7147400000000001E-2</v>
      </c>
      <c r="S77" s="26">
        <v>5.4333100000000002E-2</v>
      </c>
      <c r="T77" s="26">
        <v>5.46163E-2</v>
      </c>
      <c r="U77" s="26">
        <v>5.5294799999999998E-2</v>
      </c>
      <c r="V77" s="26">
        <v>5.1919999999999897E-2</v>
      </c>
      <c r="W77" s="26">
        <v>0</v>
      </c>
      <c r="X77" s="26">
        <v>2.94999999999999</v>
      </c>
      <c r="Y77" s="26">
        <v>2.94999999999999</v>
      </c>
      <c r="Z77" s="26">
        <v>14.75</v>
      </c>
      <c r="AA77" s="26">
        <v>14.75</v>
      </c>
      <c r="AB77" s="26">
        <v>14.75</v>
      </c>
      <c r="AC77" s="26">
        <v>14.75</v>
      </c>
      <c r="AD77" s="26">
        <v>14.75</v>
      </c>
      <c r="AE77" s="26">
        <v>118</v>
      </c>
      <c r="AF77" s="26">
        <v>236</v>
      </c>
      <c r="AG77" s="26">
        <v>236</v>
      </c>
      <c r="AH77" s="26">
        <v>236</v>
      </c>
      <c r="AI77" s="26">
        <v>118</v>
      </c>
      <c r="AJ77" s="26">
        <v>0</v>
      </c>
      <c r="AK77" s="26">
        <v>0</v>
      </c>
      <c r="AL77" s="27">
        <f t="shared" si="2"/>
        <v>1023.70192</v>
      </c>
      <c r="AM77" s="26">
        <f t="shared" si="3"/>
        <v>1023701.9199999999</v>
      </c>
    </row>
    <row r="78" spans="1:39" x14ac:dyDescent="0.25">
      <c r="A78" s="25" t="s">
        <v>93</v>
      </c>
      <c r="B78" s="26">
        <v>0.13461219999999999</v>
      </c>
      <c r="C78" s="26">
        <v>0.1410981</v>
      </c>
      <c r="D78" s="26">
        <v>2.1457887000000002</v>
      </c>
      <c r="E78" s="26">
        <v>0.71251949999999997</v>
      </c>
      <c r="F78" s="26">
        <v>3.6760348</v>
      </c>
      <c r="G78" s="26">
        <v>4.0203609</v>
      </c>
      <c r="H78" s="26">
        <v>1.4090681</v>
      </c>
      <c r="I78" s="26">
        <v>0.35521749999999902</v>
      </c>
      <c r="J78" s="26">
        <v>13.514165</v>
      </c>
      <c r="K78" s="26">
        <v>8.8568475000000007</v>
      </c>
      <c r="L78" s="26">
        <v>13.457163</v>
      </c>
      <c r="M78" s="26">
        <v>7.7391258000000001</v>
      </c>
      <c r="N78" s="26">
        <v>17.258283200000001</v>
      </c>
      <c r="O78" s="26">
        <v>1.3371740000000001</v>
      </c>
      <c r="P78" s="26">
        <v>53.444398999999997</v>
      </c>
      <c r="Q78" s="26">
        <v>52.724199200000001</v>
      </c>
      <c r="R78" s="26">
        <v>1.4518883</v>
      </c>
      <c r="S78" s="26">
        <v>0.22456760000000001</v>
      </c>
      <c r="T78" s="26">
        <v>23.784470200000001</v>
      </c>
      <c r="U78" s="26">
        <v>29.033343599999998</v>
      </c>
      <c r="V78" s="26">
        <v>2.4599999999999999E-3</v>
      </c>
      <c r="W78" s="26">
        <v>0.01</v>
      </c>
      <c r="X78" s="26">
        <v>0.35</v>
      </c>
      <c r="Y78" s="26">
        <v>0.02</v>
      </c>
      <c r="Z78" s="26">
        <v>0</v>
      </c>
      <c r="AA78" s="26">
        <v>1.3</v>
      </c>
      <c r="AB78" s="26">
        <v>0.05</v>
      </c>
      <c r="AC78" s="26">
        <v>0.05</v>
      </c>
      <c r="AD78" s="26">
        <v>0.05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0</v>
      </c>
      <c r="AK78" s="26">
        <v>0</v>
      </c>
      <c r="AL78" s="27">
        <f t="shared" si="2"/>
        <v>1.8324600000000002</v>
      </c>
      <c r="AM78" s="26">
        <f t="shared" si="3"/>
        <v>1832.4600000000003</v>
      </c>
    </row>
    <row r="79" spans="1:39" x14ac:dyDescent="0.25">
      <c r="A79" s="25" t="s">
        <v>94</v>
      </c>
      <c r="B79" s="26">
        <v>1.533779</v>
      </c>
      <c r="C79" s="26">
        <v>0.89387220000000001</v>
      </c>
      <c r="D79" s="26">
        <v>0.2267304</v>
      </c>
      <c r="E79" s="26">
        <v>0.6900712</v>
      </c>
      <c r="F79" s="26">
        <v>0.33589140000000001</v>
      </c>
      <c r="G79" s="26">
        <v>0.67829059999999997</v>
      </c>
      <c r="H79" s="26">
        <v>0.31655</v>
      </c>
      <c r="I79" s="26">
        <v>0.33840819999999999</v>
      </c>
      <c r="J79" s="26">
        <v>0.30419999999999903</v>
      </c>
      <c r="K79" s="26">
        <v>0.3111004</v>
      </c>
      <c r="L79" s="26">
        <v>0.43892419999999999</v>
      </c>
      <c r="M79" s="26">
        <v>1.7812079999999999</v>
      </c>
      <c r="N79" s="26">
        <v>1.1258805999999999</v>
      </c>
      <c r="O79" s="26">
        <v>0.97907420000000001</v>
      </c>
      <c r="P79" s="26">
        <v>3.1118437999999999</v>
      </c>
      <c r="Q79" s="26">
        <v>8.2541861999999995</v>
      </c>
      <c r="R79" s="26">
        <v>43.445877799999998</v>
      </c>
      <c r="S79" s="26">
        <v>82.462978000000007</v>
      </c>
      <c r="T79" s="26">
        <v>13.81588</v>
      </c>
      <c r="U79" s="26">
        <v>66.897667200000001</v>
      </c>
      <c r="V79" s="26">
        <v>12.63106</v>
      </c>
      <c r="W79" s="26">
        <v>35.197760000000002</v>
      </c>
      <c r="X79" s="26">
        <v>1.3</v>
      </c>
      <c r="Y79" s="26">
        <v>1.3</v>
      </c>
      <c r="Z79" s="26">
        <v>0.65</v>
      </c>
      <c r="AA79" s="26">
        <v>0.65</v>
      </c>
      <c r="AB79" s="26">
        <v>0.65</v>
      </c>
      <c r="AC79" s="26">
        <v>0.65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7">
        <f t="shared" si="2"/>
        <v>53.028819999999989</v>
      </c>
      <c r="AM79" s="26">
        <f t="shared" si="3"/>
        <v>53028.819999999992</v>
      </c>
    </row>
    <row r="80" spans="1:39" x14ac:dyDescent="0.25">
      <c r="A80" s="25" t="s">
        <v>95</v>
      </c>
      <c r="B80" s="26">
        <v>5.2985166000000001</v>
      </c>
      <c r="C80" s="26">
        <v>25.9936404</v>
      </c>
      <c r="D80" s="26">
        <v>5.650957</v>
      </c>
      <c r="E80" s="26">
        <v>19.162694200000001</v>
      </c>
      <c r="F80" s="26">
        <v>75.301135000000002</v>
      </c>
      <c r="G80" s="26">
        <v>3.7421098000000002</v>
      </c>
      <c r="H80" s="26">
        <v>30.6784322</v>
      </c>
      <c r="I80" s="26">
        <v>51.089516400000001</v>
      </c>
      <c r="J80" s="26">
        <v>8.5102315999999991</v>
      </c>
      <c r="K80" s="26">
        <v>39.4619316</v>
      </c>
      <c r="L80" s="26">
        <v>3.4914698</v>
      </c>
      <c r="M80" s="26">
        <v>93.167630399999993</v>
      </c>
      <c r="N80" s="26">
        <v>2.3348338000000002</v>
      </c>
      <c r="O80" s="26">
        <v>69.596781800000002</v>
      </c>
      <c r="P80" s="26">
        <v>2.2632895999999998</v>
      </c>
      <c r="Q80" s="26">
        <v>-2.5729989999999998</v>
      </c>
      <c r="R80" s="26">
        <v>1.7154592</v>
      </c>
      <c r="S80" s="26">
        <v>3.5411999999999999</v>
      </c>
      <c r="T80" s="26">
        <v>0.18720000000000001</v>
      </c>
      <c r="U80" s="26">
        <v>5.7513325999999996</v>
      </c>
      <c r="V80" s="26">
        <v>0</v>
      </c>
      <c r="W80" s="26">
        <v>3.22296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7">
        <f t="shared" si="2"/>
        <v>3.22296</v>
      </c>
      <c r="AM80" s="26">
        <f t="shared" si="3"/>
        <v>3222.96</v>
      </c>
    </row>
    <row r="81" spans="1:39" x14ac:dyDescent="0.25">
      <c r="A81" s="25" t="s">
        <v>96</v>
      </c>
      <c r="B81" s="26">
        <v>0</v>
      </c>
      <c r="C81" s="26">
        <v>0</v>
      </c>
      <c r="D81" s="26">
        <v>0</v>
      </c>
      <c r="E81" s="26">
        <v>56.054481599999903</v>
      </c>
      <c r="F81" s="26">
        <v>15.9821974</v>
      </c>
      <c r="G81" s="26">
        <v>10.6427958</v>
      </c>
      <c r="H81" s="26">
        <v>13.876129799999999</v>
      </c>
      <c r="I81" s="26">
        <v>125.5549334</v>
      </c>
      <c r="J81" s="26">
        <v>17.593802199999999</v>
      </c>
      <c r="K81" s="26">
        <v>5.4251443999999998</v>
      </c>
      <c r="L81" s="26">
        <v>4.1253289999999998</v>
      </c>
      <c r="M81" s="26">
        <v>1.3465867999999901</v>
      </c>
      <c r="N81" s="26">
        <v>0.34890959999999999</v>
      </c>
      <c r="O81" s="26">
        <v>0.16635059999999999</v>
      </c>
      <c r="P81" s="26">
        <v>0.18720000000000001</v>
      </c>
      <c r="Q81" s="26">
        <v>0.50935819999999998</v>
      </c>
      <c r="R81" s="26">
        <v>2.8858569999999899</v>
      </c>
      <c r="S81" s="26">
        <v>0.28325440000000002</v>
      </c>
      <c r="T81" s="26">
        <v>7.4879999999999999E-4</v>
      </c>
      <c r="U81" s="26">
        <v>7.5920000000000002E-4</v>
      </c>
      <c r="V81" s="26">
        <v>0.41314000000000001</v>
      </c>
      <c r="W81" s="26">
        <v>0.26</v>
      </c>
      <c r="X81" s="26">
        <v>0.13</v>
      </c>
      <c r="Y81" s="26">
        <v>0.13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7">
        <f t="shared" si="2"/>
        <v>0.93314000000000008</v>
      </c>
      <c r="AM81" s="26">
        <f t="shared" si="3"/>
        <v>933.1400000000001</v>
      </c>
    </row>
    <row r="82" spans="1:39" x14ac:dyDescent="0.25">
      <c r="A82" s="25" t="s">
        <v>97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0.35349599999999998</v>
      </c>
      <c r="U82" s="26">
        <v>0.13574339999999999</v>
      </c>
      <c r="V82" s="26">
        <v>0.36087999999999998</v>
      </c>
      <c r="W82" s="26">
        <v>0.26</v>
      </c>
      <c r="X82" s="26">
        <v>0.26</v>
      </c>
      <c r="Y82" s="26">
        <v>0.26</v>
      </c>
      <c r="Z82" s="26">
        <v>0.26</v>
      </c>
      <c r="AA82" s="26">
        <v>0.26</v>
      </c>
      <c r="AB82" s="26">
        <v>0.26</v>
      </c>
      <c r="AC82" s="26">
        <v>78</v>
      </c>
      <c r="AD82" s="26">
        <v>78</v>
      </c>
      <c r="AE82" s="26">
        <v>130</v>
      </c>
      <c r="AF82" s="26">
        <v>130</v>
      </c>
      <c r="AG82" s="26">
        <v>130</v>
      </c>
      <c r="AH82" s="26">
        <v>130</v>
      </c>
      <c r="AI82" s="26">
        <v>1.3</v>
      </c>
      <c r="AJ82" s="26">
        <v>0</v>
      </c>
      <c r="AK82" s="26">
        <v>0</v>
      </c>
      <c r="AL82" s="27">
        <f t="shared" si="2"/>
        <v>679.22087999999997</v>
      </c>
      <c r="AM82" s="26">
        <f t="shared" si="3"/>
        <v>679220.88</v>
      </c>
    </row>
    <row r="83" spans="1:39" x14ac:dyDescent="0.25">
      <c r="A83" s="25" t="s">
        <v>98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1.6856397999999999</v>
      </c>
      <c r="K83" s="26">
        <v>1.7110132</v>
      </c>
      <c r="L83" s="26">
        <v>3.4765769999999998</v>
      </c>
      <c r="M83" s="26">
        <v>16.815585800000001</v>
      </c>
      <c r="N83" s="26">
        <v>6.7850691999999997</v>
      </c>
      <c r="O83" s="26">
        <v>1.2628459999999999</v>
      </c>
      <c r="P83" s="26">
        <v>1.218256</v>
      </c>
      <c r="Q83" s="26">
        <v>0.80742219999999998</v>
      </c>
      <c r="R83" s="26">
        <v>86.560892600000003</v>
      </c>
      <c r="S83" s="26">
        <v>59.173303799999999</v>
      </c>
      <c r="T83" s="26">
        <v>8.5015034000000007</v>
      </c>
      <c r="U83" s="26">
        <v>8.3910528000000006</v>
      </c>
      <c r="V83" s="26">
        <v>2.1086</v>
      </c>
      <c r="W83" s="26">
        <v>20.8</v>
      </c>
      <c r="X83" s="26">
        <v>15.6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7">
        <f t="shared" si="2"/>
        <v>38.508600000000001</v>
      </c>
      <c r="AM83" s="26">
        <f t="shared" si="3"/>
        <v>38508.6</v>
      </c>
    </row>
    <row r="84" spans="1:39" x14ac:dyDescent="0.25">
      <c r="A84" s="25" t="s">
        <v>99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1.7951336</v>
      </c>
      <c r="K84" s="26">
        <v>1.711619</v>
      </c>
      <c r="L84" s="26">
        <v>5.5662307999999996</v>
      </c>
      <c r="M84" s="26">
        <v>18.956963999999999</v>
      </c>
      <c r="N84" s="26">
        <v>0.26746199999999998</v>
      </c>
      <c r="O84" s="26">
        <v>4.0485483999999996</v>
      </c>
      <c r="P84" s="26">
        <v>2.5357748</v>
      </c>
      <c r="Q84" s="26">
        <v>6.9881915999999897</v>
      </c>
      <c r="R84" s="26">
        <v>21.0831582</v>
      </c>
      <c r="S84" s="26">
        <v>3.6319088000000002</v>
      </c>
      <c r="T84" s="26">
        <v>104.9874046</v>
      </c>
      <c r="U84" s="26">
        <v>31.823685399999999</v>
      </c>
      <c r="V84" s="26">
        <v>150.30969719999999</v>
      </c>
      <c r="W84" s="26">
        <v>52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0</v>
      </c>
      <c r="AK84" s="26">
        <v>0</v>
      </c>
      <c r="AL84" s="27">
        <f t="shared" si="2"/>
        <v>202.30969719999999</v>
      </c>
      <c r="AM84" s="26">
        <f t="shared" si="3"/>
        <v>202309.6972</v>
      </c>
    </row>
    <row r="85" spans="1:39" x14ac:dyDescent="0.25">
      <c r="A85" s="25" t="s">
        <v>100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56.498046799999997</v>
      </c>
      <c r="K85" s="26">
        <v>1.2478933999999999</v>
      </c>
      <c r="L85" s="26">
        <v>0.28061540000000001</v>
      </c>
      <c r="M85" s="26">
        <v>88.563862400000005</v>
      </c>
      <c r="N85" s="26">
        <v>31.603686400000001</v>
      </c>
      <c r="O85" s="26">
        <v>38.754443000000002</v>
      </c>
      <c r="P85" s="26">
        <v>35.5197596</v>
      </c>
      <c r="Q85" s="26">
        <v>69.385316000000003</v>
      </c>
      <c r="R85" s="26">
        <v>78.001011399999996</v>
      </c>
      <c r="S85" s="26">
        <v>60.6407594</v>
      </c>
      <c r="T85" s="26">
        <v>65.402986999999996</v>
      </c>
      <c r="U85" s="26">
        <v>77.922015599999995</v>
      </c>
      <c r="V85" s="26">
        <v>25.00264</v>
      </c>
      <c r="W85" s="26">
        <v>3.9</v>
      </c>
      <c r="X85" s="26">
        <v>2.6</v>
      </c>
      <c r="Y85" s="26">
        <v>1.95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7">
        <f t="shared" si="2"/>
        <v>33.452640000000002</v>
      </c>
      <c r="AM85" s="26">
        <f t="shared" si="3"/>
        <v>33452.639999999999</v>
      </c>
    </row>
    <row r="86" spans="1:39" x14ac:dyDescent="0.25">
      <c r="A86" s="25" t="s">
        <v>101</v>
      </c>
      <c r="B86" s="26">
        <v>0</v>
      </c>
      <c r="C86" s="26">
        <v>0</v>
      </c>
      <c r="D86" s="26">
        <v>5.7501144999999996</v>
      </c>
      <c r="E86" s="26">
        <v>4.6026746999999997</v>
      </c>
      <c r="F86" s="26">
        <v>2.2908951000000002</v>
      </c>
      <c r="G86" s="26">
        <v>0.41934880000000002</v>
      </c>
      <c r="H86" s="26">
        <v>1.3864369999999999</v>
      </c>
      <c r="I86" s="26">
        <v>7.6765701999999996</v>
      </c>
      <c r="J86" s="26">
        <v>6.2441222999999999</v>
      </c>
      <c r="K86" s="26">
        <v>8.6406372000000005</v>
      </c>
      <c r="L86" s="26">
        <v>13.6491367999999</v>
      </c>
      <c r="M86" s="26">
        <v>22.075449500000001</v>
      </c>
      <c r="N86" s="26">
        <v>38.805638299999998</v>
      </c>
      <c r="O86" s="26">
        <v>23.8238494</v>
      </c>
      <c r="P86" s="26">
        <v>24.111954099999998</v>
      </c>
      <c r="Q86" s="26">
        <v>46.708890799999999</v>
      </c>
      <c r="R86" s="26">
        <v>125.2445259</v>
      </c>
      <c r="S86" s="26">
        <v>122.1746591</v>
      </c>
      <c r="T86" s="26">
        <v>162.4809602</v>
      </c>
      <c r="U86" s="26">
        <v>149.79948099999999</v>
      </c>
      <c r="V86" s="26">
        <v>87.045789999999997</v>
      </c>
      <c r="W86" s="26">
        <v>217.20569</v>
      </c>
      <c r="X86" s="26">
        <v>182.29757000000001</v>
      </c>
      <c r="Y86" s="26">
        <v>85.839259999999996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7">
        <f t="shared" si="2"/>
        <v>572.38831000000005</v>
      </c>
      <c r="AM86" s="26">
        <f t="shared" si="3"/>
        <v>572388.31000000006</v>
      </c>
    </row>
    <row r="87" spans="1:39" x14ac:dyDescent="0.25">
      <c r="A87" s="25" t="s">
        <v>102</v>
      </c>
      <c r="B87" s="26">
        <v>65.678925599999999</v>
      </c>
      <c r="C87" s="26">
        <v>1.9181520000000001</v>
      </c>
      <c r="D87" s="26">
        <v>8.4926891999999992</v>
      </c>
      <c r="E87" s="26">
        <v>3.8519519999999998</v>
      </c>
      <c r="F87" s="26">
        <v>15.5997707999999</v>
      </c>
      <c r="G87" s="26">
        <v>11.379852</v>
      </c>
      <c r="H87" s="26">
        <v>24.360910799999999</v>
      </c>
      <c r="I87" s="26">
        <v>5.3909543999999903</v>
      </c>
      <c r="J87" s="26">
        <v>6.3844452</v>
      </c>
      <c r="K87" s="26">
        <v>7.0539287999999898</v>
      </c>
      <c r="L87" s="26">
        <v>8.6956007999999994</v>
      </c>
      <c r="M87" s="26">
        <v>85.230112800000001</v>
      </c>
      <c r="N87" s="26">
        <v>16.321327199999999</v>
      </c>
      <c r="O87" s="26">
        <v>4.8764700000000003</v>
      </c>
      <c r="P87" s="26">
        <v>14.595598799999999</v>
      </c>
      <c r="Q87" s="26">
        <v>38.984685599999999</v>
      </c>
      <c r="R87" s="26">
        <v>32.919140399999897</v>
      </c>
      <c r="S87" s="26">
        <v>38.704077599999998</v>
      </c>
      <c r="T87" s="26">
        <v>8.5753667999999994</v>
      </c>
      <c r="U87" s="26">
        <v>12.6179004</v>
      </c>
      <c r="V87" s="26">
        <v>39.120156000000001</v>
      </c>
      <c r="W87" s="26">
        <v>40.740479999999998</v>
      </c>
      <c r="X87" s="26">
        <v>21.96</v>
      </c>
      <c r="Y87" s="26">
        <v>18</v>
      </c>
      <c r="Z87" s="26">
        <v>2.4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26">
        <v>0</v>
      </c>
      <c r="AK87" s="26">
        <v>0</v>
      </c>
      <c r="AL87" s="27">
        <f t="shared" si="2"/>
        <v>122.22063600000001</v>
      </c>
      <c r="AM87" s="26">
        <f t="shared" si="3"/>
        <v>122220.63600000001</v>
      </c>
    </row>
    <row r="88" spans="1:39" x14ac:dyDescent="0.25">
      <c r="A88" s="25" t="s">
        <v>103</v>
      </c>
      <c r="B88" s="26">
        <v>56.413987199999902</v>
      </c>
      <c r="C88" s="26">
        <v>66.805550400000001</v>
      </c>
      <c r="D88" s="26">
        <v>62.1744804</v>
      </c>
      <c r="E88" s="26">
        <v>-12.64353</v>
      </c>
      <c r="F88" s="26">
        <v>54.148379999999896</v>
      </c>
      <c r="G88" s="26">
        <v>35.263984799999903</v>
      </c>
      <c r="H88" s="26">
        <v>46.7557955999999</v>
      </c>
      <c r="I88" s="26">
        <v>43.421652000000002</v>
      </c>
      <c r="J88" s="26">
        <v>50.063859599999901</v>
      </c>
      <c r="K88" s="26">
        <v>43.526150399999999</v>
      </c>
      <c r="L88" s="26">
        <v>21.224754000000001</v>
      </c>
      <c r="M88" s="26">
        <v>23.054221199999901</v>
      </c>
      <c r="N88" s="26">
        <v>36.041578800000003</v>
      </c>
      <c r="O88" s="26">
        <v>41.029372799999997</v>
      </c>
      <c r="P88" s="26">
        <v>66.493000800000004</v>
      </c>
      <c r="Q88" s="26">
        <v>32.007278399999997</v>
      </c>
      <c r="R88" s="26">
        <v>49.3177764</v>
      </c>
      <c r="S88" s="26">
        <v>16.068617999999901</v>
      </c>
      <c r="T88" s="26">
        <v>33.521675999999999</v>
      </c>
      <c r="U88" s="26">
        <v>17.382561599999999</v>
      </c>
      <c r="V88" s="26">
        <v>27.878556</v>
      </c>
      <c r="W88" s="26">
        <v>10.476288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7">
        <f t="shared" si="2"/>
        <v>38.354844</v>
      </c>
      <c r="AM88" s="26">
        <f t="shared" si="3"/>
        <v>38354.843999999997</v>
      </c>
    </row>
    <row r="89" spans="1:39" x14ac:dyDescent="0.25">
      <c r="A89" s="25" t="s">
        <v>104</v>
      </c>
      <c r="B89" s="26">
        <v>0</v>
      </c>
      <c r="C89" s="26">
        <v>0</v>
      </c>
      <c r="D89" s="26">
        <v>2.3746619999999998</v>
      </c>
      <c r="E89" s="26">
        <v>4.0646363999999897</v>
      </c>
      <c r="F89" s="26">
        <v>14.708581199999999</v>
      </c>
      <c r="G89" s="26">
        <v>2.8168175999999998</v>
      </c>
      <c r="H89" s="26">
        <v>28.7372856</v>
      </c>
      <c r="I89" s="26">
        <v>11.6966904</v>
      </c>
      <c r="J89" s="26">
        <v>26.749410000000001</v>
      </c>
      <c r="K89" s="26">
        <v>32.5667124</v>
      </c>
      <c r="L89" s="26">
        <v>33.536007599999998</v>
      </c>
      <c r="M89" s="26">
        <v>46.666919999999998</v>
      </c>
      <c r="N89" s="26">
        <v>20.4989916</v>
      </c>
      <c r="O89" s="26">
        <v>36.6347472</v>
      </c>
      <c r="P89" s="26">
        <v>15.005304000000001</v>
      </c>
      <c r="Q89" s="26">
        <v>5.8638491999999998</v>
      </c>
      <c r="R89" s="26">
        <v>34.783618799999999</v>
      </c>
      <c r="S89" s="26">
        <v>41.154844799999999</v>
      </c>
      <c r="T89" s="26">
        <v>22.060254</v>
      </c>
      <c r="U89" s="26">
        <v>25.853091599999999</v>
      </c>
      <c r="V89" s="26">
        <v>7.459632</v>
      </c>
      <c r="W89" s="26">
        <v>6.3</v>
      </c>
      <c r="X89" s="26">
        <v>6.1499999999999897</v>
      </c>
      <c r="Y89" s="26">
        <v>8.01</v>
      </c>
      <c r="Z89" s="26">
        <v>6.27</v>
      </c>
      <c r="AA89" s="26">
        <v>6.27</v>
      </c>
      <c r="AB89" s="26">
        <v>7.9499999999999904</v>
      </c>
      <c r="AC89" s="26">
        <v>6.18</v>
      </c>
      <c r="AD89" s="26">
        <v>6.24</v>
      </c>
      <c r="AE89" s="26">
        <v>7.8599999999999897</v>
      </c>
      <c r="AF89" s="26">
        <v>4.74</v>
      </c>
      <c r="AG89" s="26">
        <v>4.38</v>
      </c>
      <c r="AH89" s="26">
        <v>3</v>
      </c>
      <c r="AI89" s="26">
        <v>0</v>
      </c>
      <c r="AJ89" s="26">
        <v>0</v>
      </c>
      <c r="AK89" s="26">
        <v>0</v>
      </c>
      <c r="AL89" s="27">
        <f t="shared" si="2"/>
        <v>80.809631999999951</v>
      </c>
      <c r="AM89" s="26">
        <f t="shared" si="3"/>
        <v>80809.631999999954</v>
      </c>
    </row>
    <row r="90" spans="1:39" x14ac:dyDescent="0.25">
      <c r="A90" s="25" t="s">
        <v>105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0.624</v>
      </c>
      <c r="AA90" s="26">
        <v>0.624</v>
      </c>
      <c r="AB90" s="26">
        <v>0.624</v>
      </c>
      <c r="AC90" s="26">
        <v>0.624</v>
      </c>
      <c r="AD90" s="26">
        <v>98.387999999999906</v>
      </c>
      <c r="AE90" s="26">
        <v>98.387999999999906</v>
      </c>
      <c r="AF90" s="26">
        <v>98.387999999999906</v>
      </c>
      <c r="AG90" s="26">
        <v>98.387999999999906</v>
      </c>
      <c r="AH90" s="26">
        <v>98.387999999999906</v>
      </c>
      <c r="AI90" s="26">
        <v>98.387999999999906</v>
      </c>
      <c r="AJ90" s="26">
        <v>98.387999999999906</v>
      </c>
      <c r="AK90" s="26">
        <v>98.387999999999906</v>
      </c>
      <c r="AL90" s="27">
        <f t="shared" si="2"/>
        <v>592.8239999999995</v>
      </c>
      <c r="AM90" s="26">
        <f t="shared" si="3"/>
        <v>592823.99999999953</v>
      </c>
    </row>
    <row r="91" spans="1:39" x14ac:dyDescent="0.25">
      <c r="A91" s="25" t="s">
        <v>106</v>
      </c>
      <c r="B91" s="26">
        <v>0</v>
      </c>
      <c r="C91" s="26">
        <v>0</v>
      </c>
      <c r="D91" s="26">
        <v>0</v>
      </c>
      <c r="E91" s="26">
        <v>0</v>
      </c>
      <c r="F91" s="26">
        <v>17.204018000000001</v>
      </c>
      <c r="G91" s="26">
        <v>10.9569408</v>
      </c>
      <c r="H91" s="26">
        <v>112.0929758</v>
      </c>
      <c r="I91" s="26">
        <v>285.75408679999998</v>
      </c>
      <c r="J91" s="26">
        <v>147.51504560000001</v>
      </c>
      <c r="K91" s="26">
        <v>109.5557944</v>
      </c>
      <c r="L91" s="26">
        <v>34.934980600000003</v>
      </c>
      <c r="M91" s="26">
        <v>10.666975799999999</v>
      </c>
      <c r="N91" s="26">
        <v>2.6852306000000001</v>
      </c>
      <c r="O91" s="26">
        <v>32.451824600000002</v>
      </c>
      <c r="P91" s="26">
        <v>2.9614883999999999</v>
      </c>
      <c r="Q91" s="26">
        <v>1.0776323999999999</v>
      </c>
      <c r="R91" s="26">
        <v>0.65243359999999995</v>
      </c>
      <c r="S91" s="26">
        <v>0.117299</v>
      </c>
      <c r="T91" s="26">
        <v>281.68102299999998</v>
      </c>
      <c r="U91" s="26">
        <v>225.9897172</v>
      </c>
      <c r="V91" s="26">
        <v>224.34827999999999</v>
      </c>
      <c r="W91" s="26">
        <v>39</v>
      </c>
      <c r="X91" s="26">
        <v>1.3</v>
      </c>
      <c r="Y91" s="26">
        <v>1.3</v>
      </c>
      <c r="Z91" s="26">
        <v>0.52</v>
      </c>
      <c r="AA91" s="26">
        <v>0.26</v>
      </c>
      <c r="AB91" s="26">
        <v>0.26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7">
        <f t="shared" si="2"/>
        <v>266.98827999999997</v>
      </c>
      <c r="AM91" s="26">
        <f t="shared" si="3"/>
        <v>266988.27999999997</v>
      </c>
    </row>
    <row r="92" spans="1:39" x14ac:dyDescent="0.25">
      <c r="A92" s="25" t="s">
        <v>107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0.1178918</v>
      </c>
      <c r="U92" s="26">
        <v>0.1193738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2.6</v>
      </c>
      <c r="AC92" s="26">
        <v>65</v>
      </c>
      <c r="AD92" s="26">
        <v>130</v>
      </c>
      <c r="AE92" s="26">
        <v>130</v>
      </c>
      <c r="AF92" s="26">
        <v>130</v>
      </c>
      <c r="AG92" s="26">
        <v>130</v>
      </c>
      <c r="AH92" s="26">
        <v>130</v>
      </c>
      <c r="AI92" s="26">
        <v>13</v>
      </c>
      <c r="AJ92" s="26">
        <v>13</v>
      </c>
      <c r="AK92" s="26">
        <v>2.6</v>
      </c>
      <c r="AL92" s="27">
        <f t="shared" si="2"/>
        <v>730.6</v>
      </c>
      <c r="AM92" s="26">
        <f t="shared" si="3"/>
        <v>730600</v>
      </c>
    </row>
    <row r="93" spans="1:39" x14ac:dyDescent="0.25">
      <c r="A93" s="25" t="s">
        <v>108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9.4611809999999998</v>
      </c>
      <c r="O93" s="26">
        <v>6.8874652999999997</v>
      </c>
      <c r="P93" s="26">
        <v>23.136413399999999</v>
      </c>
      <c r="Q93" s="26">
        <v>6.6031206999999998</v>
      </c>
      <c r="R93" s="26">
        <v>9.0838169999999998</v>
      </c>
      <c r="S93" s="26">
        <v>11.7145031</v>
      </c>
      <c r="T93" s="26">
        <v>16.095961099999901</v>
      </c>
      <c r="U93" s="26">
        <v>9.6865433000000003</v>
      </c>
      <c r="V93" s="26">
        <v>3.5736300000000001</v>
      </c>
      <c r="W93" s="26">
        <v>236</v>
      </c>
      <c r="X93" s="26">
        <v>295</v>
      </c>
      <c r="Y93" s="26">
        <v>236</v>
      </c>
      <c r="Z93" s="26">
        <v>118</v>
      </c>
      <c r="AA93" s="26">
        <v>29.5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7">
        <f t="shared" si="2"/>
        <v>918.07362999999998</v>
      </c>
      <c r="AM93" s="26">
        <f t="shared" si="3"/>
        <v>918073.63</v>
      </c>
    </row>
    <row r="94" spans="1:39" x14ac:dyDescent="0.25">
      <c r="A94" s="25" t="s">
        <v>109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7">
        <f t="shared" si="2"/>
        <v>0</v>
      </c>
      <c r="AM94" s="26">
        <f t="shared" si="3"/>
        <v>0</v>
      </c>
    </row>
    <row r="95" spans="1:39" x14ac:dyDescent="0.25">
      <c r="A95" s="25" t="s">
        <v>110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19.1593488</v>
      </c>
      <c r="Q95" s="26">
        <v>32.777069999999902</v>
      </c>
      <c r="R95" s="26">
        <v>51.003475199999997</v>
      </c>
      <c r="S95" s="26">
        <v>55.962246</v>
      </c>
      <c r="T95" s="26">
        <v>21.393969599999998</v>
      </c>
      <c r="U95" s="26">
        <v>16.410460799999999</v>
      </c>
      <c r="V95" s="26">
        <v>3.269784</v>
      </c>
      <c r="W95" s="26">
        <v>5.8379999999999903</v>
      </c>
      <c r="X95" s="26">
        <v>5.8379999999999903</v>
      </c>
      <c r="Y95" s="26">
        <v>5.8379999999999903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7">
        <f t="shared" si="2"/>
        <v>20.783783999999969</v>
      </c>
      <c r="AM95" s="26">
        <f t="shared" si="3"/>
        <v>20783.783999999971</v>
      </c>
    </row>
    <row r="96" spans="1:39" x14ac:dyDescent="0.25">
      <c r="A96" s="25" t="s">
        <v>111</v>
      </c>
      <c r="B96" s="26">
        <v>0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16.819051200000001</v>
      </c>
      <c r="U96" s="26">
        <v>1.8591347999999901</v>
      </c>
      <c r="V96" s="26">
        <v>18.373730399999999</v>
      </c>
      <c r="W96" s="26">
        <v>7.0893600000000001</v>
      </c>
      <c r="X96" s="26">
        <v>7.0893600000000001</v>
      </c>
      <c r="Y96" s="26">
        <v>7.0893600000000001</v>
      </c>
      <c r="Z96" s="26">
        <v>48.737879999999997</v>
      </c>
      <c r="AA96" s="26">
        <v>31.803839999999902</v>
      </c>
      <c r="AB96" s="26">
        <v>16.93404</v>
      </c>
      <c r="AC96" s="26">
        <v>5.6446800000000001</v>
      </c>
      <c r="AD96" s="26">
        <v>0</v>
      </c>
      <c r="AE96" s="26">
        <v>0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7">
        <f t="shared" si="2"/>
        <v>142.76225039999989</v>
      </c>
      <c r="AM96" s="26">
        <f t="shared" si="3"/>
        <v>142762.25039999987</v>
      </c>
    </row>
    <row r="97" spans="1:39" x14ac:dyDescent="0.25">
      <c r="A97" s="25" t="s">
        <v>112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2.1526223999999998</v>
      </c>
      <c r="O97" s="26">
        <v>1.7537891999999999</v>
      </c>
      <c r="P97" s="26">
        <v>4.4698907999999999</v>
      </c>
      <c r="Q97" s="26">
        <v>5.1807432000000002</v>
      </c>
      <c r="R97" s="26">
        <v>25.231130400000001</v>
      </c>
      <c r="S97" s="26">
        <v>6.9542472000000002</v>
      </c>
      <c r="T97" s="26">
        <v>21.660034799999998</v>
      </c>
      <c r="U97" s="26">
        <v>11.3328276</v>
      </c>
      <c r="V97" s="26">
        <v>23.147782799999899</v>
      </c>
      <c r="W97" s="26">
        <v>34.760640000000002</v>
      </c>
      <c r="X97" s="26">
        <v>29.85924</v>
      </c>
      <c r="Y97" s="26">
        <v>15.559799999999999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7">
        <f t="shared" si="2"/>
        <v>103.32746279999989</v>
      </c>
      <c r="AM97" s="26">
        <f t="shared" si="3"/>
        <v>103327.46279999989</v>
      </c>
    </row>
    <row r="98" spans="1:39" x14ac:dyDescent="0.25">
      <c r="A98" s="25" t="s">
        <v>113</v>
      </c>
      <c r="B98" s="26">
        <v>0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1.16160672</v>
      </c>
      <c r="W98" s="26">
        <v>0.43651199999999901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7">
        <f t="shared" si="2"/>
        <v>1.5981187199999991</v>
      </c>
      <c r="AM98" s="26">
        <f t="shared" si="3"/>
        <v>1598.118719999999</v>
      </c>
    </row>
    <row r="99" spans="1:39" x14ac:dyDescent="0.25">
      <c r="A99" s="25" t="s">
        <v>114</v>
      </c>
      <c r="B99" s="26">
        <v>0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22.378883999999999</v>
      </c>
      <c r="W99" s="26">
        <v>18.899999999999999</v>
      </c>
      <c r="X99" s="26">
        <v>18.45</v>
      </c>
      <c r="Y99" s="26">
        <v>24.029999999999902</v>
      </c>
      <c r="Z99" s="26">
        <v>18.809999999999999</v>
      </c>
      <c r="AA99" s="26">
        <v>18.809999999999999</v>
      </c>
      <c r="AB99" s="26">
        <v>23.849999999999898</v>
      </c>
      <c r="AC99" s="26">
        <v>18.54</v>
      </c>
      <c r="AD99" s="26">
        <v>18.72</v>
      </c>
      <c r="AE99" s="26">
        <v>23.58</v>
      </c>
      <c r="AF99" s="26">
        <v>14.219999999999899</v>
      </c>
      <c r="AG99" s="26">
        <v>13.139999999999899</v>
      </c>
      <c r="AH99" s="26">
        <v>9</v>
      </c>
      <c r="AI99" s="26">
        <v>0</v>
      </c>
      <c r="AJ99" s="26">
        <v>0</v>
      </c>
      <c r="AK99" s="26">
        <v>0</v>
      </c>
      <c r="AL99" s="27">
        <f t="shared" si="2"/>
        <v>242.42888399999961</v>
      </c>
      <c r="AM99" s="26">
        <f t="shared" si="3"/>
        <v>242428.88399999961</v>
      </c>
    </row>
    <row r="100" spans="1:39" x14ac:dyDescent="0.25">
      <c r="A100" s="25" t="s">
        <v>115</v>
      </c>
      <c r="B100" s="26">
        <v>0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3.1712499999999899</v>
      </c>
      <c r="W100" s="26">
        <v>14.75</v>
      </c>
      <c r="X100" s="26">
        <v>2.94999999999999</v>
      </c>
      <c r="Y100" s="26">
        <v>2.94999999999999</v>
      </c>
      <c r="Z100" s="26">
        <v>14.75</v>
      </c>
      <c r="AA100" s="26">
        <v>14.75</v>
      </c>
      <c r="AB100" s="26">
        <v>17.7</v>
      </c>
      <c r="AC100" s="26">
        <v>23.599999999999898</v>
      </c>
      <c r="AD100" s="26">
        <v>23.599999999999898</v>
      </c>
      <c r="AE100" s="26">
        <v>59</v>
      </c>
      <c r="AF100" s="26">
        <v>177</v>
      </c>
      <c r="AG100" s="26">
        <v>177</v>
      </c>
      <c r="AH100" s="26">
        <v>177</v>
      </c>
      <c r="AI100" s="26">
        <v>177</v>
      </c>
      <c r="AJ100" s="26">
        <v>0</v>
      </c>
      <c r="AK100" s="26">
        <v>0</v>
      </c>
      <c r="AL100" s="27">
        <f t="shared" si="2"/>
        <v>885.22124999999983</v>
      </c>
      <c r="AM100" s="26">
        <f t="shared" si="3"/>
        <v>885221.24999999988</v>
      </c>
    </row>
    <row r="101" spans="1:39" x14ac:dyDescent="0.25">
      <c r="A101" s="25" t="s">
        <v>116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0.65</v>
      </c>
      <c r="Y101" s="26">
        <v>0.65</v>
      </c>
      <c r="Z101" s="26">
        <v>0.65</v>
      </c>
      <c r="AA101" s="26">
        <v>0.65</v>
      </c>
      <c r="AB101" s="26">
        <v>0.65</v>
      </c>
      <c r="AC101" s="26">
        <v>0.65</v>
      </c>
      <c r="AD101" s="26">
        <v>6.5</v>
      </c>
      <c r="AE101" s="26">
        <v>32.5</v>
      </c>
      <c r="AF101" s="26">
        <v>91</v>
      </c>
      <c r="AG101" s="26">
        <v>78</v>
      </c>
      <c r="AH101" s="26">
        <v>78</v>
      </c>
      <c r="AI101" s="26">
        <v>13</v>
      </c>
      <c r="AJ101" s="26">
        <v>6.5</v>
      </c>
      <c r="AK101" s="26">
        <v>0.65</v>
      </c>
      <c r="AL101" s="27">
        <f t="shared" si="2"/>
        <v>302.89999999999998</v>
      </c>
      <c r="AM101" s="26">
        <f t="shared" si="3"/>
        <v>302900</v>
      </c>
    </row>
    <row r="102" spans="1:39" x14ac:dyDescent="0.25">
      <c r="A102" s="25" t="s">
        <v>117</v>
      </c>
      <c r="B102" s="26">
        <v>0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0.26</v>
      </c>
      <c r="Y102" s="26">
        <v>0.26</v>
      </c>
      <c r="Z102" s="26">
        <v>0.65</v>
      </c>
      <c r="AA102" s="26">
        <v>6.5</v>
      </c>
      <c r="AB102" s="26">
        <v>52</v>
      </c>
      <c r="AC102" s="26">
        <v>13</v>
      </c>
      <c r="AD102" s="26">
        <v>13</v>
      </c>
      <c r="AE102" s="26">
        <v>65</v>
      </c>
      <c r="AF102" s="26">
        <v>65</v>
      </c>
      <c r="AG102" s="26">
        <v>65</v>
      </c>
      <c r="AH102" s="26">
        <v>39</v>
      </c>
      <c r="AI102" s="26">
        <v>26</v>
      </c>
      <c r="AJ102" s="26">
        <v>36.4</v>
      </c>
      <c r="AK102" s="26">
        <v>1.3</v>
      </c>
      <c r="AL102" s="27">
        <f t="shared" si="2"/>
        <v>345.67</v>
      </c>
      <c r="AM102" s="26">
        <f t="shared" si="3"/>
        <v>345670</v>
      </c>
    </row>
    <row r="103" spans="1:39" x14ac:dyDescent="0.25">
      <c r="A103" s="25" t="s">
        <v>118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24.4114</v>
      </c>
      <c r="W103" s="26">
        <v>117</v>
      </c>
      <c r="X103" s="26">
        <v>130</v>
      </c>
      <c r="Y103" s="26">
        <v>130</v>
      </c>
      <c r="Z103" s="26">
        <v>130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7">
        <f t="shared" si="2"/>
        <v>531.41139999999996</v>
      </c>
      <c r="AM103" s="26">
        <f t="shared" si="3"/>
        <v>531411.39999999991</v>
      </c>
    </row>
    <row r="104" spans="1:39" x14ac:dyDescent="0.25">
      <c r="A104" s="25" t="s">
        <v>119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18.2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0</v>
      </c>
      <c r="AJ104" s="26">
        <v>0</v>
      </c>
      <c r="AK104" s="26">
        <v>0</v>
      </c>
      <c r="AL104" s="27">
        <f t="shared" si="2"/>
        <v>18.2</v>
      </c>
      <c r="AM104" s="26">
        <f t="shared" si="3"/>
        <v>18200</v>
      </c>
    </row>
    <row r="105" spans="1:39" x14ac:dyDescent="0.25">
      <c r="A105" s="25" t="s">
        <v>120</v>
      </c>
      <c r="B105" s="26">
        <v>0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2.496</v>
      </c>
      <c r="AA105" s="26">
        <v>2.496</v>
      </c>
      <c r="AB105" s="26">
        <v>2.496</v>
      </c>
      <c r="AC105" s="26">
        <v>2.496</v>
      </c>
      <c r="AD105" s="26">
        <v>393.551999999999</v>
      </c>
      <c r="AE105" s="26">
        <v>393.551999999999</v>
      </c>
      <c r="AF105" s="26">
        <v>393.551999999999</v>
      </c>
      <c r="AG105" s="26">
        <v>393.551999999999</v>
      </c>
      <c r="AH105" s="26">
        <v>393.551999999999</v>
      </c>
      <c r="AI105" s="26">
        <v>393.551999999999</v>
      </c>
      <c r="AJ105" s="26">
        <v>393.551999999999</v>
      </c>
      <c r="AK105" s="26">
        <v>393.551999999999</v>
      </c>
      <c r="AL105" s="27">
        <f t="shared" si="2"/>
        <v>2371.2959999999939</v>
      </c>
      <c r="AM105" s="26">
        <f t="shared" si="3"/>
        <v>2371295.9999999939</v>
      </c>
    </row>
    <row r="106" spans="1:39" x14ac:dyDescent="0.25">
      <c r="AL106" s="27">
        <f t="shared" si="2"/>
        <v>0</v>
      </c>
      <c r="AM106" s="26">
        <f t="shared" si="3"/>
        <v>0</v>
      </c>
    </row>
    <row r="107" spans="1:39" x14ac:dyDescent="0.25">
      <c r="A107" s="28" t="s">
        <v>123</v>
      </c>
      <c r="AL107" s="27">
        <f t="shared" si="2"/>
        <v>0</v>
      </c>
      <c r="AM107" s="26">
        <f t="shared" si="3"/>
        <v>0</v>
      </c>
    </row>
    <row r="108" spans="1:39" x14ac:dyDescent="0.25">
      <c r="A108" s="25" t="s">
        <v>89</v>
      </c>
      <c r="B108" s="26">
        <v>0.82782817139295695</v>
      </c>
      <c r="C108" s="26">
        <v>5.7644106163381696</v>
      </c>
      <c r="D108" s="26">
        <v>1.9856442743146501</v>
      </c>
      <c r="E108" s="26">
        <v>0.51292878752737303</v>
      </c>
      <c r="F108" s="26">
        <v>0.30635582609408202</v>
      </c>
      <c r="G108" s="26">
        <v>0.28029233570143702</v>
      </c>
      <c r="H108" s="26">
        <v>0.336594182850463</v>
      </c>
      <c r="I108" s="26">
        <v>0.17749630067011499</v>
      </c>
      <c r="J108" s="26">
        <v>0.28089047165912201</v>
      </c>
      <c r="K108" s="26">
        <v>0.241625232817957</v>
      </c>
      <c r="L108" s="26">
        <v>0.199629724384494</v>
      </c>
      <c r="M108" s="26">
        <v>0.30851403792305698</v>
      </c>
      <c r="N108" s="26">
        <v>0.20538887062192199</v>
      </c>
      <c r="O108" s="26">
        <v>0.22265356156704999</v>
      </c>
      <c r="P108" s="26">
        <v>1.44246999852591</v>
      </c>
      <c r="Q108" s="26">
        <v>1.7580899308659299</v>
      </c>
      <c r="R108" s="26">
        <v>2.34576144396175</v>
      </c>
      <c r="S108" s="26">
        <v>0.141208191867783</v>
      </c>
      <c r="T108" s="26">
        <v>4.1549651338200997</v>
      </c>
      <c r="U108" s="26">
        <v>0.208607673054343</v>
      </c>
      <c r="V108" s="26">
        <v>0.45018565091614698</v>
      </c>
      <c r="W108" s="26">
        <v>2.4158762736131099E-4</v>
      </c>
      <c r="X108" s="26">
        <v>37.211826016265</v>
      </c>
      <c r="Y108" s="26">
        <v>26.595774844685899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7">
        <f t="shared" si="2"/>
        <v>64.25802809949441</v>
      </c>
      <c r="AM108" s="26">
        <f t="shared" si="3"/>
        <v>64258.028099494411</v>
      </c>
    </row>
    <row r="109" spans="1:39" x14ac:dyDescent="0.25">
      <c r="A109" s="25" t="s">
        <v>90</v>
      </c>
      <c r="B109" s="26">
        <v>20.467259327917301</v>
      </c>
      <c r="C109" s="26">
        <v>20.722879102146099</v>
      </c>
      <c r="D109" s="26">
        <v>24.202174630177701</v>
      </c>
      <c r="E109" s="26">
        <v>10.5922672580524</v>
      </c>
      <c r="F109" s="26">
        <v>3.4679022155352599</v>
      </c>
      <c r="G109" s="26">
        <v>0.84968929566805595</v>
      </c>
      <c r="H109" s="26">
        <v>10.6853569312498</v>
      </c>
      <c r="I109" s="26">
        <v>0.88790465400215102</v>
      </c>
      <c r="J109" s="26">
        <v>0.494731161776995</v>
      </c>
      <c r="K109" s="26">
        <v>0.47136156999331402</v>
      </c>
      <c r="L109" s="26">
        <v>0</v>
      </c>
      <c r="M109" s="26">
        <v>1.7309161143565699</v>
      </c>
      <c r="N109" s="26">
        <v>3.34378515314171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5.7027988566128798E-3</v>
      </c>
      <c r="W109" s="26">
        <v>0.18119072052098301</v>
      </c>
      <c r="X109" s="26">
        <v>0.328339641319986</v>
      </c>
      <c r="Y109" s="26">
        <v>0.39893662267028901</v>
      </c>
      <c r="Z109" s="26">
        <v>0.42144428449635801</v>
      </c>
      <c r="AA109" s="26">
        <v>0.60778368205483702</v>
      </c>
      <c r="AB109" s="26">
        <v>0.57713082646548897</v>
      </c>
      <c r="AC109" s="26">
        <v>0.55906253409158202</v>
      </c>
      <c r="AD109" s="26">
        <v>0.57439123327331698</v>
      </c>
      <c r="AE109" s="26">
        <v>8.6772680008361203</v>
      </c>
      <c r="AF109" s="26">
        <v>5.5592633977999597</v>
      </c>
      <c r="AG109" s="26">
        <v>5.5915604232423997</v>
      </c>
      <c r="AH109" s="26">
        <v>0</v>
      </c>
      <c r="AI109" s="26">
        <v>0</v>
      </c>
      <c r="AJ109" s="26">
        <v>0</v>
      </c>
      <c r="AK109" s="26">
        <v>0</v>
      </c>
      <c r="AL109" s="27">
        <f t="shared" si="2"/>
        <v>23.482074165627932</v>
      </c>
      <c r="AM109" s="26">
        <f t="shared" si="3"/>
        <v>23482.074165627932</v>
      </c>
    </row>
    <row r="110" spans="1:39" x14ac:dyDescent="0.25">
      <c r="A110" s="25" t="s">
        <v>91</v>
      </c>
      <c r="B110" s="26">
        <v>0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18.617042391280101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7">
        <f t="shared" si="2"/>
        <v>18.617042391280101</v>
      </c>
      <c r="AM110" s="26">
        <f t="shared" si="3"/>
        <v>18617.042391280102</v>
      </c>
    </row>
    <row r="111" spans="1:39" x14ac:dyDescent="0.25">
      <c r="A111" s="25" t="s">
        <v>92</v>
      </c>
      <c r="B111" s="26">
        <v>0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0.29590074295650698</v>
      </c>
      <c r="M111" s="26">
        <v>1.82219863923865</v>
      </c>
      <c r="N111" s="26">
        <v>5.7201738274163203</v>
      </c>
      <c r="O111" s="26">
        <v>0.31202639191676701</v>
      </c>
      <c r="P111" s="26">
        <v>0.42469955826827299</v>
      </c>
      <c r="Q111" s="26">
        <v>3.6004221357658999</v>
      </c>
      <c r="R111" s="26">
        <v>5.4784801332047897E-2</v>
      </c>
      <c r="S111" s="26">
        <v>4.5140332261512497E-2</v>
      </c>
      <c r="T111" s="26">
        <v>4.7872533668000997E-2</v>
      </c>
      <c r="U111" s="26">
        <v>3.4974679195385598E-2</v>
      </c>
      <c r="V111" s="26">
        <v>3.4944074110375603E-2</v>
      </c>
      <c r="W111" s="26">
        <v>0</v>
      </c>
      <c r="X111" s="26">
        <v>2.7444654710666199</v>
      </c>
      <c r="Y111" s="26">
        <v>2.9797887422342901</v>
      </c>
      <c r="Z111" s="26">
        <v>12.4644428449635</v>
      </c>
      <c r="AA111" s="26">
        <v>14.327836820548301</v>
      </c>
      <c r="AB111" s="26">
        <v>14.021308264654801</v>
      </c>
      <c r="AC111" s="26">
        <v>13.8406253409158</v>
      </c>
      <c r="AD111" s="26">
        <v>13.9939123327331</v>
      </c>
      <c r="AE111" s="26">
        <v>104.565635559271</v>
      </c>
      <c r="AF111" s="26">
        <v>206.12351197066599</v>
      </c>
      <c r="AG111" s="26">
        <v>206.55413897656501</v>
      </c>
      <c r="AH111" s="26">
        <v>205.95198282406301</v>
      </c>
      <c r="AI111" s="26">
        <v>103.914911802408</v>
      </c>
      <c r="AJ111" s="26">
        <v>0</v>
      </c>
      <c r="AK111" s="26">
        <v>0</v>
      </c>
      <c r="AL111" s="27">
        <f t="shared" si="2"/>
        <v>901.51750502419975</v>
      </c>
      <c r="AM111" s="26">
        <f t="shared" si="3"/>
        <v>901517.50502419972</v>
      </c>
    </row>
    <row r="112" spans="1:39" x14ac:dyDescent="0.25">
      <c r="A112" s="25" t="s">
        <v>93</v>
      </c>
      <c r="B112" s="26">
        <v>1.9408823603374601</v>
      </c>
      <c r="C112" s="26">
        <v>-6.4998606594008801E-2</v>
      </c>
      <c r="D112" s="26">
        <v>40.682153165992602</v>
      </c>
      <c r="E112" s="26">
        <v>0.78655769069749903</v>
      </c>
      <c r="F112" s="26">
        <v>-43.083629787743199</v>
      </c>
      <c r="G112" s="26">
        <v>-36.0582668492886</v>
      </c>
      <c r="H112" s="26">
        <v>-17.625029275622001</v>
      </c>
      <c r="I112" s="26">
        <v>-4.8289410963470996</v>
      </c>
      <c r="J112" s="26">
        <v>-129.45444446586799</v>
      </c>
      <c r="K112" s="26">
        <v>-96.512367037457693</v>
      </c>
      <c r="L112" s="26">
        <v>-149.65605447737201</v>
      </c>
      <c r="M112" s="26">
        <v>-90.934823568099702</v>
      </c>
      <c r="N112" s="26">
        <v>-72.968913236786406</v>
      </c>
      <c r="O112" s="26">
        <v>-9.9408168148650802</v>
      </c>
      <c r="P112" s="26">
        <v>137.63591292908899</v>
      </c>
      <c r="Q112" s="26">
        <v>-251.462665607552</v>
      </c>
      <c r="R112" s="26">
        <v>-2.0895419742052401</v>
      </c>
      <c r="S112" s="26">
        <v>-2.01715005489147</v>
      </c>
      <c r="T112" s="26">
        <v>-149.48647001734099</v>
      </c>
      <c r="U112" s="26">
        <v>-600.45988016640604</v>
      </c>
      <c r="V112" s="26">
        <v>-4.49954291914497E-2</v>
      </c>
      <c r="W112" s="26">
        <v>-0.129206186319344</v>
      </c>
      <c r="X112" s="26">
        <v>-1.0887417025336501</v>
      </c>
      <c r="Y112" s="26">
        <v>3.1915496893718899E-2</v>
      </c>
      <c r="Z112" s="26">
        <v>0</v>
      </c>
      <c r="AA112" s="26">
        <v>-0.89524853314846398</v>
      </c>
      <c r="AB112" s="26">
        <v>-9.5738347069020596E-2</v>
      </c>
      <c r="AC112" s="26">
        <v>-0.13187493181683399</v>
      </c>
      <c r="AD112" s="26">
        <v>-0.101217533453365</v>
      </c>
      <c r="AE112" s="26">
        <v>0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7">
        <f t="shared" si="2"/>
        <v>-2.4551071666384088</v>
      </c>
      <c r="AM112" s="26">
        <f t="shared" si="3"/>
        <v>-2455.1071666384087</v>
      </c>
    </row>
    <row r="113" spans="1:40" x14ac:dyDescent="0.25">
      <c r="A113" s="25" t="s">
        <v>94</v>
      </c>
      <c r="B113" s="26">
        <v>2.3253460805732802</v>
      </c>
      <c r="C113" s="26">
        <v>0.84365506069273699</v>
      </c>
      <c r="D113" s="26">
        <v>0.38334065369797199</v>
      </c>
      <c r="E113" s="26">
        <v>0.69282910687404398</v>
      </c>
      <c r="F113" s="26">
        <v>0.171561228032477</v>
      </c>
      <c r="G113" s="26">
        <v>0.41822060265567701</v>
      </c>
      <c r="H113" s="26">
        <v>0.15208659645818501</v>
      </c>
      <c r="I113" s="26">
        <v>0.148452882363692</v>
      </c>
      <c r="J113" s="26">
        <v>0.18042374517769599</v>
      </c>
      <c r="K113" s="26">
        <v>0.16874898211383901</v>
      </c>
      <c r="L113" s="26">
        <v>0.23430243808125401</v>
      </c>
      <c r="M113" s="26">
        <v>0.90773015534346502</v>
      </c>
      <c r="N113" s="26">
        <v>0.89948975539838805</v>
      </c>
      <c r="O113" s="26">
        <v>0.66147012101092995</v>
      </c>
      <c r="P113" s="26">
        <v>3.3003868649818102</v>
      </c>
      <c r="Q113" s="26">
        <v>6.4225830653329599</v>
      </c>
      <c r="R113" s="26">
        <v>39.3700040957524</v>
      </c>
      <c r="S113" s="26">
        <v>50.802353202435597</v>
      </c>
      <c r="T113" s="26">
        <v>9.9447526871582301</v>
      </c>
      <c r="U113" s="26">
        <v>11.110843968324399</v>
      </c>
      <c r="V113" s="26">
        <v>3.25938436768365</v>
      </c>
      <c r="W113" s="26">
        <v>16.352583320832402</v>
      </c>
      <c r="X113" s="26">
        <v>1.09446547106662</v>
      </c>
      <c r="Y113" s="26">
        <v>1.32978874223429</v>
      </c>
      <c r="Z113" s="26">
        <v>0.42144428449635801</v>
      </c>
      <c r="AA113" s="26">
        <v>0.60778368205483702</v>
      </c>
      <c r="AB113" s="26">
        <v>0.57713082646548897</v>
      </c>
      <c r="AC113" s="26">
        <v>0.55906253409158202</v>
      </c>
      <c r="AD113" s="26">
        <v>0</v>
      </c>
      <c r="AE113" s="26">
        <v>0</v>
      </c>
      <c r="AF113" s="26">
        <v>0</v>
      </c>
      <c r="AG113" s="26">
        <v>0</v>
      </c>
      <c r="AH113" s="26">
        <v>0</v>
      </c>
      <c r="AI113" s="26">
        <v>0</v>
      </c>
      <c r="AJ113" s="26">
        <v>0</v>
      </c>
      <c r="AK113" s="26">
        <v>0</v>
      </c>
      <c r="AL113" s="27">
        <f t="shared" si="2"/>
        <v>24.201643228925224</v>
      </c>
      <c r="AM113" s="26">
        <f t="shared" si="3"/>
        <v>24201.643228925226</v>
      </c>
    </row>
    <row r="114" spans="1:40" x14ac:dyDescent="0.25">
      <c r="A114" s="25" t="s">
        <v>95</v>
      </c>
      <c r="B114" s="26">
        <v>8.0330248416900307</v>
      </c>
      <c r="C114" s="26">
        <v>24.533335156062702</v>
      </c>
      <c r="D114" s="26">
        <v>9.5542615829157995</v>
      </c>
      <c r="E114" s="26">
        <v>19.2392789438052</v>
      </c>
      <c r="F114" s="26">
        <v>38.461107348504299</v>
      </c>
      <c r="G114" s="26">
        <v>2.3073110784075599</v>
      </c>
      <c r="H114" s="26">
        <v>14.7394671867673</v>
      </c>
      <c r="I114" s="26">
        <v>22.4119450064955</v>
      </c>
      <c r="J114" s="26">
        <v>5.0474946009256296</v>
      </c>
      <c r="K114" s="26">
        <v>21.405182345461299</v>
      </c>
      <c r="L114" s="26">
        <v>1.8637839668604901</v>
      </c>
      <c r="M114" s="26">
        <v>47.4796136195068</v>
      </c>
      <c r="N114" s="26">
        <v>1.8653479628815699</v>
      </c>
      <c r="O114" s="26">
        <v>47.020125419725403</v>
      </c>
      <c r="P114" s="26">
        <v>2.4004197342713498</v>
      </c>
      <c r="Q114" s="26">
        <v>-2.0020507660123501</v>
      </c>
      <c r="R114" s="26">
        <v>1.5545234473337299</v>
      </c>
      <c r="S114" s="26">
        <v>2.1816007319122601</v>
      </c>
      <c r="T114" s="26">
        <v>0.13474767463498599</v>
      </c>
      <c r="U114" s="26">
        <v>0.95522253320871797</v>
      </c>
      <c r="V114" s="26">
        <v>0</v>
      </c>
      <c r="W114" s="26">
        <v>1.4973601143854101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7">
        <f t="shared" si="2"/>
        <v>1.4973601143854101</v>
      </c>
      <c r="AM114" s="26">
        <f t="shared" si="3"/>
        <v>1497.36011438541</v>
      </c>
    </row>
    <row r="115" spans="1:40" x14ac:dyDescent="0.25">
      <c r="A115" s="25" t="s">
        <v>96</v>
      </c>
      <c r="B115" s="26">
        <v>0</v>
      </c>
      <c r="C115" s="26">
        <v>0</v>
      </c>
      <c r="D115" s="26">
        <v>0</v>
      </c>
      <c r="E115" s="26">
        <v>56.278506367481398</v>
      </c>
      <c r="F115" s="26">
        <v>8.1631307398804296</v>
      </c>
      <c r="G115" s="26">
        <v>6.5621379294026996</v>
      </c>
      <c r="H115" s="26">
        <v>6.6667930920676</v>
      </c>
      <c r="I115" s="26">
        <v>55.078428236110902</v>
      </c>
      <c r="J115" s="26">
        <v>10.4350416990124</v>
      </c>
      <c r="K115" s="26">
        <v>2.9427400135795199</v>
      </c>
      <c r="L115" s="26">
        <v>2.20214479535943</v>
      </c>
      <c r="M115" s="26">
        <v>0.68624071144271703</v>
      </c>
      <c r="N115" s="26">
        <v>0.278751237706866</v>
      </c>
      <c r="O115" s="26">
        <v>0.112387755200005</v>
      </c>
      <c r="P115" s="26">
        <v>0.19854223438997601</v>
      </c>
      <c r="Q115" s="26">
        <v>0.39633166374517598</v>
      </c>
      <c r="R115" s="26">
        <v>2.6151204133285</v>
      </c>
      <c r="S115" s="26">
        <v>0.17450243035054999</v>
      </c>
      <c r="T115" s="26">
        <v>5.3899069853994696E-4</v>
      </c>
      <c r="U115" s="26">
        <v>1.2609337655277599E-4</v>
      </c>
      <c r="V115" s="26">
        <v>0.106608792743033</v>
      </c>
      <c r="W115" s="26">
        <v>0.120793813680655</v>
      </c>
      <c r="X115" s="26">
        <v>0.109446547106662</v>
      </c>
      <c r="Y115" s="26">
        <v>0.13297887422342899</v>
      </c>
      <c r="Z115" s="26">
        <v>0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v>0</v>
      </c>
      <c r="AI115" s="26">
        <v>0</v>
      </c>
      <c r="AJ115" s="26">
        <v>0</v>
      </c>
      <c r="AK115" s="26">
        <v>0</v>
      </c>
      <c r="AL115" s="27">
        <f t="shared" si="2"/>
        <v>0.46982802775377897</v>
      </c>
      <c r="AM115" s="26">
        <f t="shared" si="3"/>
        <v>469.82802775377894</v>
      </c>
    </row>
    <row r="116" spans="1:40" x14ac:dyDescent="0.25">
      <c r="A116" s="25" t="s">
        <v>97</v>
      </c>
      <c r="B116" s="26">
        <v>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0.254448525602399</v>
      </c>
      <c r="U116" s="26">
        <v>2.2545236631657199E-2</v>
      </c>
      <c r="V116" s="26">
        <v>9.3123350740925703E-2</v>
      </c>
      <c r="W116" s="26">
        <v>0.120793813680655</v>
      </c>
      <c r="X116" s="26">
        <v>0.21889309421332401</v>
      </c>
      <c r="Y116" s="26">
        <v>0.26595774844685899</v>
      </c>
      <c r="Z116" s="26">
        <v>0.168577713798543</v>
      </c>
      <c r="AA116" s="26">
        <v>0.24311347282193399</v>
      </c>
      <c r="AB116" s="26">
        <v>0.230852330586195</v>
      </c>
      <c r="AC116" s="26">
        <v>67.087504090989896</v>
      </c>
      <c r="AD116" s="26">
        <v>68.926947992798105</v>
      </c>
      <c r="AE116" s="26">
        <v>96.414088898179102</v>
      </c>
      <c r="AF116" s="26">
        <v>92.654389963332605</v>
      </c>
      <c r="AG116" s="26">
        <v>93.192673720706694</v>
      </c>
      <c r="AH116" s="26">
        <v>92.439978530078903</v>
      </c>
      <c r="AI116" s="26">
        <v>0.94787279506021904</v>
      </c>
      <c r="AJ116" s="26">
        <v>0</v>
      </c>
      <c r="AK116" s="26">
        <v>0</v>
      </c>
      <c r="AL116" s="27">
        <f t="shared" si="2"/>
        <v>513.00476751543397</v>
      </c>
      <c r="AM116" s="26">
        <f t="shared" si="3"/>
        <v>513004.76751543395</v>
      </c>
    </row>
    <row r="117" spans="1:40" x14ac:dyDescent="0.25">
      <c r="A117" s="25" t="s">
        <v>98</v>
      </c>
      <c r="B117" s="26">
        <v>0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0.99976806619520897</v>
      </c>
      <c r="K117" s="26">
        <v>0.92809824700753496</v>
      </c>
      <c r="L117" s="26">
        <v>1.85583403074428</v>
      </c>
      <c r="M117" s="26">
        <v>8.5694732509765092</v>
      </c>
      <c r="N117" s="26">
        <v>5.4207348763884298</v>
      </c>
      <c r="O117" s="26">
        <v>0.85318854938488697</v>
      </c>
      <c r="P117" s="26">
        <v>1.2920687409134299</v>
      </c>
      <c r="Q117" s="26">
        <v>0.62825529042389205</v>
      </c>
      <c r="R117" s="26">
        <v>78.440185093785502</v>
      </c>
      <c r="S117" s="26">
        <v>36.454456929782801</v>
      </c>
      <c r="T117" s="26">
        <v>6.1194327673687701</v>
      </c>
      <c r="U117" s="26">
        <v>1.3936461806962901</v>
      </c>
      <c r="V117" s="26">
        <v>0.54411410267212301</v>
      </c>
      <c r="W117" s="26">
        <v>9.6635050944524696</v>
      </c>
      <c r="X117" s="26">
        <v>13.1335856527994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7">
        <f t="shared" si="2"/>
        <v>23.341204849923994</v>
      </c>
      <c r="AM117" s="26">
        <f t="shared" si="3"/>
        <v>23341.204849923994</v>
      </c>
    </row>
    <row r="118" spans="1:40" x14ac:dyDescent="0.25">
      <c r="A118" s="25" t="s">
        <v>99</v>
      </c>
      <c r="B118" s="26">
        <v>0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1.06470981987613</v>
      </c>
      <c r="K118" s="26">
        <v>0.92842684874949599</v>
      </c>
      <c r="L118" s="26">
        <v>2.9713136057728602</v>
      </c>
      <c r="M118" s="26">
        <v>9.66075151052571</v>
      </c>
      <c r="N118" s="26">
        <v>0.21368103239221201</v>
      </c>
      <c r="O118" s="26">
        <v>2.7352306904488</v>
      </c>
      <c r="P118" s="26">
        <v>2.68941450161216</v>
      </c>
      <c r="Q118" s="26">
        <v>5.4375125469621697</v>
      </c>
      <c r="R118" s="26">
        <v>19.105242354785499</v>
      </c>
      <c r="S118" s="26">
        <v>2.23748302731238</v>
      </c>
      <c r="T118" s="26">
        <v>75.570558951989895</v>
      </c>
      <c r="U118" s="26">
        <v>5.2855057250254101</v>
      </c>
      <c r="V118" s="26">
        <v>38.786695444795903</v>
      </c>
      <c r="W118" s="26">
        <v>24.158762736131099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0</v>
      </c>
      <c r="AK118" s="26">
        <v>0</v>
      </c>
      <c r="AL118" s="27">
        <f t="shared" si="2"/>
        <v>62.945458180927005</v>
      </c>
      <c r="AM118" s="26">
        <f t="shared" si="3"/>
        <v>62945.458180927002</v>
      </c>
    </row>
    <row r="119" spans="1:40" x14ac:dyDescent="0.25">
      <c r="A119" s="25" t="s">
        <v>100</v>
      </c>
      <c r="B119" s="26">
        <v>0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33.509497695203002</v>
      </c>
      <c r="K119" s="26">
        <v>0.67688997197232204</v>
      </c>
      <c r="L119" s="26">
        <v>0.14979550542701001</v>
      </c>
      <c r="M119" s="26">
        <v>45.133464802633497</v>
      </c>
      <c r="N119" s="26">
        <v>25.248851565275501</v>
      </c>
      <c r="O119" s="26">
        <v>26.182802182838799</v>
      </c>
      <c r="P119" s="26">
        <v>37.671861303305697</v>
      </c>
      <c r="Q119" s="26">
        <v>53.988720962507003</v>
      </c>
      <c r="R119" s="26">
        <v>70.683348888184597</v>
      </c>
      <c r="S119" s="26">
        <v>37.358501381101199</v>
      </c>
      <c r="T119" s="26">
        <v>47.077459468120999</v>
      </c>
      <c r="U119" s="26">
        <v>12.941846752900499</v>
      </c>
      <c r="V119" s="26">
        <v>6.4518111676155403</v>
      </c>
      <c r="W119" s="26">
        <v>1.81190720520983</v>
      </c>
      <c r="X119" s="26">
        <v>2.1889309421332399</v>
      </c>
      <c r="Y119" s="26">
        <v>1.99468311335144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v>0</v>
      </c>
      <c r="AI119" s="26">
        <v>0</v>
      </c>
      <c r="AJ119" s="26">
        <v>0</v>
      </c>
      <c r="AK119" s="26">
        <v>0</v>
      </c>
      <c r="AL119" s="27">
        <f t="shared" si="2"/>
        <v>12.44733242831005</v>
      </c>
      <c r="AM119" s="26">
        <f t="shared" si="3"/>
        <v>12447.33242831005</v>
      </c>
    </row>
    <row r="120" spans="1:40" x14ac:dyDescent="0.25">
      <c r="A120" s="25" t="s">
        <v>101</v>
      </c>
      <c r="B120" s="26">
        <v>0</v>
      </c>
      <c r="C120" s="26">
        <v>0</v>
      </c>
      <c r="D120" s="26">
        <v>13.6937064544744</v>
      </c>
      <c r="E120" s="26">
        <v>4.6394643767583297</v>
      </c>
      <c r="F120" s="26">
        <v>4.9318294267231798E-2</v>
      </c>
      <c r="G120" s="26">
        <v>9.7775594349369499E-2</v>
      </c>
      <c r="H120" s="26">
        <v>-5.4208381875234503E-2</v>
      </c>
      <c r="I120" s="26">
        <v>-0.94145578576755096</v>
      </c>
      <c r="J120" s="26">
        <v>1.1627674482812</v>
      </c>
      <c r="K120" s="26">
        <v>0.73317737764101498</v>
      </c>
      <c r="L120" s="26">
        <v>0.92297396511419305</v>
      </c>
      <c r="M120" s="26">
        <v>0.42450693845281501</v>
      </c>
      <c r="N120" s="26">
        <v>23.1996473449348</v>
      </c>
      <c r="O120" s="26">
        <v>8.3673053573497107</v>
      </c>
      <c r="P120" s="26">
        <v>27.033785670540201</v>
      </c>
      <c r="Q120" s="26">
        <v>25.979493925938499</v>
      </c>
      <c r="R120" s="26">
        <v>101.74490312489</v>
      </c>
      <c r="S120" s="26">
        <v>28.359807020914801</v>
      </c>
      <c r="T120" s="26">
        <v>71.428565007369997</v>
      </c>
      <c r="U120" s="26">
        <v>-100.039938415322</v>
      </c>
      <c r="V120" s="26">
        <v>-42.1222939199126</v>
      </c>
      <c r="W120" s="26">
        <v>-15.381815782782301</v>
      </c>
      <c r="X120" s="26">
        <v>124.65380819130699</v>
      </c>
      <c r="Y120" s="26">
        <v>89.773173214958206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0</v>
      </c>
      <c r="AI120" s="26">
        <v>0</v>
      </c>
      <c r="AJ120" s="26">
        <v>0</v>
      </c>
      <c r="AK120" s="26">
        <v>0</v>
      </c>
      <c r="AL120" s="27">
        <f t="shared" si="2"/>
        <v>156.92287170357031</v>
      </c>
      <c r="AM120" s="26">
        <f t="shared" si="3"/>
        <v>156922.8717035703</v>
      </c>
    </row>
    <row r="121" spans="1:40" x14ac:dyDescent="0.25">
      <c r="A121" s="25" t="s">
        <v>102</v>
      </c>
      <c r="B121" s="26">
        <v>139.120686125361</v>
      </c>
      <c r="C121" s="26">
        <v>1.6846709385099701</v>
      </c>
      <c r="D121" s="26">
        <v>21.202754202656799</v>
      </c>
      <c r="E121" s="26">
        <v>3.8853068247607698</v>
      </c>
      <c r="F121" s="26">
        <v>-0.93616374949679504</v>
      </c>
      <c r="G121" s="26">
        <v>1.9261225236653801</v>
      </c>
      <c r="H121" s="26">
        <v>-3.0619386424815001</v>
      </c>
      <c r="I121" s="26">
        <v>-1.16548932702997</v>
      </c>
      <c r="J121" s="26">
        <v>0.75593582696414396</v>
      </c>
      <c r="K121" s="26">
        <v>6.0592692361703698E-2</v>
      </c>
      <c r="L121" s="26">
        <v>-8.7623819153954202E-2</v>
      </c>
      <c r="M121" s="26">
        <v>-5.3269696190572597</v>
      </c>
      <c r="N121" s="26">
        <v>9.2105986959066399</v>
      </c>
      <c r="O121" s="26">
        <v>1.44904370961912</v>
      </c>
      <c r="P121" s="26">
        <v>16.511648599209</v>
      </c>
      <c r="Q121" s="26">
        <v>20.241506522039099</v>
      </c>
      <c r="R121" s="26">
        <v>26.227806063572199</v>
      </c>
      <c r="S121" s="26">
        <v>6.5075311138455598</v>
      </c>
      <c r="T121" s="26">
        <v>3.3693722453942998</v>
      </c>
      <c r="U121" s="26">
        <v>-10.1802626058144</v>
      </c>
      <c r="V121" s="26">
        <v>-23.7681838718315</v>
      </c>
      <c r="W121" s="26">
        <v>-6.5205770801626102</v>
      </c>
      <c r="X121" s="26">
        <v>14.4374362410383</v>
      </c>
      <c r="Y121" s="26">
        <v>18.893662267028901</v>
      </c>
      <c r="Z121" s="26">
        <v>0.57155427597086705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0</v>
      </c>
      <c r="AJ121" s="26">
        <v>0</v>
      </c>
      <c r="AK121" s="26">
        <v>0</v>
      </c>
      <c r="AL121" s="27">
        <f t="shared" si="2"/>
        <v>3.6138918320439584</v>
      </c>
      <c r="AM121" s="26">
        <f t="shared" si="3"/>
        <v>3613.8918320439584</v>
      </c>
      <c r="AN121" s="26">
        <f>AM121</f>
        <v>3613.8918320439584</v>
      </c>
    </row>
    <row r="122" spans="1:40" x14ac:dyDescent="0.25">
      <c r="A122" s="25" t="s">
        <v>103</v>
      </c>
      <c r="B122" s="26">
        <v>119.495752018381</v>
      </c>
      <c r="C122" s="26">
        <v>58.673853422483297</v>
      </c>
      <c r="D122" s="26">
        <v>155.22412213072701</v>
      </c>
      <c r="E122" s="26">
        <v>-12.7530128615485</v>
      </c>
      <c r="F122" s="26">
        <v>-3.2495189256227501</v>
      </c>
      <c r="G122" s="26">
        <v>5.9686853042968897</v>
      </c>
      <c r="H122" s="26">
        <v>-5.8767662048008003</v>
      </c>
      <c r="I122" s="26">
        <v>-9.3874791387606091</v>
      </c>
      <c r="J122" s="26">
        <v>5.9276983233786398</v>
      </c>
      <c r="K122" s="26">
        <v>0.37388620096029901</v>
      </c>
      <c r="L122" s="26">
        <v>-0.213877574288272</v>
      </c>
      <c r="M122" s="26">
        <v>-1.44091251189129</v>
      </c>
      <c r="N122" s="26">
        <v>20.339309090849898</v>
      </c>
      <c r="O122" s="26">
        <v>12.1918835890424</v>
      </c>
      <c r="P122" s="26">
        <v>75.221926730167993</v>
      </c>
      <c r="Q122" s="26">
        <v>16.6187189793913</v>
      </c>
      <c r="R122" s="26">
        <v>39.293160732283802</v>
      </c>
      <c r="S122" s="26">
        <v>2.7017058169472699</v>
      </c>
      <c r="T122" s="26">
        <v>13.1710989591139</v>
      </c>
      <c r="U122" s="26">
        <v>-14.0244443401808</v>
      </c>
      <c r="V122" s="26">
        <v>-16.9381391293315</v>
      </c>
      <c r="W122" s="26">
        <v>-1.67674616052591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0</v>
      </c>
      <c r="AK122" s="26">
        <v>0</v>
      </c>
      <c r="AL122" s="27">
        <f t="shared" si="2"/>
        <v>-18.614885289857408</v>
      </c>
      <c r="AM122" s="26">
        <f t="shared" si="3"/>
        <v>-18614.885289857408</v>
      </c>
      <c r="AN122" s="26">
        <f>AM122+AM132</f>
        <v>-19390.505643933258</v>
      </c>
    </row>
    <row r="123" spans="1:40" x14ac:dyDescent="0.25">
      <c r="A123" s="25" t="s">
        <v>104</v>
      </c>
      <c r="B123" s="26">
        <v>0</v>
      </c>
      <c r="C123" s="26">
        <v>0</v>
      </c>
      <c r="D123" s="26">
        <v>5.92855496235393</v>
      </c>
      <c r="E123" s="26">
        <v>4.0998329016278099</v>
      </c>
      <c r="F123" s="26">
        <v>-0.882682233124226</v>
      </c>
      <c r="G123" s="26">
        <v>0.47676681774218699</v>
      </c>
      <c r="H123" s="26">
        <v>-3.6120080230607599</v>
      </c>
      <c r="I123" s="26">
        <v>-2.5287484944732501</v>
      </c>
      <c r="J123" s="26">
        <v>3.1672035291575402</v>
      </c>
      <c r="K123" s="26">
        <v>0.27974549242477298</v>
      </c>
      <c r="L123" s="26">
        <v>-0.337935599008645</v>
      </c>
      <c r="M123" s="26">
        <v>-2.9167304475863101</v>
      </c>
      <c r="N123" s="26">
        <v>11.5681759813234</v>
      </c>
      <c r="O123" s="26">
        <v>10.8860200070228</v>
      </c>
      <c r="P123" s="26">
        <v>16.975138202093198</v>
      </c>
      <c r="Q123" s="26">
        <v>3.04460944084295</v>
      </c>
      <c r="R123" s="26">
        <v>27.713299830745999</v>
      </c>
      <c r="S123" s="26">
        <v>6.9195921884335299</v>
      </c>
      <c r="T123" s="26">
        <v>8.6677583930227406</v>
      </c>
      <c r="U123" s="26">
        <v>-20.858562305672798</v>
      </c>
      <c r="V123" s="26">
        <v>-4.5322392117300998</v>
      </c>
      <c r="W123" s="26">
        <v>-1.0083247817655601</v>
      </c>
      <c r="X123" s="26">
        <v>4.0432710784328503</v>
      </c>
      <c r="Y123" s="26">
        <v>8.4076797088278692</v>
      </c>
      <c r="Z123" s="26">
        <v>1.4931855459738901</v>
      </c>
      <c r="AA123" s="26">
        <v>5.3876789549460904</v>
      </c>
      <c r="AB123" s="26">
        <v>6.0189669013354701</v>
      </c>
      <c r="AC123" s="26">
        <v>4.3066882022866002</v>
      </c>
      <c r="AD123" s="26">
        <v>4.6673376520850001</v>
      </c>
      <c r="AE123" s="26">
        <v>3.4602456456614701</v>
      </c>
      <c r="AF123" s="26">
        <v>1.7896968071032799</v>
      </c>
      <c r="AG123" s="26">
        <v>1.69306518161159</v>
      </c>
      <c r="AH123" s="26">
        <v>1.1219989265039401</v>
      </c>
      <c r="AI123" s="26">
        <v>0</v>
      </c>
      <c r="AJ123" s="26">
        <v>0</v>
      </c>
      <c r="AK123" s="26">
        <v>0</v>
      </c>
      <c r="AL123" s="27">
        <f t="shared" si="2"/>
        <v>36.849250611272396</v>
      </c>
      <c r="AM123" s="26">
        <f t="shared" si="3"/>
        <v>36849.250611272393</v>
      </c>
      <c r="AN123" s="26">
        <f>AM123+AM133</f>
        <v>147397.00973591433</v>
      </c>
    </row>
    <row r="124" spans="1:40" x14ac:dyDescent="0.25">
      <c r="A124" s="25" t="s">
        <v>105</v>
      </c>
      <c r="B124" s="26">
        <v>0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0.14860411175242499</v>
      </c>
      <c r="AA124" s="26">
        <v>0.536190058674061</v>
      </c>
      <c r="AB124" s="26">
        <v>0.47243211904821802</v>
      </c>
      <c r="AC124" s="26">
        <v>0.43485007091049199</v>
      </c>
      <c r="AD124" s="26">
        <v>73.591348864317197</v>
      </c>
      <c r="AE124" s="26">
        <v>43.313822975234203</v>
      </c>
      <c r="AF124" s="26">
        <v>37.148668661872897</v>
      </c>
      <c r="AG124" s="26">
        <v>38.031346367214901</v>
      </c>
      <c r="AH124" s="26">
        <v>36.797076793623397</v>
      </c>
      <c r="AI124" s="26">
        <v>40.646180933974797</v>
      </c>
      <c r="AJ124" s="26">
        <v>82.198328518993804</v>
      </c>
      <c r="AK124" s="26">
        <v>81.801135700439104</v>
      </c>
      <c r="AL124" s="27">
        <f t="shared" si="2"/>
        <v>271.12052095662261</v>
      </c>
      <c r="AM124" s="26">
        <f t="shared" si="3"/>
        <v>271120.52095662261</v>
      </c>
    </row>
    <row r="125" spans="1:40" x14ac:dyDescent="0.25">
      <c r="A125" s="25" t="s">
        <v>106</v>
      </c>
      <c r="B125" s="26">
        <v>0</v>
      </c>
      <c r="C125" s="26">
        <v>0</v>
      </c>
      <c r="D125" s="26">
        <v>0</v>
      </c>
      <c r="E125" s="26">
        <v>0</v>
      </c>
      <c r="F125" s="26">
        <v>8.7871926913664709</v>
      </c>
      <c r="G125" s="26">
        <v>6.75583353895599</v>
      </c>
      <c r="H125" s="26">
        <v>53.855122970436703</v>
      </c>
      <c r="I125" s="26">
        <v>125.354580156937</v>
      </c>
      <c r="J125" s="26">
        <v>87.492495059863998</v>
      </c>
      <c r="K125" s="26">
        <v>59.425924202196597</v>
      </c>
      <c r="L125" s="26">
        <v>18.648666737676599</v>
      </c>
      <c r="M125" s="26">
        <v>5.4360499166739498</v>
      </c>
      <c r="N125" s="26">
        <v>2.1452873560324801</v>
      </c>
      <c r="O125" s="26">
        <v>21.924704322907701</v>
      </c>
      <c r="P125" s="26">
        <v>3.1409216028632301</v>
      </c>
      <c r="Q125" s="26">
        <v>0.838505872679988</v>
      </c>
      <c r="R125" s="26">
        <v>0.59122556166206597</v>
      </c>
      <c r="S125" s="26">
        <v>7.2263522041278894E-2</v>
      </c>
      <c r="T125" s="26">
        <v>202.75567755370801</v>
      </c>
      <c r="U125" s="26">
        <v>37.533991712269497</v>
      </c>
      <c r="V125" s="26">
        <v>57.891996138781302</v>
      </c>
      <c r="W125" s="26">
        <v>18.1190720520983</v>
      </c>
      <c r="X125" s="26">
        <v>1.09446547106662</v>
      </c>
      <c r="Y125" s="26">
        <v>1.32978874223429</v>
      </c>
      <c r="Z125" s="26">
        <v>0.337155427597086</v>
      </c>
      <c r="AA125" s="26">
        <v>0.24311347282193399</v>
      </c>
      <c r="AB125" s="26">
        <v>0.230852330586195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7">
        <f t="shared" si="2"/>
        <v>79.246443635185713</v>
      </c>
      <c r="AM125" s="26">
        <f t="shared" si="3"/>
        <v>79246.443635185715</v>
      </c>
    </row>
    <row r="126" spans="1:40" x14ac:dyDescent="0.25">
      <c r="A126" s="25" t="s">
        <v>107</v>
      </c>
      <c r="B126" s="26">
        <v>0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8.4859219596863905E-2</v>
      </c>
      <c r="U126" s="26">
        <v>1.9826456156395899E-2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2.3085233058619501</v>
      </c>
      <c r="AC126" s="26">
        <v>55.906253409158197</v>
      </c>
      <c r="AD126" s="26">
        <v>114.878246654663</v>
      </c>
      <c r="AE126" s="26">
        <v>96.414088898179102</v>
      </c>
      <c r="AF126" s="26">
        <v>92.654389963332605</v>
      </c>
      <c r="AG126" s="26">
        <v>93.192673720706694</v>
      </c>
      <c r="AH126" s="26">
        <v>92.439978530078903</v>
      </c>
      <c r="AI126" s="26">
        <v>9.47872795060219</v>
      </c>
      <c r="AJ126" s="26">
        <v>12.012704507805401</v>
      </c>
      <c r="AK126" s="26">
        <v>2.3976964959194902</v>
      </c>
      <c r="AL126" s="27">
        <f t="shared" si="2"/>
        <v>557.27288243258261</v>
      </c>
      <c r="AM126" s="26">
        <f t="shared" si="3"/>
        <v>557272.88243258256</v>
      </c>
    </row>
    <row r="127" spans="1:40" x14ac:dyDescent="0.25">
      <c r="A127" s="25" t="s">
        <v>108</v>
      </c>
      <c r="B127" s="26">
        <v>0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8.62281586102681</v>
      </c>
      <c r="O127" s="26">
        <v>5.9028848113293702</v>
      </c>
      <c r="P127" s="26">
        <v>23.754159689374301</v>
      </c>
      <c r="Q127" s="26">
        <v>5.9574253054509496</v>
      </c>
      <c r="R127" s="26">
        <v>8.7082721117965001</v>
      </c>
      <c r="S127" s="26">
        <v>9.7324938612469793</v>
      </c>
      <c r="T127" s="26">
        <v>14.108506795198201</v>
      </c>
      <c r="U127" s="26">
        <v>6.1268644507207197</v>
      </c>
      <c r="V127" s="26">
        <v>2.4051847373471</v>
      </c>
      <c r="W127" s="26">
        <v>180.31752547226199</v>
      </c>
      <c r="X127" s="26">
        <v>274.44654710666202</v>
      </c>
      <c r="Y127" s="26">
        <v>238.383099378743</v>
      </c>
      <c r="Z127" s="26">
        <v>99.715542759708597</v>
      </c>
      <c r="AA127" s="26">
        <v>28.655673641096701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7">
        <f t="shared" si="2"/>
        <v>823.92357309581939</v>
      </c>
      <c r="AM127" s="26">
        <f t="shared" si="3"/>
        <v>823923.57309581945</v>
      </c>
    </row>
    <row r="128" spans="1:40" x14ac:dyDescent="0.25">
      <c r="A128" s="25" t="s">
        <v>109</v>
      </c>
      <c r="B128" s="26">
        <v>0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0</v>
      </c>
      <c r="AJ128" s="26">
        <v>0</v>
      </c>
      <c r="AK128" s="26">
        <v>0</v>
      </c>
      <c r="AL128" s="27">
        <f t="shared" si="2"/>
        <v>0</v>
      </c>
      <c r="AM128" s="26">
        <f t="shared" si="3"/>
        <v>0</v>
      </c>
    </row>
    <row r="129" spans="1:40" x14ac:dyDescent="0.25">
      <c r="A129" s="25" t="s">
        <v>110</v>
      </c>
      <c r="B129" s="26">
        <v>0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21.674508809825401</v>
      </c>
      <c r="Q129" s="26">
        <v>17.018407766210998</v>
      </c>
      <c r="R129" s="26">
        <v>40.6362146720518</v>
      </c>
      <c r="S129" s="26">
        <v>9.4092426335379002</v>
      </c>
      <c r="T129" s="26">
        <v>8.4059666566157105</v>
      </c>
      <c r="U129" s="26">
        <v>-13.2401425855622</v>
      </c>
      <c r="V129" s="26">
        <v>-1.98661854347342</v>
      </c>
      <c r="W129" s="26">
        <v>-0.93438096443609298</v>
      </c>
      <c r="X129" s="26">
        <v>3.83814903347821</v>
      </c>
      <c r="Y129" s="26">
        <v>6.1278444619397101</v>
      </c>
      <c r="Z129" s="26">
        <v>0</v>
      </c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7">
        <f t="shared" si="2"/>
        <v>7.0449939875084073</v>
      </c>
      <c r="AM129" s="26">
        <f t="shared" si="3"/>
        <v>7044.9939875084074</v>
      </c>
    </row>
    <row r="130" spans="1:40" x14ac:dyDescent="0.25">
      <c r="A130" s="25" t="s">
        <v>111</v>
      </c>
      <c r="B130" s="26">
        <v>0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6.6084221968377701</v>
      </c>
      <c r="U130" s="26">
        <v>-1.4999706673551001</v>
      </c>
      <c r="V130" s="26">
        <v>-11.163304219918199</v>
      </c>
      <c r="W130" s="26">
        <v>-1.13466307537421</v>
      </c>
      <c r="X130" s="26">
        <v>4.6608462199347498</v>
      </c>
      <c r="Y130" s="26">
        <v>7.4413318627435601</v>
      </c>
      <c r="Z130" s="26">
        <v>11.6068098815645</v>
      </c>
      <c r="AA130" s="26">
        <v>27.328369928943001</v>
      </c>
      <c r="AB130" s="26">
        <v>12.820808335332201</v>
      </c>
      <c r="AC130" s="26">
        <v>3.9336370164535799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0</v>
      </c>
      <c r="AK130" s="26">
        <v>0</v>
      </c>
      <c r="AL130" s="27">
        <f t="shared" si="2"/>
        <v>55.493835949679188</v>
      </c>
      <c r="AM130" s="26">
        <f t="shared" si="3"/>
        <v>55493.835949679189</v>
      </c>
    </row>
    <row r="131" spans="1:40" x14ac:dyDescent="0.25">
      <c r="A131" s="25" t="s">
        <v>112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1.2147873041978701</v>
      </c>
      <c r="O131" s="26">
        <v>0.52113869423126702</v>
      </c>
      <c r="P131" s="26">
        <v>5.0566795633240798</v>
      </c>
      <c r="Q131" s="26">
        <v>2.6899292801225001</v>
      </c>
      <c r="R131" s="26">
        <v>20.102505316205001</v>
      </c>
      <c r="S131" s="26">
        <v>1.16925613097089</v>
      </c>
      <c r="T131" s="26">
        <v>8.5105071061677098</v>
      </c>
      <c r="U131" s="26">
        <v>-9.1434515550956093</v>
      </c>
      <c r="V131" s="26">
        <v>-14.0638692191212</v>
      </c>
      <c r="W131" s="26">
        <v>-5.5634944034970601</v>
      </c>
      <c r="X131" s="26">
        <v>19.6307319538187</v>
      </c>
      <c r="Y131" s="26">
        <v>16.332311452361999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0</v>
      </c>
      <c r="AK131" s="26">
        <v>0</v>
      </c>
      <c r="AL131" s="27">
        <f t="shared" si="2"/>
        <v>16.335679783562437</v>
      </c>
      <c r="AM131" s="26">
        <f t="shared" si="3"/>
        <v>16335.679783562437</v>
      </c>
    </row>
    <row r="132" spans="1:40" x14ac:dyDescent="0.25">
      <c r="A132" s="25" t="s">
        <v>113</v>
      </c>
      <c r="B132" s="26">
        <v>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-0.70575593072060305</v>
      </c>
      <c r="W132" s="26">
        <v>-6.9864423355246202E-2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7">
        <f t="shared" si="2"/>
        <v>-0.77562035407584928</v>
      </c>
      <c r="AM132" s="26">
        <f t="shared" si="3"/>
        <v>-775.62035407584926</v>
      </c>
    </row>
    <row r="133" spans="1:40" x14ac:dyDescent="0.25">
      <c r="A133" s="25" t="s">
        <v>114</v>
      </c>
      <c r="B133" s="26">
        <v>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-13.5967103443654</v>
      </c>
      <c r="W133" s="26">
        <v>-3.0249743452967</v>
      </c>
      <c r="X133" s="26">
        <v>12.129813235298499</v>
      </c>
      <c r="Y133" s="26">
        <v>25.223039126483599</v>
      </c>
      <c r="Z133" s="26">
        <v>4.4795566379216698</v>
      </c>
      <c r="AA133" s="26">
        <v>16.163036864838201</v>
      </c>
      <c r="AB133" s="26">
        <v>18.056900704006399</v>
      </c>
      <c r="AC133" s="26">
        <v>12.9200646068598</v>
      </c>
      <c r="AD133" s="26">
        <v>14.002012956254999</v>
      </c>
      <c r="AE133" s="26">
        <v>10.3807369369844</v>
      </c>
      <c r="AF133" s="26">
        <v>5.3690904213098403</v>
      </c>
      <c r="AG133" s="26">
        <v>5.0791955448347696</v>
      </c>
      <c r="AH133" s="26">
        <v>3.36599677951184</v>
      </c>
      <c r="AI133" s="26">
        <v>0</v>
      </c>
      <c r="AJ133" s="26">
        <v>0</v>
      </c>
      <c r="AK133" s="26">
        <v>0</v>
      </c>
      <c r="AL133" s="27">
        <f t="shared" si="2"/>
        <v>110.54775912464193</v>
      </c>
      <c r="AM133" s="26">
        <f t="shared" si="3"/>
        <v>110547.75912464193</v>
      </c>
    </row>
    <row r="134" spans="1:40" x14ac:dyDescent="0.25">
      <c r="A134" s="25" t="s">
        <v>115</v>
      </c>
      <c r="B134" s="26">
        <v>0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2.1343681629916902</v>
      </c>
      <c r="W134" s="26">
        <v>11.2698453420163</v>
      </c>
      <c r="X134" s="26">
        <v>2.7444654710666199</v>
      </c>
      <c r="Y134" s="26">
        <v>2.9797887422342901</v>
      </c>
      <c r="Z134" s="26">
        <v>12.4644428449635</v>
      </c>
      <c r="AA134" s="26">
        <v>14.327836820548301</v>
      </c>
      <c r="AB134" s="26">
        <v>16.825569917585799</v>
      </c>
      <c r="AC134" s="26">
        <v>22.145000545465301</v>
      </c>
      <c r="AD134" s="26">
        <v>22.390259732373</v>
      </c>
      <c r="AE134" s="26">
        <v>52.282817779635799</v>
      </c>
      <c r="AF134" s="26">
        <v>154.59263397799899</v>
      </c>
      <c r="AG134" s="26">
        <v>154.91560423242399</v>
      </c>
      <c r="AH134" s="26">
        <v>154.46398711804699</v>
      </c>
      <c r="AI134" s="26">
        <v>155.87236770361301</v>
      </c>
      <c r="AJ134" s="26">
        <v>0</v>
      </c>
      <c r="AK134" s="26">
        <v>0</v>
      </c>
      <c r="AL134" s="27">
        <f t="shared" si="2"/>
        <v>779.40898839096349</v>
      </c>
      <c r="AM134" s="26">
        <f t="shared" si="3"/>
        <v>779408.98839096352</v>
      </c>
    </row>
    <row r="135" spans="1:40" x14ac:dyDescent="0.25">
      <c r="A135" s="25" t="s">
        <v>116</v>
      </c>
      <c r="B135" s="26">
        <v>0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0.54723273553330998</v>
      </c>
      <c r="Y135" s="26">
        <v>0.664894371117148</v>
      </c>
      <c r="Z135" s="26">
        <v>0.42144428449635801</v>
      </c>
      <c r="AA135" s="26">
        <v>0.60778368205483702</v>
      </c>
      <c r="AB135" s="26">
        <v>0.57713082646548897</v>
      </c>
      <c r="AC135" s="26">
        <v>0.55906253409158202</v>
      </c>
      <c r="AD135" s="26">
        <v>5.7439123327331698</v>
      </c>
      <c r="AE135" s="26">
        <v>24.103522224544701</v>
      </c>
      <c r="AF135" s="26">
        <v>64.858072974332799</v>
      </c>
      <c r="AG135" s="26">
        <v>55.915604232424002</v>
      </c>
      <c r="AH135" s="26">
        <v>55.463987118047299</v>
      </c>
      <c r="AI135" s="26">
        <v>9.47872795060219</v>
      </c>
      <c r="AJ135" s="26">
        <v>6.0063522539027199</v>
      </c>
      <c r="AK135" s="26">
        <v>0.59942412397987299</v>
      </c>
      <c r="AL135" s="27">
        <f t="shared" ref="AL135:AL198" si="4">SUM(V135:AI135)</f>
        <v>218.94137526644289</v>
      </c>
      <c r="AM135" s="26">
        <f t="shared" ref="AM135:AM198" si="5">AL135*1000</f>
        <v>218941.37526644289</v>
      </c>
    </row>
    <row r="136" spans="1:40" x14ac:dyDescent="0.25">
      <c r="A136" s="25" t="s">
        <v>117</v>
      </c>
      <c r="B136" s="26">
        <v>0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0.21889309421332401</v>
      </c>
      <c r="Y136" s="26">
        <v>0.26595774844685899</v>
      </c>
      <c r="Z136" s="26">
        <v>0.42144428449635801</v>
      </c>
      <c r="AA136" s="26">
        <v>6.0778368205483702</v>
      </c>
      <c r="AB136" s="26">
        <v>46.170466117239101</v>
      </c>
      <c r="AC136" s="26">
        <v>11.1812506818316</v>
      </c>
      <c r="AD136" s="26">
        <v>11.487824665466301</v>
      </c>
      <c r="AE136" s="26">
        <v>48.207044449089501</v>
      </c>
      <c r="AF136" s="26">
        <v>46.327194981666302</v>
      </c>
      <c r="AG136" s="26">
        <v>46.596336860353297</v>
      </c>
      <c r="AH136" s="26">
        <v>27.7319935590236</v>
      </c>
      <c r="AI136" s="26">
        <v>18.957455901204298</v>
      </c>
      <c r="AJ136" s="26">
        <v>33.635572621855196</v>
      </c>
      <c r="AK136" s="26">
        <v>1.19884824795974</v>
      </c>
      <c r="AL136" s="27">
        <f t="shared" si="4"/>
        <v>263.64369916357896</v>
      </c>
      <c r="AM136" s="26">
        <f t="shared" si="5"/>
        <v>263643.69916357897</v>
      </c>
    </row>
    <row r="137" spans="1:40" x14ac:dyDescent="0.25">
      <c r="A137" s="25" t="s">
        <v>118</v>
      </c>
      <c r="B137" s="26">
        <v>0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6.2992445252633402</v>
      </c>
      <c r="W137" s="26">
        <v>54.357216156295102</v>
      </c>
      <c r="X137" s="26">
        <v>109.446547106662</v>
      </c>
      <c r="Y137" s="26">
        <v>132.97887422342899</v>
      </c>
      <c r="Z137" s="26">
        <v>84.288856899271593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7">
        <f t="shared" si="4"/>
        <v>387.37073891092103</v>
      </c>
      <c r="AM137" s="26">
        <f t="shared" si="5"/>
        <v>387370.73891092103</v>
      </c>
    </row>
    <row r="138" spans="1:40" x14ac:dyDescent="0.25">
      <c r="A138" s="25" t="s">
        <v>119</v>
      </c>
      <c r="B138" s="26">
        <v>0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18.617042391280101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7">
        <f t="shared" si="4"/>
        <v>18.617042391280101</v>
      </c>
      <c r="AM138" s="26">
        <f t="shared" si="5"/>
        <v>18617.042391280102</v>
      </c>
    </row>
    <row r="139" spans="1:40" x14ac:dyDescent="0.25">
      <c r="A139" s="25" t="s">
        <v>120</v>
      </c>
      <c r="B139" s="26">
        <v>0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0.59441644700970198</v>
      </c>
      <c r="AA139" s="26">
        <v>2.14476023469624</v>
      </c>
      <c r="AB139" s="26">
        <v>1.8897284761928701</v>
      </c>
      <c r="AC139" s="26">
        <v>1.73940028364196</v>
      </c>
      <c r="AD139" s="26">
        <v>294.36539545726799</v>
      </c>
      <c r="AE139" s="26">
        <v>173.25529190093599</v>
      </c>
      <c r="AF139" s="26">
        <v>148.59467464749099</v>
      </c>
      <c r="AG139" s="26">
        <v>152.12538546885901</v>
      </c>
      <c r="AH139" s="26">
        <v>147.18830717449299</v>
      </c>
      <c r="AI139" s="26">
        <v>162.58472373589899</v>
      </c>
      <c r="AJ139" s="26">
        <v>328.79331407597499</v>
      </c>
      <c r="AK139" s="26">
        <v>327.20454280175602</v>
      </c>
      <c r="AL139" s="27">
        <f t="shared" si="4"/>
        <v>1084.4820838264866</v>
      </c>
      <c r="AM139" s="26">
        <f t="shared" si="5"/>
        <v>1084482.0838264865</v>
      </c>
      <c r="AN139" s="26">
        <f>AM139+AM124</f>
        <v>1355602.6047831092</v>
      </c>
    </row>
    <row r="140" spans="1:40" x14ac:dyDescent="0.25">
      <c r="AL140" s="27">
        <f t="shared" si="4"/>
        <v>0</v>
      </c>
      <c r="AM140" s="26">
        <f t="shared" si="5"/>
        <v>0</v>
      </c>
    </row>
    <row r="141" spans="1:40" x14ac:dyDescent="0.25">
      <c r="A141" s="25" t="s">
        <v>124</v>
      </c>
      <c r="AL141" s="27">
        <f t="shared" si="4"/>
        <v>0</v>
      </c>
      <c r="AM141" s="26">
        <f t="shared" si="5"/>
        <v>0</v>
      </c>
    </row>
    <row r="142" spans="1:40" x14ac:dyDescent="0.25">
      <c r="A142" s="25" t="s">
        <v>89</v>
      </c>
      <c r="B142" s="26">
        <v>2.9279381713929502</v>
      </c>
      <c r="C142" s="26">
        <v>29.254900616338102</v>
      </c>
      <c r="D142" s="26">
        <v>6.5026742743146499</v>
      </c>
      <c r="E142" s="26">
        <v>2.47787878752737</v>
      </c>
      <c r="F142" s="26">
        <v>2.61327582609408</v>
      </c>
      <c r="G142" s="26">
        <v>2.0287223357014299</v>
      </c>
      <c r="H142" s="26">
        <v>3.0311341828504599</v>
      </c>
      <c r="I142" s="26">
        <v>1.7337063006701099</v>
      </c>
      <c r="J142" s="26">
        <v>2.10239047165912</v>
      </c>
      <c r="K142" s="26">
        <v>1.9549052328179499</v>
      </c>
      <c r="L142" s="26">
        <v>1.63797972438449</v>
      </c>
      <c r="M142" s="26">
        <v>2.6369240379230501</v>
      </c>
      <c r="N142" s="26">
        <v>1.19416887062192</v>
      </c>
      <c r="O142" s="26">
        <v>1.4901935615670501</v>
      </c>
      <c r="P142" s="26">
        <v>6.67348999852591</v>
      </c>
      <c r="Q142" s="26">
        <v>10.448339930865901</v>
      </c>
      <c r="R142" s="26">
        <v>12.3019614439617</v>
      </c>
      <c r="S142" s="26">
        <v>1.0227881918677799</v>
      </c>
      <c r="T142" s="26">
        <v>26.356275133820098</v>
      </c>
      <c r="U142" s="26">
        <v>5.0394276730543401</v>
      </c>
      <c r="V142" s="26">
        <v>7.1601856509161399</v>
      </c>
      <c r="W142" s="26">
        <v>2.2415876273613098E-3</v>
      </c>
      <c r="X142" s="26">
        <v>207.21182601626501</v>
      </c>
      <c r="Y142" s="26">
        <v>126.595774844685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7">
        <f t="shared" si="4"/>
        <v>340.9700280994935</v>
      </c>
      <c r="AM142" s="26">
        <f t="shared" si="5"/>
        <v>340970.02809949353</v>
      </c>
    </row>
    <row r="143" spans="1:40" x14ac:dyDescent="0.25">
      <c r="A143" s="25" t="s">
        <v>90</v>
      </c>
      <c r="B143" s="26">
        <v>72.390469327917302</v>
      </c>
      <c r="C143" s="26">
        <v>105.170469102146</v>
      </c>
      <c r="D143" s="26">
        <v>79.2583346301777</v>
      </c>
      <c r="E143" s="26">
        <v>51.169587258052402</v>
      </c>
      <c r="F143" s="26">
        <v>29.581892215535198</v>
      </c>
      <c r="G143" s="26">
        <v>6.1499492956680504</v>
      </c>
      <c r="H143" s="26">
        <v>96.224926931249797</v>
      </c>
      <c r="I143" s="26">
        <v>8.6726646540021495</v>
      </c>
      <c r="J143" s="26">
        <v>3.70293116177699</v>
      </c>
      <c r="K143" s="26">
        <v>3.8136215699933098</v>
      </c>
      <c r="L143" s="26">
        <v>0</v>
      </c>
      <c r="M143" s="26">
        <v>14.7944461143565</v>
      </c>
      <c r="N143" s="26">
        <v>19.441385153141699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9.0702798856612796E-2</v>
      </c>
      <c r="W143" s="26">
        <v>1.68119072052098</v>
      </c>
      <c r="X143" s="26">
        <v>1.8283396413199799</v>
      </c>
      <c r="Y143" s="26">
        <v>1.89893662267028</v>
      </c>
      <c r="Z143" s="26">
        <v>2.9214442844963502</v>
      </c>
      <c r="AA143" s="26">
        <v>3.1077836820548299</v>
      </c>
      <c r="AB143" s="26">
        <v>3.07713082646548</v>
      </c>
      <c r="AC143" s="26">
        <v>3.0590625340915798</v>
      </c>
      <c r="AD143" s="26">
        <v>3.0743912332733099</v>
      </c>
      <c r="AE143" s="26">
        <v>53.677268000836101</v>
      </c>
      <c r="AF143" s="26">
        <v>35.559263397799903</v>
      </c>
      <c r="AG143" s="26">
        <v>35.591560423242399</v>
      </c>
      <c r="AH143" s="26">
        <v>0</v>
      </c>
      <c r="AI143" s="26">
        <v>0</v>
      </c>
      <c r="AJ143" s="26">
        <v>0</v>
      </c>
      <c r="AK143" s="26">
        <v>0</v>
      </c>
      <c r="AL143" s="27">
        <f t="shared" si="4"/>
        <v>145.56707416562779</v>
      </c>
      <c r="AM143" s="26">
        <f t="shared" si="5"/>
        <v>145567.0741656278</v>
      </c>
    </row>
    <row r="144" spans="1:40" x14ac:dyDescent="0.25">
      <c r="A144" s="25" t="s">
        <v>91</v>
      </c>
      <c r="B144" s="26">
        <v>0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88.617042391280094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0</v>
      </c>
      <c r="AI144" s="26">
        <v>0</v>
      </c>
      <c r="AJ144" s="26">
        <v>0</v>
      </c>
      <c r="AK144" s="26">
        <v>0</v>
      </c>
      <c r="AL144" s="27">
        <f t="shared" si="4"/>
        <v>88.617042391280094</v>
      </c>
      <c r="AM144" s="26">
        <f t="shared" si="5"/>
        <v>88617.042391280091</v>
      </c>
    </row>
    <row r="145" spans="1:39" x14ac:dyDescent="0.25">
      <c r="A145" s="25" t="s">
        <v>92</v>
      </c>
      <c r="B145" s="26">
        <v>0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0.92710074295650702</v>
      </c>
      <c r="M145" s="26">
        <v>5.7620886392386499</v>
      </c>
      <c r="N145" s="26">
        <v>16.358013827416301</v>
      </c>
      <c r="O145" s="26">
        <v>0.92909639191676696</v>
      </c>
      <c r="P145" s="26">
        <v>1.1258095582682699</v>
      </c>
      <c r="Q145" s="26">
        <v>10.364242135765799</v>
      </c>
      <c r="R145" s="26">
        <v>0.151644801332047</v>
      </c>
      <c r="S145" s="26">
        <v>0.13723033226151199</v>
      </c>
      <c r="T145" s="26">
        <v>0.140442533668001</v>
      </c>
      <c r="U145" s="26">
        <v>0.12869467919538499</v>
      </c>
      <c r="V145" s="26">
        <v>0.122944074110375</v>
      </c>
      <c r="W145" s="26">
        <v>0</v>
      </c>
      <c r="X145" s="26">
        <v>7.7444654710666203</v>
      </c>
      <c r="Y145" s="26">
        <v>7.9797887422342901</v>
      </c>
      <c r="Z145" s="26">
        <v>37.4644428449635</v>
      </c>
      <c r="AA145" s="26">
        <v>39.327836820548299</v>
      </c>
      <c r="AB145" s="26">
        <v>39.021308264654898</v>
      </c>
      <c r="AC145" s="26">
        <v>38.8406253409158</v>
      </c>
      <c r="AD145" s="26">
        <v>38.993912332733103</v>
      </c>
      <c r="AE145" s="26">
        <v>304.56563555927102</v>
      </c>
      <c r="AF145" s="26">
        <v>606.12351197066596</v>
      </c>
      <c r="AG145" s="26">
        <v>606.55413897656501</v>
      </c>
      <c r="AH145" s="26">
        <v>605.95198282406295</v>
      </c>
      <c r="AI145" s="26">
        <v>303.91491180240803</v>
      </c>
      <c r="AJ145" s="26">
        <v>0</v>
      </c>
      <c r="AK145" s="26">
        <v>0</v>
      </c>
      <c r="AL145" s="27">
        <f t="shared" si="4"/>
        <v>2636.6055050241994</v>
      </c>
      <c r="AM145" s="26">
        <f t="shared" si="5"/>
        <v>2636605.5050241994</v>
      </c>
    </row>
    <row r="146" spans="1:39" x14ac:dyDescent="0.25">
      <c r="A146" s="25" t="s">
        <v>93</v>
      </c>
      <c r="B146" s="26">
        <v>15.4021023603374</v>
      </c>
      <c r="C146" s="26">
        <v>14.044811393405899</v>
      </c>
      <c r="D146" s="26">
        <v>255.26102316599199</v>
      </c>
      <c r="E146" s="26">
        <v>72.0385076906975</v>
      </c>
      <c r="F146" s="26">
        <v>324.51985021225602</v>
      </c>
      <c r="G146" s="26">
        <v>365.977823150711</v>
      </c>
      <c r="H146" s="26">
        <v>123.281780724378</v>
      </c>
      <c r="I146" s="26">
        <v>30.6928089036528</v>
      </c>
      <c r="J146" s="26">
        <v>1221.9620555341301</v>
      </c>
      <c r="K146" s="26">
        <v>789.17238296254197</v>
      </c>
      <c r="L146" s="26">
        <v>1196.0602455226201</v>
      </c>
      <c r="M146" s="26">
        <v>682.97775643190005</v>
      </c>
      <c r="N146" s="26">
        <v>1652.85940676321</v>
      </c>
      <c r="O146" s="26">
        <v>123.776583185134</v>
      </c>
      <c r="P146" s="26">
        <v>5482.0758129290898</v>
      </c>
      <c r="Q146" s="26">
        <v>5020.9572543924396</v>
      </c>
      <c r="R146" s="26">
        <v>143.09928802579401</v>
      </c>
      <c r="S146" s="26">
        <v>20.439609945108501</v>
      </c>
      <c r="T146" s="26">
        <v>2228.9605499826498</v>
      </c>
      <c r="U146" s="26">
        <v>2302.8744798335902</v>
      </c>
      <c r="V146" s="26">
        <v>0.20100457080855</v>
      </c>
      <c r="W146" s="26">
        <v>0.870793813680655</v>
      </c>
      <c r="X146" s="26">
        <v>33.911258297466297</v>
      </c>
      <c r="Y146" s="26">
        <v>2.0319154968937099</v>
      </c>
      <c r="Z146" s="26">
        <v>0</v>
      </c>
      <c r="AA146" s="26">
        <v>129.10475146685101</v>
      </c>
      <c r="AB146" s="26">
        <v>4.9042616529309697</v>
      </c>
      <c r="AC146" s="26">
        <v>4.8681250681831596</v>
      </c>
      <c r="AD146" s="26">
        <v>4.8987824665466304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7">
        <f t="shared" si="4"/>
        <v>180.790892833361</v>
      </c>
      <c r="AM146" s="26">
        <f t="shared" si="5"/>
        <v>180790.89283336099</v>
      </c>
    </row>
    <row r="147" spans="1:39" x14ac:dyDescent="0.25">
      <c r="A147" s="25" t="s">
        <v>94</v>
      </c>
      <c r="B147" s="26">
        <v>8.2244960805732799</v>
      </c>
      <c r="C147" s="26">
        <v>4.28162506069273</v>
      </c>
      <c r="D147" s="26">
        <v>1.2553806536979699</v>
      </c>
      <c r="E147" s="26">
        <v>3.3469491068740398</v>
      </c>
      <c r="F147" s="26">
        <v>1.4634512280324701</v>
      </c>
      <c r="G147" s="26">
        <v>3.0270306026556701</v>
      </c>
      <c r="H147" s="26">
        <v>1.3695865964581799</v>
      </c>
      <c r="I147" s="26">
        <v>1.45002288236369</v>
      </c>
      <c r="J147" s="26">
        <v>1.3504237451776899</v>
      </c>
      <c r="K147" s="26">
        <v>1.3652889821138301</v>
      </c>
      <c r="L147" s="26">
        <v>1.9224724380812499</v>
      </c>
      <c r="M147" s="26">
        <v>7.7585301553434602</v>
      </c>
      <c r="N147" s="26">
        <v>5.2297997553983802</v>
      </c>
      <c r="O147" s="26">
        <v>4.4271401210109298</v>
      </c>
      <c r="P147" s="26">
        <v>15.269016864981801</v>
      </c>
      <c r="Q147" s="26">
        <v>38.169453065332902</v>
      </c>
      <c r="R147" s="26">
        <v>206.46953409575201</v>
      </c>
      <c r="S147" s="26">
        <v>367.96765320243497</v>
      </c>
      <c r="T147" s="26">
        <v>63.082752687158198</v>
      </c>
      <c r="U147" s="26">
        <v>268.40956396832399</v>
      </c>
      <c r="V147" s="26">
        <v>51.840384367683598</v>
      </c>
      <c r="W147" s="26">
        <v>151.728583320832</v>
      </c>
      <c r="X147" s="26">
        <v>6.09446547106662</v>
      </c>
      <c r="Y147" s="26">
        <v>6.3297887422342898</v>
      </c>
      <c r="Z147" s="26">
        <v>2.9214442844963502</v>
      </c>
      <c r="AA147" s="26">
        <v>3.1077836820548299</v>
      </c>
      <c r="AB147" s="26">
        <v>3.07713082646548</v>
      </c>
      <c r="AC147" s="26">
        <v>3.0590625340915798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7">
        <f t="shared" si="4"/>
        <v>228.15864322892475</v>
      </c>
      <c r="AM147" s="26">
        <f t="shared" si="5"/>
        <v>228158.64322892475</v>
      </c>
    </row>
    <row r="148" spans="1:39" x14ac:dyDescent="0.25">
      <c r="A148" s="25" t="s">
        <v>95</v>
      </c>
      <c r="B148" s="26">
        <v>28.411934841690002</v>
      </c>
      <c r="C148" s="26">
        <v>124.508875156062</v>
      </c>
      <c r="D148" s="26">
        <v>31.288711582915798</v>
      </c>
      <c r="E148" s="26">
        <v>92.941948943805201</v>
      </c>
      <c r="F148" s="26">
        <v>328.08085734850403</v>
      </c>
      <c r="G148" s="26">
        <v>16.700041078407502</v>
      </c>
      <c r="H148" s="26">
        <v>132.73343718676699</v>
      </c>
      <c r="I148" s="26">
        <v>218.910085006495</v>
      </c>
      <c r="J148" s="26">
        <v>37.779154600925601</v>
      </c>
      <c r="K148" s="26">
        <v>173.18184234546101</v>
      </c>
      <c r="L148" s="26">
        <v>15.292513966860399</v>
      </c>
      <c r="M148" s="26">
        <v>405.81665361950598</v>
      </c>
      <c r="N148" s="26">
        <v>10.8454779628815</v>
      </c>
      <c r="O148" s="26">
        <v>314.700055419725</v>
      </c>
      <c r="P148" s="26">
        <v>11.105379734271301</v>
      </c>
      <c r="Q148" s="26">
        <v>-11.8982007660123</v>
      </c>
      <c r="R148" s="26">
        <v>8.1524434473337308</v>
      </c>
      <c r="S148" s="26">
        <v>15.801600731912201</v>
      </c>
      <c r="T148" s="26">
        <v>0.85474767463498602</v>
      </c>
      <c r="U148" s="26">
        <v>23.075732533208701</v>
      </c>
      <c r="V148" s="26">
        <v>0</v>
      </c>
      <c r="W148" s="26">
        <v>13.8933601143854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7">
        <f t="shared" si="4"/>
        <v>13.8933601143854</v>
      </c>
      <c r="AM148" s="26">
        <f t="shared" si="5"/>
        <v>13893.360114385399</v>
      </c>
    </row>
    <row r="149" spans="1:39" x14ac:dyDescent="0.25">
      <c r="A149" s="25" t="s">
        <v>96</v>
      </c>
      <c r="B149" s="26">
        <v>0</v>
      </c>
      <c r="C149" s="26">
        <v>0</v>
      </c>
      <c r="D149" s="26">
        <v>0</v>
      </c>
      <c r="E149" s="26">
        <v>271.87266636748097</v>
      </c>
      <c r="F149" s="26">
        <v>69.633120739880397</v>
      </c>
      <c r="G149" s="26">
        <v>47.495967929402703</v>
      </c>
      <c r="H149" s="26">
        <v>60.036523092067597</v>
      </c>
      <c r="I149" s="26">
        <v>537.98201823610998</v>
      </c>
      <c r="J149" s="26">
        <v>78.103511699012401</v>
      </c>
      <c r="K149" s="26">
        <v>23.808680013579501</v>
      </c>
      <c r="L149" s="26">
        <v>18.068794795359398</v>
      </c>
      <c r="M149" s="26">
        <v>5.8654207114427104</v>
      </c>
      <c r="N149" s="26">
        <v>1.62071123770686</v>
      </c>
      <c r="O149" s="26">
        <v>0.75219775520000498</v>
      </c>
      <c r="P149" s="26">
        <v>0.91854223438997595</v>
      </c>
      <c r="Q149" s="26">
        <v>2.35540166374517</v>
      </c>
      <c r="R149" s="26">
        <v>13.7145704133285</v>
      </c>
      <c r="S149" s="26">
        <v>1.26394243035055</v>
      </c>
      <c r="T149" s="26">
        <v>3.4189906985399401E-3</v>
      </c>
      <c r="U149" s="26">
        <v>3.04609337655277E-3</v>
      </c>
      <c r="V149" s="26">
        <v>1.6956087927430299</v>
      </c>
      <c r="W149" s="26">
        <v>1.1207938136806499</v>
      </c>
      <c r="X149" s="26">
        <v>0.60944654710666202</v>
      </c>
      <c r="Y149" s="26">
        <v>0.63297887422342902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26">
        <v>0</v>
      </c>
      <c r="AL149" s="27">
        <f t="shared" si="4"/>
        <v>4.0588280277537709</v>
      </c>
      <c r="AM149" s="26">
        <f t="shared" si="5"/>
        <v>4058.828027753771</v>
      </c>
    </row>
    <row r="150" spans="1:39" x14ac:dyDescent="0.25">
      <c r="A150" s="25" t="s">
        <v>97</v>
      </c>
      <c r="B150" s="26">
        <v>0</v>
      </c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1.61404852560239</v>
      </c>
      <c r="U150" s="26">
        <v>0.54463523663165703</v>
      </c>
      <c r="V150" s="26">
        <v>1.4811233507409201</v>
      </c>
      <c r="W150" s="26">
        <v>1.1207938136806499</v>
      </c>
      <c r="X150" s="26">
        <v>1.21889309421332</v>
      </c>
      <c r="Y150" s="26">
        <v>1.2659577484468501</v>
      </c>
      <c r="Z150" s="26">
        <v>1.16857771379854</v>
      </c>
      <c r="AA150" s="26">
        <v>1.24311347282193</v>
      </c>
      <c r="AB150" s="26">
        <v>1.23085233058619</v>
      </c>
      <c r="AC150" s="26">
        <v>367.087504090989</v>
      </c>
      <c r="AD150" s="26">
        <v>368.92694799279798</v>
      </c>
      <c r="AE150" s="26">
        <v>596.41408889817899</v>
      </c>
      <c r="AF150" s="26">
        <v>592.65438996333205</v>
      </c>
      <c r="AG150" s="26">
        <v>593.19267372070601</v>
      </c>
      <c r="AH150" s="26">
        <v>592.43997853007897</v>
      </c>
      <c r="AI150" s="26">
        <v>5.9478727950602197</v>
      </c>
      <c r="AJ150" s="26">
        <v>0</v>
      </c>
      <c r="AK150" s="26">
        <v>0</v>
      </c>
      <c r="AL150" s="27">
        <f t="shared" si="4"/>
        <v>3125.3927675154314</v>
      </c>
      <c r="AM150" s="26">
        <f t="shared" si="5"/>
        <v>3125392.7675154312</v>
      </c>
    </row>
    <row r="151" spans="1:39" x14ac:dyDescent="0.25">
      <c r="A151" s="25" t="s">
        <v>98</v>
      </c>
      <c r="B151" s="26">
        <v>0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7.4829980661952096</v>
      </c>
      <c r="K151" s="26">
        <v>7.5089182470075304</v>
      </c>
      <c r="L151" s="26">
        <v>15.227284030744199</v>
      </c>
      <c r="M151" s="26">
        <v>73.244803250976503</v>
      </c>
      <c r="N151" s="26">
        <v>31.5171548763884</v>
      </c>
      <c r="O151" s="26">
        <v>5.7102885493848801</v>
      </c>
      <c r="P151" s="26">
        <v>5.9776687409134297</v>
      </c>
      <c r="Q151" s="26">
        <v>3.73372529042389</v>
      </c>
      <c r="R151" s="26">
        <v>411.36669509378498</v>
      </c>
      <c r="S151" s="26">
        <v>264.044086929782</v>
      </c>
      <c r="T151" s="26">
        <v>38.8175227673687</v>
      </c>
      <c r="U151" s="26">
        <v>33.666926180696201</v>
      </c>
      <c r="V151" s="26">
        <v>8.6541141026721196</v>
      </c>
      <c r="W151" s="26">
        <v>89.663505094452404</v>
      </c>
      <c r="X151" s="26">
        <v>73.133585652799397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7">
        <f t="shared" si="4"/>
        <v>171.45120484992393</v>
      </c>
      <c r="AM151" s="26">
        <f t="shared" si="5"/>
        <v>171451.20484992393</v>
      </c>
    </row>
    <row r="152" spans="1:39" x14ac:dyDescent="0.25">
      <c r="A152" s="25" t="s">
        <v>99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7.9690698198761298</v>
      </c>
      <c r="K152" s="26">
        <v>7.5115768487494901</v>
      </c>
      <c r="L152" s="26">
        <v>24.3798936057728</v>
      </c>
      <c r="M152" s="26">
        <v>82.5721515105257</v>
      </c>
      <c r="N152" s="26">
        <v>1.24238103239221</v>
      </c>
      <c r="O152" s="26">
        <v>18.306570690448801</v>
      </c>
      <c r="P152" s="26">
        <v>12.4423945016121</v>
      </c>
      <c r="Q152" s="26">
        <v>32.315172546962103</v>
      </c>
      <c r="R152" s="26">
        <v>100.194312354785</v>
      </c>
      <c r="S152" s="26">
        <v>16.2063630273123</v>
      </c>
      <c r="T152" s="26">
        <v>479.36826895198902</v>
      </c>
      <c r="U152" s="26">
        <v>127.684295725025</v>
      </c>
      <c r="V152" s="26">
        <v>616.90091544479503</v>
      </c>
      <c r="W152" s="26">
        <v>224.158762736131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7">
        <f t="shared" si="4"/>
        <v>841.05967818092608</v>
      </c>
      <c r="AM152" s="26">
        <f t="shared" si="5"/>
        <v>841059.67818092613</v>
      </c>
    </row>
    <row r="153" spans="1:39" x14ac:dyDescent="0.25">
      <c r="A153" s="25" t="s">
        <v>100</v>
      </c>
      <c r="B153" s="26">
        <v>0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250.80967769520299</v>
      </c>
      <c r="K153" s="26">
        <v>5.4764799719723198</v>
      </c>
      <c r="L153" s="26">
        <v>1.22908550542701</v>
      </c>
      <c r="M153" s="26">
        <v>385.76370480263301</v>
      </c>
      <c r="N153" s="26">
        <v>146.801491565275</v>
      </c>
      <c r="O153" s="26">
        <v>175.23835218283801</v>
      </c>
      <c r="P153" s="26">
        <v>174.28632130330499</v>
      </c>
      <c r="Q153" s="26">
        <v>320.85532096250699</v>
      </c>
      <c r="R153" s="26">
        <v>370.68723888818403</v>
      </c>
      <c r="S153" s="26">
        <v>270.59219138110097</v>
      </c>
      <c r="T153" s="26">
        <v>298.62740946812102</v>
      </c>
      <c r="U153" s="26">
        <v>312.64190675290001</v>
      </c>
      <c r="V153" s="26">
        <v>102.61581116761501</v>
      </c>
      <c r="W153" s="26">
        <v>16.811907205209799</v>
      </c>
      <c r="X153" s="26">
        <v>12.188930942133201</v>
      </c>
      <c r="Y153" s="26">
        <v>9.4946831133514404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7">
        <f t="shared" si="4"/>
        <v>141.11133242830945</v>
      </c>
      <c r="AM153" s="26">
        <f t="shared" si="5"/>
        <v>141111.33242830946</v>
      </c>
    </row>
    <row r="154" spans="1:39" x14ac:dyDescent="0.25">
      <c r="A154" s="25" t="s">
        <v>101</v>
      </c>
      <c r="B154" s="26">
        <v>0</v>
      </c>
      <c r="C154" s="26">
        <v>0</v>
      </c>
      <c r="D154" s="26">
        <v>57.925356454474397</v>
      </c>
      <c r="E154" s="26">
        <v>40.044654376758302</v>
      </c>
      <c r="F154" s="26">
        <v>17.671588294267199</v>
      </c>
      <c r="G154" s="26">
        <v>3.3235355943493698</v>
      </c>
      <c r="H154" s="26">
        <v>10.610691618124701</v>
      </c>
      <c r="I154" s="26">
        <v>58.109084214232396</v>
      </c>
      <c r="J154" s="26">
        <v>49.194477448281198</v>
      </c>
      <c r="K154" s="26">
        <v>67.199617377641005</v>
      </c>
      <c r="L154" s="26">
        <v>105.91633396511401</v>
      </c>
      <c r="M154" s="26">
        <v>170.235656938452</v>
      </c>
      <c r="N154" s="26">
        <v>321.70455734493402</v>
      </c>
      <c r="O154" s="26">
        <v>191.62768535734901</v>
      </c>
      <c r="P154" s="26">
        <v>212.51035567054001</v>
      </c>
      <c r="Q154" s="26">
        <v>385.27865392593799</v>
      </c>
      <c r="R154" s="26">
        <v>1065.1643331248899</v>
      </c>
      <c r="S154" s="26">
        <v>968.16487702091399</v>
      </c>
      <c r="T154" s="26">
        <v>1321.2821050073701</v>
      </c>
      <c r="U154" s="26">
        <v>1052.26376158467</v>
      </c>
      <c r="V154" s="26">
        <v>627.46070608008699</v>
      </c>
      <c r="W154" s="26">
        <v>1655.4311842172101</v>
      </c>
      <c r="X154" s="26">
        <v>1526.9428081912999</v>
      </c>
      <c r="Y154" s="26">
        <v>750.075173214958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7">
        <f t="shared" si="4"/>
        <v>4559.9098717035558</v>
      </c>
      <c r="AM154" s="26">
        <f t="shared" si="5"/>
        <v>4559909.8717035558</v>
      </c>
    </row>
    <row r="155" spans="1:39" x14ac:dyDescent="0.25">
      <c r="A155" s="25" t="s">
        <v>102</v>
      </c>
      <c r="B155" s="26">
        <v>686.445066125361</v>
      </c>
      <c r="C155" s="26">
        <v>17.6692709385099</v>
      </c>
      <c r="D155" s="26">
        <v>91.975164202656799</v>
      </c>
      <c r="E155" s="26">
        <v>35.984906824760699</v>
      </c>
      <c r="F155" s="26">
        <v>129.06192625050301</v>
      </c>
      <c r="G155" s="26">
        <v>96.758222523665296</v>
      </c>
      <c r="H155" s="26">
        <v>199.94565135751799</v>
      </c>
      <c r="I155" s="26">
        <v>43.759130672970002</v>
      </c>
      <c r="J155" s="26">
        <v>53.959645826964099</v>
      </c>
      <c r="K155" s="26">
        <v>58.843332692361699</v>
      </c>
      <c r="L155" s="26">
        <v>72.375716180845998</v>
      </c>
      <c r="M155" s="26">
        <v>704.92397038094202</v>
      </c>
      <c r="N155" s="26">
        <v>145.221658695906</v>
      </c>
      <c r="O155" s="26">
        <v>42.086293709619099</v>
      </c>
      <c r="P155" s="26">
        <v>138.14163859920899</v>
      </c>
      <c r="Q155" s="26">
        <v>345.11388652203902</v>
      </c>
      <c r="R155" s="26">
        <v>300.55397606357201</v>
      </c>
      <c r="S155" s="26">
        <v>329.04151111384499</v>
      </c>
      <c r="T155" s="26">
        <v>74.830762245394297</v>
      </c>
      <c r="U155" s="26">
        <v>94.968907394185507</v>
      </c>
      <c r="V155" s="26">
        <v>302.23311612816798</v>
      </c>
      <c r="W155" s="26">
        <v>332.98342291983698</v>
      </c>
      <c r="X155" s="26">
        <v>197.437436241038</v>
      </c>
      <c r="Y155" s="26">
        <v>168.89366226702799</v>
      </c>
      <c r="Z155" s="26">
        <v>20.571554275970801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26">
        <v>0</v>
      </c>
      <c r="AL155" s="27">
        <f t="shared" si="4"/>
        <v>1022.1191918320417</v>
      </c>
      <c r="AM155" s="26">
        <f t="shared" si="5"/>
        <v>1022119.1918320417</v>
      </c>
    </row>
    <row r="156" spans="1:39" x14ac:dyDescent="0.25">
      <c r="A156" s="25" t="s">
        <v>103</v>
      </c>
      <c r="B156" s="26">
        <v>589.61231201838098</v>
      </c>
      <c r="C156" s="26">
        <v>615.38677342248297</v>
      </c>
      <c r="D156" s="26">
        <v>673.344792130727</v>
      </c>
      <c r="E156" s="26">
        <v>-118.11576286154801</v>
      </c>
      <c r="F156" s="26">
        <v>447.98698107437701</v>
      </c>
      <c r="G156" s="26">
        <v>299.83522530429599</v>
      </c>
      <c r="H156" s="26">
        <v>383.75486379519901</v>
      </c>
      <c r="I156" s="26">
        <v>352.45962086123899</v>
      </c>
      <c r="J156" s="26">
        <v>423.12652832337801</v>
      </c>
      <c r="K156" s="26">
        <v>363.09180620095998</v>
      </c>
      <c r="L156" s="26">
        <v>176.659072425711</v>
      </c>
      <c r="M156" s="26">
        <v>190.67759748810801</v>
      </c>
      <c r="N156" s="26">
        <v>320.685799090849</v>
      </c>
      <c r="O156" s="26">
        <v>354.10332358904202</v>
      </c>
      <c r="P156" s="26">
        <v>629.33026673016798</v>
      </c>
      <c r="Q156" s="26">
        <v>283.34603897939098</v>
      </c>
      <c r="R156" s="26">
        <v>450.27463073228301</v>
      </c>
      <c r="S156" s="26">
        <v>136.60685581694699</v>
      </c>
      <c r="T156" s="26">
        <v>292.51839895911297</v>
      </c>
      <c r="U156" s="26">
        <v>130.83023565981901</v>
      </c>
      <c r="V156" s="26">
        <v>215.38316087066801</v>
      </c>
      <c r="W156" s="26">
        <v>85.625653839474097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26">
        <v>0</v>
      </c>
      <c r="AL156" s="27">
        <f t="shared" si="4"/>
        <v>301.00881471014213</v>
      </c>
      <c r="AM156" s="26">
        <f t="shared" si="5"/>
        <v>301008.81471014215</v>
      </c>
    </row>
    <row r="157" spans="1:39" x14ac:dyDescent="0.25">
      <c r="A157" s="25" t="s">
        <v>104</v>
      </c>
      <c r="B157" s="26">
        <v>0</v>
      </c>
      <c r="C157" s="26">
        <v>0</v>
      </c>
      <c r="D157" s="26">
        <v>25.7174049623539</v>
      </c>
      <c r="E157" s="26">
        <v>37.971802901627797</v>
      </c>
      <c r="F157" s="26">
        <v>121.68882776687499</v>
      </c>
      <c r="G157" s="26">
        <v>23.950246817742102</v>
      </c>
      <c r="H157" s="26">
        <v>235.865371976939</v>
      </c>
      <c r="I157" s="26">
        <v>94.943671505526694</v>
      </c>
      <c r="J157" s="26">
        <v>226.07895352915699</v>
      </c>
      <c r="K157" s="26">
        <v>271.66901549242402</v>
      </c>
      <c r="L157" s="26">
        <v>279.12879440099101</v>
      </c>
      <c r="M157" s="26">
        <v>385.97426955241298</v>
      </c>
      <c r="N157" s="26">
        <v>182.393105981323</v>
      </c>
      <c r="O157" s="26">
        <v>316.17558000702201</v>
      </c>
      <c r="P157" s="26">
        <v>142.019338202093</v>
      </c>
      <c r="Q157" s="26">
        <v>51.910019440842902</v>
      </c>
      <c r="R157" s="26">
        <v>317.57678983074601</v>
      </c>
      <c r="S157" s="26">
        <v>349.87663218843301</v>
      </c>
      <c r="T157" s="26">
        <v>192.50320839302199</v>
      </c>
      <c r="U157" s="26">
        <v>194.58386769432701</v>
      </c>
      <c r="V157" s="26">
        <v>57.631360788269802</v>
      </c>
      <c r="W157" s="26">
        <v>51.491675218234398</v>
      </c>
      <c r="X157" s="26">
        <v>55.293271078432802</v>
      </c>
      <c r="Y157" s="26">
        <v>75.1576797088278</v>
      </c>
      <c r="Z157" s="26">
        <v>53.743185545973802</v>
      </c>
      <c r="AA157" s="26">
        <v>57.637678954946097</v>
      </c>
      <c r="AB157" s="26">
        <v>72.268966901335403</v>
      </c>
      <c r="AC157" s="26">
        <v>55.806688202286601</v>
      </c>
      <c r="AD157" s="26">
        <v>56.667337652085003</v>
      </c>
      <c r="AE157" s="26">
        <v>68.960245645661402</v>
      </c>
      <c r="AF157" s="26">
        <v>41.289696807103198</v>
      </c>
      <c r="AG157" s="26">
        <v>38.193065181611502</v>
      </c>
      <c r="AH157" s="26">
        <v>26.121998926503899</v>
      </c>
      <c r="AI157" s="26">
        <v>0</v>
      </c>
      <c r="AJ157" s="26">
        <v>0</v>
      </c>
      <c r="AK157" s="26">
        <v>0</v>
      </c>
      <c r="AL157" s="27">
        <f t="shared" si="4"/>
        <v>710.26285061127157</v>
      </c>
      <c r="AM157" s="26">
        <f t="shared" si="5"/>
        <v>710262.85061127157</v>
      </c>
    </row>
    <row r="158" spans="1:39" x14ac:dyDescent="0.25">
      <c r="A158" s="25" t="s">
        <v>105</v>
      </c>
      <c r="B158" s="26">
        <v>0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6">
        <v>5.3486041117524197</v>
      </c>
      <c r="AA158" s="26">
        <v>5.73619005867406</v>
      </c>
      <c r="AB158" s="26">
        <v>5.6724321190482101</v>
      </c>
      <c r="AC158" s="26">
        <v>5.6348500709104901</v>
      </c>
      <c r="AD158" s="26">
        <v>893.49134886431705</v>
      </c>
      <c r="AE158" s="26">
        <v>863.21382297523405</v>
      </c>
      <c r="AF158" s="26">
        <v>857.04866866187194</v>
      </c>
      <c r="AG158" s="26">
        <v>857.93134636721402</v>
      </c>
      <c r="AH158" s="26">
        <v>856.69707679362295</v>
      </c>
      <c r="AI158" s="26">
        <v>860.54618093397403</v>
      </c>
      <c r="AJ158" s="26">
        <v>902.09832851899296</v>
      </c>
      <c r="AK158" s="26">
        <v>901.70113570043895</v>
      </c>
      <c r="AL158" s="27">
        <f t="shared" si="4"/>
        <v>5211.3205209566195</v>
      </c>
      <c r="AM158" s="26">
        <f t="shared" si="5"/>
        <v>5211320.5209566196</v>
      </c>
    </row>
    <row r="159" spans="1:39" x14ac:dyDescent="0.25">
      <c r="A159" s="25" t="s">
        <v>106</v>
      </c>
      <c r="B159" s="26">
        <v>0</v>
      </c>
      <c r="C159" s="26">
        <v>0</v>
      </c>
      <c r="D159" s="26">
        <v>0</v>
      </c>
      <c r="E159" s="26">
        <v>0</v>
      </c>
      <c r="F159" s="26">
        <v>74.956492691366407</v>
      </c>
      <c r="G159" s="26">
        <v>48.897913538955898</v>
      </c>
      <c r="H159" s="26">
        <v>484.981952970436</v>
      </c>
      <c r="I159" s="26">
        <v>1224.4087601569299</v>
      </c>
      <c r="J159" s="26">
        <v>654.858055059864</v>
      </c>
      <c r="K159" s="26">
        <v>480.79436420219599</v>
      </c>
      <c r="L159" s="26">
        <v>153.01397673767599</v>
      </c>
      <c r="M159" s="26">
        <v>46.462879916673899</v>
      </c>
      <c r="N159" s="26">
        <v>12.473097356032399</v>
      </c>
      <c r="O159" s="26">
        <v>146.73941432290701</v>
      </c>
      <c r="P159" s="26">
        <v>14.5312616028632</v>
      </c>
      <c r="Q159" s="26">
        <v>4.98324587267998</v>
      </c>
      <c r="R159" s="26">
        <v>3.1005855616620601</v>
      </c>
      <c r="S159" s="26">
        <v>0.523413522041279</v>
      </c>
      <c r="T159" s="26">
        <v>1286.1442275536999</v>
      </c>
      <c r="U159" s="26">
        <v>906.72521171226902</v>
      </c>
      <c r="V159" s="26">
        <v>920.76999613878104</v>
      </c>
      <c r="W159" s="26">
        <v>168.11907205209801</v>
      </c>
      <c r="X159" s="26">
        <v>6.09446547106662</v>
      </c>
      <c r="Y159" s="26">
        <v>6.3297887422342898</v>
      </c>
      <c r="Z159" s="26">
        <v>2.3371554275970801</v>
      </c>
      <c r="AA159" s="26">
        <v>1.24311347282193</v>
      </c>
      <c r="AB159" s="26">
        <v>1.23085233058619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7">
        <f t="shared" si="4"/>
        <v>1106.1244436351851</v>
      </c>
      <c r="AM159" s="26">
        <f t="shared" si="5"/>
        <v>1106124.443635185</v>
      </c>
    </row>
    <row r="160" spans="1:39" x14ac:dyDescent="0.25">
      <c r="A160" s="25" t="s">
        <v>107</v>
      </c>
      <c r="B160" s="26">
        <v>0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0.53828921959686304</v>
      </c>
      <c r="U160" s="26">
        <v>0.47895645615639498</v>
      </c>
      <c r="V160" s="26">
        <v>0</v>
      </c>
      <c r="W160" s="26">
        <v>0</v>
      </c>
      <c r="X160" s="26">
        <v>0</v>
      </c>
      <c r="Y160" s="26">
        <v>0</v>
      </c>
      <c r="Z160" s="26">
        <v>0</v>
      </c>
      <c r="AA160" s="26">
        <v>0</v>
      </c>
      <c r="AB160" s="26">
        <v>12.3085233058619</v>
      </c>
      <c r="AC160" s="26">
        <v>305.90625340915801</v>
      </c>
      <c r="AD160" s="26">
        <v>614.87824665466303</v>
      </c>
      <c r="AE160" s="26">
        <v>596.41408889817899</v>
      </c>
      <c r="AF160" s="26">
        <v>592.65438996333205</v>
      </c>
      <c r="AG160" s="26">
        <v>593.19267372070601</v>
      </c>
      <c r="AH160" s="26">
        <v>592.43997853007897</v>
      </c>
      <c r="AI160" s="26">
        <v>59.478727950602199</v>
      </c>
      <c r="AJ160" s="26">
        <v>62.012704507805402</v>
      </c>
      <c r="AK160" s="26">
        <v>12.3976964959194</v>
      </c>
      <c r="AL160" s="27">
        <f t="shared" si="4"/>
        <v>3367.2728824325809</v>
      </c>
      <c r="AM160" s="26">
        <f t="shared" si="5"/>
        <v>3367272.8824325809</v>
      </c>
    </row>
    <row r="161" spans="1:39" x14ac:dyDescent="0.25">
      <c r="A161" s="25" t="s">
        <v>108</v>
      </c>
      <c r="B161" s="26">
        <v>0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24.658715861026799</v>
      </c>
      <c r="O161" s="26">
        <v>17.576554811329299</v>
      </c>
      <c r="P161" s="26">
        <v>62.968419689374301</v>
      </c>
      <c r="Q161" s="26">
        <v>17.1491553054509</v>
      </c>
      <c r="R161" s="26">
        <v>24.1045721117965</v>
      </c>
      <c r="S161" s="26">
        <v>29.587583861246902</v>
      </c>
      <c r="T161" s="26">
        <v>41.389796795198201</v>
      </c>
      <c r="U161" s="26">
        <v>22.5447344507207</v>
      </c>
      <c r="V161" s="26">
        <v>8.4621847373470995</v>
      </c>
      <c r="W161" s="26">
        <v>580.31752547226199</v>
      </c>
      <c r="X161" s="26">
        <v>774.44654710666202</v>
      </c>
      <c r="Y161" s="26">
        <v>638.38309937874305</v>
      </c>
      <c r="Z161" s="26">
        <v>299.715542759708</v>
      </c>
      <c r="AA161" s="26">
        <v>78.655673641096698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7">
        <f t="shared" si="4"/>
        <v>2379.9805730958187</v>
      </c>
      <c r="AM161" s="26">
        <f t="shared" si="5"/>
        <v>2379980.5730958185</v>
      </c>
    </row>
    <row r="162" spans="1:39" x14ac:dyDescent="0.25">
      <c r="A162" s="25" t="s">
        <v>109</v>
      </c>
      <c r="B162" s="26">
        <v>0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7">
        <f t="shared" si="4"/>
        <v>0</v>
      </c>
      <c r="AM162" s="26">
        <f t="shared" si="5"/>
        <v>0</v>
      </c>
    </row>
    <row r="163" spans="1:39" x14ac:dyDescent="0.25">
      <c r="A163" s="25" t="s">
        <v>110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181.33574880982499</v>
      </c>
      <c r="Q163" s="26">
        <v>290.16065776621099</v>
      </c>
      <c r="R163" s="26">
        <v>465.66517467205102</v>
      </c>
      <c r="S163" s="26">
        <v>475.76129263353698</v>
      </c>
      <c r="T163" s="26">
        <v>186.68904665661501</v>
      </c>
      <c r="U163" s="26">
        <v>123.513697414437</v>
      </c>
      <c r="V163" s="26">
        <v>25.2615814565265</v>
      </c>
      <c r="W163" s="26">
        <v>47.715619035563897</v>
      </c>
      <c r="X163" s="26">
        <v>52.488149033478201</v>
      </c>
      <c r="Y163" s="26">
        <v>54.777844461939701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7">
        <f t="shared" si="4"/>
        <v>180.24319398750831</v>
      </c>
      <c r="AM163" s="26">
        <f t="shared" si="5"/>
        <v>180243.1939875083</v>
      </c>
    </row>
    <row r="164" spans="1:39" x14ac:dyDescent="0.25">
      <c r="A164" s="25" t="s">
        <v>111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146.76718219683701</v>
      </c>
      <c r="U164" s="26">
        <v>13.9928193326448</v>
      </c>
      <c r="V164" s="26">
        <v>141.95111578008101</v>
      </c>
      <c r="W164" s="26">
        <v>57.943336924625697</v>
      </c>
      <c r="X164" s="26">
        <v>63.7388462199347</v>
      </c>
      <c r="Y164" s="26">
        <v>66.519331862743499</v>
      </c>
      <c r="Z164" s="26">
        <v>417.75580988156401</v>
      </c>
      <c r="AA164" s="26">
        <v>292.36036992894299</v>
      </c>
      <c r="AB164" s="26">
        <v>153.93780833533199</v>
      </c>
      <c r="AC164" s="26">
        <v>50.972637016453497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7">
        <f t="shared" si="4"/>
        <v>1245.1792559496773</v>
      </c>
      <c r="AM164" s="26">
        <f t="shared" si="5"/>
        <v>1245179.2559496774</v>
      </c>
    </row>
    <row r="165" spans="1:39" x14ac:dyDescent="0.25">
      <c r="A165" s="25" t="s">
        <v>112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19.153307304197799</v>
      </c>
      <c r="O165" s="26">
        <v>15.136048694231199</v>
      </c>
      <c r="P165" s="26">
        <v>42.305769563323999</v>
      </c>
      <c r="Q165" s="26">
        <v>45.862789280122499</v>
      </c>
      <c r="R165" s="26">
        <v>230.361925316205</v>
      </c>
      <c r="S165" s="26">
        <v>59.121316130970897</v>
      </c>
      <c r="T165" s="26">
        <v>189.01079710616699</v>
      </c>
      <c r="U165" s="26">
        <v>85.296778444904305</v>
      </c>
      <c r="V165" s="26">
        <v>178.83432078087799</v>
      </c>
      <c r="W165" s="26">
        <v>284.10850559650203</v>
      </c>
      <c r="X165" s="26">
        <v>268.45773195381798</v>
      </c>
      <c r="Y165" s="26">
        <v>145.997311452362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7">
        <f t="shared" si="4"/>
        <v>877.39786978356005</v>
      </c>
      <c r="AM165" s="26">
        <f t="shared" si="5"/>
        <v>877397.86978356005</v>
      </c>
    </row>
    <row r="166" spans="1:39" x14ac:dyDescent="0.25">
      <c r="A166" s="25" t="s">
        <v>113</v>
      </c>
      <c r="B166" s="26">
        <v>0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8.9743000692793906</v>
      </c>
      <c r="W166" s="26">
        <v>3.5677355766447501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7">
        <f t="shared" si="4"/>
        <v>12.542035645924141</v>
      </c>
      <c r="AM166" s="26">
        <f t="shared" si="5"/>
        <v>12542.035645924141</v>
      </c>
    </row>
    <row r="167" spans="1:39" x14ac:dyDescent="0.25">
      <c r="A167" s="25" t="s">
        <v>114</v>
      </c>
      <c r="B167" s="26">
        <v>0</v>
      </c>
      <c r="C167" s="26">
        <v>0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172.89398965563399</v>
      </c>
      <c r="W167" s="26">
        <v>154.47502565470299</v>
      </c>
      <c r="X167" s="26">
        <v>165.879813235298</v>
      </c>
      <c r="Y167" s="26">
        <v>225.473039126483</v>
      </c>
      <c r="Z167" s="26">
        <v>161.22955663792101</v>
      </c>
      <c r="AA167" s="26">
        <v>172.91303686483801</v>
      </c>
      <c r="AB167" s="26">
        <v>216.80690070400601</v>
      </c>
      <c r="AC167" s="26">
        <v>167.420064606859</v>
      </c>
      <c r="AD167" s="26">
        <v>170.00201295625499</v>
      </c>
      <c r="AE167" s="26">
        <v>206.88073693698399</v>
      </c>
      <c r="AF167" s="26">
        <v>123.869090421309</v>
      </c>
      <c r="AG167" s="26">
        <v>114.57919554483399</v>
      </c>
      <c r="AH167" s="26">
        <v>78.365996779511804</v>
      </c>
      <c r="AI167" s="26">
        <v>0</v>
      </c>
      <c r="AJ167" s="26">
        <v>0</v>
      </c>
      <c r="AK167" s="26">
        <v>0</v>
      </c>
      <c r="AL167" s="27">
        <f t="shared" si="4"/>
        <v>2130.7884591246361</v>
      </c>
      <c r="AM167" s="26">
        <f t="shared" si="5"/>
        <v>2130788.4591246359</v>
      </c>
    </row>
    <row r="168" spans="1:39" x14ac:dyDescent="0.25">
      <c r="A168" s="25" t="s">
        <v>115</v>
      </c>
      <c r="B168" s="26">
        <v>0</v>
      </c>
      <c r="C168" s="26">
        <v>0</v>
      </c>
      <c r="D168" s="26">
        <v>0</v>
      </c>
      <c r="E168" s="26">
        <v>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7.5093681629916897</v>
      </c>
      <c r="W168" s="26">
        <v>36.269845342016303</v>
      </c>
      <c r="X168" s="26">
        <v>7.7444654710666203</v>
      </c>
      <c r="Y168" s="26">
        <v>7.9797887422342901</v>
      </c>
      <c r="Z168" s="26">
        <v>37.4644428449635</v>
      </c>
      <c r="AA168" s="26">
        <v>39.327836820548299</v>
      </c>
      <c r="AB168" s="26">
        <v>46.825569917585803</v>
      </c>
      <c r="AC168" s="26">
        <v>62.145000545465301</v>
      </c>
      <c r="AD168" s="26">
        <v>62.390259732373003</v>
      </c>
      <c r="AE168" s="26">
        <v>152.282817779635</v>
      </c>
      <c r="AF168" s="26">
        <v>454.59263397799901</v>
      </c>
      <c r="AG168" s="26">
        <v>454.91560423242402</v>
      </c>
      <c r="AH168" s="26">
        <v>454.46398711804699</v>
      </c>
      <c r="AI168" s="26">
        <v>455.87236770361301</v>
      </c>
      <c r="AJ168" s="26">
        <v>0</v>
      </c>
      <c r="AK168" s="26">
        <v>0</v>
      </c>
      <c r="AL168" s="27">
        <f t="shared" si="4"/>
        <v>2279.7839883909628</v>
      </c>
      <c r="AM168" s="26">
        <f t="shared" si="5"/>
        <v>2279783.9883909626</v>
      </c>
    </row>
    <row r="169" spans="1:39" x14ac:dyDescent="0.25">
      <c r="A169" s="25" t="s">
        <v>116</v>
      </c>
      <c r="B169" s="26">
        <v>0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3.04723273553331</v>
      </c>
      <c r="Y169" s="26">
        <v>3.16489437111714</v>
      </c>
      <c r="Z169" s="26">
        <v>2.9214442844963502</v>
      </c>
      <c r="AA169" s="26">
        <v>3.1077836820548299</v>
      </c>
      <c r="AB169" s="26">
        <v>3.07713082646548</v>
      </c>
      <c r="AC169" s="26">
        <v>3.0590625340915798</v>
      </c>
      <c r="AD169" s="26">
        <v>30.7439123327331</v>
      </c>
      <c r="AE169" s="26">
        <v>149.10352222454401</v>
      </c>
      <c r="AF169" s="26">
        <v>414.858072974332</v>
      </c>
      <c r="AG169" s="26">
        <v>355.91560423242402</v>
      </c>
      <c r="AH169" s="26">
        <v>355.46398711804699</v>
      </c>
      <c r="AI169" s="26">
        <v>59.478727950602199</v>
      </c>
      <c r="AJ169" s="26">
        <v>31.006352253902701</v>
      </c>
      <c r="AK169" s="26">
        <v>3.0994241239798699</v>
      </c>
      <c r="AL169" s="27">
        <f t="shared" si="4"/>
        <v>1383.9413752664409</v>
      </c>
      <c r="AM169" s="26">
        <f t="shared" si="5"/>
        <v>1383941.3752664409</v>
      </c>
    </row>
    <row r="170" spans="1:39" x14ac:dyDescent="0.25">
      <c r="A170" s="25" t="s">
        <v>117</v>
      </c>
      <c r="B170" s="26">
        <v>0</v>
      </c>
      <c r="C170" s="26">
        <v>0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1.21889309421332</v>
      </c>
      <c r="Y170" s="26">
        <v>1.2659577484468501</v>
      </c>
      <c r="Z170" s="26">
        <v>2.9214442844963502</v>
      </c>
      <c r="AA170" s="26">
        <v>31.077836820548299</v>
      </c>
      <c r="AB170" s="26">
        <v>246.17046611723899</v>
      </c>
      <c r="AC170" s="26">
        <v>61.1812506818316</v>
      </c>
      <c r="AD170" s="26">
        <v>61.487824665466299</v>
      </c>
      <c r="AE170" s="26">
        <v>298.20704444908898</v>
      </c>
      <c r="AF170" s="26">
        <v>296.32719498166603</v>
      </c>
      <c r="AG170" s="26">
        <v>296.59633686035301</v>
      </c>
      <c r="AH170" s="26">
        <v>177.73199355902301</v>
      </c>
      <c r="AI170" s="26">
        <v>118.957455901204</v>
      </c>
      <c r="AJ170" s="26">
        <v>173.635572621855</v>
      </c>
      <c r="AK170" s="26">
        <v>6.1988482479597398</v>
      </c>
      <c r="AL170" s="27">
        <f t="shared" si="4"/>
        <v>1593.1436991635767</v>
      </c>
      <c r="AM170" s="26">
        <f t="shared" si="5"/>
        <v>1593143.6991635766</v>
      </c>
    </row>
    <row r="171" spans="1:39" x14ac:dyDescent="0.25">
      <c r="A171" s="25" t="s">
        <v>118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100.18924452526301</v>
      </c>
      <c r="W171" s="26">
        <v>504.35721615629501</v>
      </c>
      <c r="X171" s="26">
        <v>609.44654710666202</v>
      </c>
      <c r="Y171" s="26">
        <v>632.97887422342899</v>
      </c>
      <c r="Z171" s="26">
        <v>584.28885689927097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7">
        <f t="shared" si="4"/>
        <v>2431.2607389109198</v>
      </c>
      <c r="AM171" s="26">
        <f t="shared" si="5"/>
        <v>2431260.73891092</v>
      </c>
    </row>
    <row r="172" spans="1:39" x14ac:dyDescent="0.25">
      <c r="A172" s="25" t="s">
        <v>119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88.617042391280094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7">
        <f t="shared" si="4"/>
        <v>88.617042391280094</v>
      </c>
      <c r="AM172" s="26">
        <f t="shared" si="5"/>
        <v>88617.042391280091</v>
      </c>
    </row>
    <row r="173" spans="1:39" x14ac:dyDescent="0.25">
      <c r="A173" s="25" t="s">
        <v>120</v>
      </c>
      <c r="B173" s="26">
        <v>0</v>
      </c>
      <c r="C173" s="26">
        <v>0</v>
      </c>
      <c r="D173" s="26">
        <v>0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21.3944164470097</v>
      </c>
      <c r="AA173" s="26">
        <v>22.944760234696201</v>
      </c>
      <c r="AB173" s="26">
        <v>22.689728476192801</v>
      </c>
      <c r="AC173" s="26">
        <v>22.5394002836419</v>
      </c>
      <c r="AD173" s="26">
        <v>3573.96539545726</v>
      </c>
      <c r="AE173" s="26">
        <v>3452.8552919009298</v>
      </c>
      <c r="AF173" s="26">
        <v>3428.19467464749</v>
      </c>
      <c r="AG173" s="26">
        <v>3431.7253854688502</v>
      </c>
      <c r="AH173" s="26">
        <v>3426.78830717449</v>
      </c>
      <c r="AI173" s="26">
        <v>3442.1847237358902</v>
      </c>
      <c r="AJ173" s="26">
        <v>3608.39331407597</v>
      </c>
      <c r="AK173" s="26">
        <v>3606.8045428017499</v>
      </c>
      <c r="AL173" s="27">
        <f t="shared" si="4"/>
        <v>20845.282083826449</v>
      </c>
      <c r="AM173" s="26">
        <f t="shared" si="5"/>
        <v>20845282.083826449</v>
      </c>
    </row>
    <row r="174" spans="1:39" s="30" customFormat="1" x14ac:dyDescent="0.25">
      <c r="A174" s="29"/>
      <c r="AL174" s="27">
        <f t="shared" si="4"/>
        <v>0</v>
      </c>
      <c r="AM174" s="26">
        <f t="shared" si="5"/>
        <v>0</v>
      </c>
    </row>
    <row r="175" spans="1:39" s="30" customFormat="1" x14ac:dyDescent="0.25">
      <c r="A175" s="29" t="s">
        <v>125</v>
      </c>
      <c r="AL175" s="27">
        <f t="shared" si="4"/>
        <v>0</v>
      </c>
      <c r="AM175" s="26">
        <f t="shared" si="5"/>
        <v>0</v>
      </c>
    </row>
    <row r="176" spans="1:39" s="30" customFormat="1" x14ac:dyDescent="0.25">
      <c r="A176" s="29" t="s">
        <v>89</v>
      </c>
      <c r="B176" s="30">
        <v>0.79186568760840204</v>
      </c>
      <c r="C176" s="30">
        <v>0.79866185952288304</v>
      </c>
      <c r="D176" s="30">
        <v>0.88282842944228002</v>
      </c>
      <c r="E176" s="30">
        <v>0.89878845300698196</v>
      </c>
      <c r="F176" s="30">
        <v>0.90540539102776596</v>
      </c>
      <c r="G176" s="30">
        <v>0.91322027179384502</v>
      </c>
      <c r="H176" s="30">
        <v>0.91897748457119599</v>
      </c>
      <c r="I176" s="30">
        <v>0.92821607989954202</v>
      </c>
      <c r="J176" s="30">
        <v>0.93321947265345395</v>
      </c>
      <c r="K176" s="30">
        <v>0.93921799085189706</v>
      </c>
      <c r="L176" s="30">
        <v>0.94488983169567098</v>
      </c>
      <c r="M176" s="30">
        <v>0.94946737100706702</v>
      </c>
      <c r="N176" s="30">
        <v>0.19243963178046</v>
      </c>
      <c r="O176" s="30">
        <v>0.193071203721534</v>
      </c>
      <c r="P176" s="30">
        <v>0.19391730970377799</v>
      </c>
      <c r="Q176" s="30">
        <v>0.19769478066989199</v>
      </c>
      <c r="R176" s="30">
        <v>0.20402135504566499</v>
      </c>
      <c r="S176" s="30">
        <v>0.21133797426189899</v>
      </c>
      <c r="T176" s="30">
        <v>0.211892474687564</v>
      </c>
      <c r="U176" s="30">
        <v>0.229409835628027</v>
      </c>
      <c r="V176" s="30">
        <v>0.233093232336647</v>
      </c>
      <c r="W176" s="30">
        <v>0.23804623612102499</v>
      </c>
      <c r="X176" s="30">
        <v>0.238485698135847</v>
      </c>
      <c r="Y176" s="30">
        <v>0.36984871583625001</v>
      </c>
      <c r="Z176" s="30">
        <v>0</v>
      </c>
      <c r="AA176" s="30">
        <v>0</v>
      </c>
      <c r="AB176" s="30">
        <v>0</v>
      </c>
      <c r="AC176" s="30">
        <v>0</v>
      </c>
      <c r="AD176" s="30">
        <v>0</v>
      </c>
      <c r="AE176" s="30">
        <v>0</v>
      </c>
      <c r="AF176" s="30">
        <v>0</v>
      </c>
      <c r="AG176" s="30">
        <v>0</v>
      </c>
      <c r="AH176" s="30">
        <v>0</v>
      </c>
      <c r="AI176" s="30">
        <v>0</v>
      </c>
      <c r="AJ176" s="30">
        <v>0</v>
      </c>
      <c r="AK176" s="30">
        <v>0</v>
      </c>
      <c r="AL176" s="27">
        <f t="shared" si="4"/>
        <v>1.0794738824297689</v>
      </c>
      <c r="AM176" s="26">
        <f t="shared" si="5"/>
        <v>1079.473882429769</v>
      </c>
    </row>
    <row r="177" spans="1:40" s="30" customFormat="1" x14ac:dyDescent="0.25">
      <c r="A177" s="29" t="s">
        <v>90</v>
      </c>
      <c r="B177" s="30">
        <v>0.93499363664471302</v>
      </c>
      <c r="C177" s="30">
        <v>1.11944471454191</v>
      </c>
      <c r="D177" s="30">
        <v>1.4265590670494399</v>
      </c>
      <c r="E177" s="30">
        <v>1.6270332148195701</v>
      </c>
      <c r="F177" s="30">
        <v>1.77583014324626</v>
      </c>
      <c r="G177" s="30">
        <v>1.87068521636039</v>
      </c>
      <c r="H177" s="30">
        <v>1.8888531499390999</v>
      </c>
      <c r="I177" s="30">
        <v>2.2045572710797798</v>
      </c>
      <c r="J177" s="30">
        <v>2.2316050177540099</v>
      </c>
      <c r="K177" s="30">
        <v>2.2416930559603099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  <c r="AD177" s="30">
        <v>0</v>
      </c>
      <c r="AE177" s="30">
        <v>0</v>
      </c>
      <c r="AF177" s="30">
        <v>0</v>
      </c>
      <c r="AG177" s="30">
        <v>0</v>
      </c>
      <c r="AH177" s="30">
        <v>0</v>
      </c>
      <c r="AI177" s="30">
        <v>0</v>
      </c>
      <c r="AJ177" s="30">
        <v>0</v>
      </c>
      <c r="AK177" s="30">
        <v>0</v>
      </c>
      <c r="AL177" s="27">
        <f t="shared" si="4"/>
        <v>0</v>
      </c>
      <c r="AM177" s="26">
        <f t="shared" si="5"/>
        <v>0</v>
      </c>
    </row>
    <row r="178" spans="1:40" s="30" customFormat="1" x14ac:dyDescent="0.25">
      <c r="A178" s="29" t="s">
        <v>91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  <c r="AD178" s="30">
        <v>0</v>
      </c>
      <c r="AE178" s="30">
        <v>0</v>
      </c>
      <c r="AF178" s="30">
        <v>0</v>
      </c>
      <c r="AG178" s="30">
        <v>0</v>
      </c>
      <c r="AH178" s="30">
        <v>0</v>
      </c>
      <c r="AI178" s="30">
        <v>0</v>
      </c>
      <c r="AJ178" s="30">
        <v>0</v>
      </c>
      <c r="AK178" s="30">
        <v>0</v>
      </c>
      <c r="AL178" s="27">
        <f t="shared" si="4"/>
        <v>0</v>
      </c>
      <c r="AM178" s="26">
        <f t="shared" si="5"/>
        <v>0</v>
      </c>
    </row>
    <row r="179" spans="1:40" s="30" customFormat="1" x14ac:dyDescent="0.25">
      <c r="A179" s="29" t="s">
        <v>92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1.9847795386248399E-3</v>
      </c>
      <c r="N179" s="30">
        <v>4.3995906209893399E-3</v>
      </c>
      <c r="O179" s="30">
        <v>1.38651517216012E-2</v>
      </c>
      <c r="P179" s="30">
        <v>1.43984287319314E-2</v>
      </c>
      <c r="Q179" s="30">
        <v>1.5004929368435701E-2</v>
      </c>
      <c r="R179" s="30">
        <v>2.1009544723126598E-2</v>
      </c>
      <c r="S179" s="30">
        <v>2.1070744485239101E-2</v>
      </c>
      <c r="T179" s="30">
        <v>2.1128930383369798E-2</v>
      </c>
      <c r="U179" s="30">
        <v>2.11881461763203E-2</v>
      </c>
      <c r="V179" s="30">
        <v>2.12466353563611E-2</v>
      </c>
      <c r="W179" s="30">
        <v>2.1363413444475701E-2</v>
      </c>
      <c r="X179" s="30">
        <v>2.1402725770796299E-2</v>
      </c>
      <c r="Y179" s="30">
        <v>2.6335352690393998E-2</v>
      </c>
      <c r="Z179" s="30">
        <v>2.80906983457993E-2</v>
      </c>
      <c r="AA179" s="30">
        <v>4.92998181326409E-2</v>
      </c>
      <c r="AB179" s="30">
        <v>7.1598958968604201E-2</v>
      </c>
      <c r="AC179" s="30">
        <v>9.3764516420830807E-2</v>
      </c>
      <c r="AD179" s="30">
        <v>0.11586732920901199</v>
      </c>
      <c r="AE179" s="30">
        <v>0.13809590688902401</v>
      </c>
      <c r="AF179" s="30">
        <v>0.31035451462013502</v>
      </c>
      <c r="AG179" s="30">
        <v>0.65323357080893296</v>
      </c>
      <c r="AH179" s="30">
        <v>0.996963802910379</v>
      </c>
      <c r="AI179" s="30">
        <v>1.3409634209266901</v>
      </c>
      <c r="AJ179" s="30">
        <v>0</v>
      </c>
      <c r="AK179" s="30">
        <v>0</v>
      </c>
      <c r="AL179" s="27">
        <f t="shared" si="4"/>
        <v>3.888580664494075</v>
      </c>
      <c r="AM179" s="26">
        <f t="shared" si="5"/>
        <v>3888.5806644940749</v>
      </c>
    </row>
    <row r="180" spans="1:40" s="30" customFormat="1" x14ac:dyDescent="0.25">
      <c r="A180" s="29" t="s">
        <v>93</v>
      </c>
      <c r="B180" s="30">
        <v>2.8772217596796099</v>
      </c>
      <c r="C180" s="30">
        <v>2.9219373459245901</v>
      </c>
      <c r="D180" s="30">
        <v>2.97225226189776</v>
      </c>
      <c r="E180" s="30">
        <v>3.7658634989635198</v>
      </c>
      <c r="F180" s="30">
        <v>4.0273297773106904</v>
      </c>
      <c r="G180" s="30">
        <v>5.3874329414787203</v>
      </c>
      <c r="H180" s="30">
        <v>5.92864383354138</v>
      </c>
      <c r="I180" s="30">
        <v>6.9546040482541898</v>
      </c>
      <c r="J180" s="30">
        <v>7.0805926461498201</v>
      </c>
      <c r="K180" s="30">
        <v>12.087183215725901</v>
      </c>
      <c r="L180" s="30">
        <v>13.5325455218959</v>
      </c>
      <c r="M180" s="30">
        <v>17.805687415056401</v>
      </c>
      <c r="N180" s="30">
        <v>4.0715175187376698</v>
      </c>
      <c r="O180" s="30">
        <v>5.1621365609084897</v>
      </c>
      <c r="P180" s="30">
        <v>5.2423440302229096</v>
      </c>
      <c r="Q180" s="30">
        <v>8.6527051020286194</v>
      </c>
      <c r="R180" s="30">
        <v>12.016981179688599</v>
      </c>
      <c r="S180" s="30">
        <v>12.1092833293906</v>
      </c>
      <c r="T180" s="30">
        <v>12.123280092824499</v>
      </c>
      <c r="U180" s="30">
        <v>13.9756933654267</v>
      </c>
      <c r="V180" s="30">
        <v>15.493106052525199</v>
      </c>
      <c r="W180" s="30">
        <v>15.521743013687599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30">
        <v>0</v>
      </c>
      <c r="AD180" s="30">
        <v>0</v>
      </c>
      <c r="AE180" s="30">
        <v>0</v>
      </c>
      <c r="AF180" s="30">
        <v>0</v>
      </c>
      <c r="AG180" s="30">
        <v>0</v>
      </c>
      <c r="AH180" s="30">
        <v>0</v>
      </c>
      <c r="AI180" s="30">
        <v>0</v>
      </c>
      <c r="AJ180" s="30">
        <v>0</v>
      </c>
      <c r="AK180" s="30">
        <v>0</v>
      </c>
      <c r="AL180" s="27">
        <f t="shared" si="4"/>
        <v>31.014849066212797</v>
      </c>
      <c r="AM180" s="26">
        <f t="shared" si="5"/>
        <v>31014.849066212795</v>
      </c>
    </row>
    <row r="181" spans="1:40" s="30" customFormat="1" x14ac:dyDescent="0.25">
      <c r="A181" s="29" t="s">
        <v>94</v>
      </c>
      <c r="B181" s="30">
        <v>0.53829651750660701</v>
      </c>
      <c r="C181" s="30">
        <v>0.55814116843858097</v>
      </c>
      <c r="D181" s="30">
        <v>0.57050717510014204</v>
      </c>
      <c r="E181" s="30">
        <v>0.57330746885508899</v>
      </c>
      <c r="F181" s="30">
        <v>0.58272366296090905</v>
      </c>
      <c r="G181" s="30">
        <v>0.58703807433854005</v>
      </c>
      <c r="H181" s="30">
        <v>0.59624632568312896</v>
      </c>
      <c r="I181" s="30">
        <v>0</v>
      </c>
      <c r="J181" s="30">
        <v>0</v>
      </c>
      <c r="K181" s="30">
        <v>0.60845121050761997</v>
      </c>
      <c r="L181" s="30">
        <v>0.61247674087097104</v>
      </c>
      <c r="M181" s="30">
        <v>0.61850780417116502</v>
      </c>
      <c r="N181" s="30">
        <v>0.12970771473151901</v>
      </c>
      <c r="O181" s="30">
        <v>0.13286428548877099</v>
      </c>
      <c r="P181" s="30">
        <v>0.135601689054375</v>
      </c>
      <c r="Q181" s="30">
        <v>0.14444937644685299</v>
      </c>
      <c r="R181" s="30">
        <v>0.168038036851994</v>
      </c>
      <c r="S181" s="30">
        <v>0.292500484629653</v>
      </c>
      <c r="T181" s="30">
        <v>0.52876495266758095</v>
      </c>
      <c r="U181" s="30">
        <v>0.73314280928021702</v>
      </c>
      <c r="V181" s="30">
        <v>0.77490591615758497</v>
      </c>
      <c r="W181" s="30">
        <v>0.80908656442853699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  <c r="AD181" s="30">
        <v>0</v>
      </c>
      <c r="AE181" s="30">
        <v>0</v>
      </c>
      <c r="AF181" s="30">
        <v>0</v>
      </c>
      <c r="AG181" s="30">
        <v>0</v>
      </c>
      <c r="AH181" s="30">
        <v>0</v>
      </c>
      <c r="AI181" s="30">
        <v>0</v>
      </c>
      <c r="AJ181" s="30">
        <v>0</v>
      </c>
      <c r="AK181" s="30">
        <v>0</v>
      </c>
      <c r="AL181" s="27">
        <f t="shared" si="4"/>
        <v>1.5839924805861219</v>
      </c>
      <c r="AM181" s="26">
        <f t="shared" si="5"/>
        <v>1583.9924805861219</v>
      </c>
    </row>
    <row r="182" spans="1:40" s="30" customFormat="1" x14ac:dyDescent="0.25">
      <c r="A182" s="29" t="s">
        <v>95</v>
      </c>
      <c r="B182" s="30">
        <v>0.61418100364368899</v>
      </c>
      <c r="C182" s="30">
        <v>0.68316423020440498</v>
      </c>
      <c r="D182" s="30">
        <v>1.0451922630628501</v>
      </c>
      <c r="E182" s="30">
        <v>1.11706716121975</v>
      </c>
      <c r="F182" s="30">
        <v>1.3884562681456001</v>
      </c>
      <c r="G182" s="30">
        <v>2.4619285895131999</v>
      </c>
      <c r="H182" s="30">
        <v>2.5134206004998201</v>
      </c>
      <c r="I182" s="30">
        <v>2.95311866641108</v>
      </c>
      <c r="J182" s="30">
        <v>3.6839700235952502</v>
      </c>
      <c r="K182" s="30">
        <v>3.8017755565736899</v>
      </c>
      <c r="L182" s="30">
        <v>4.4144383233596001</v>
      </c>
      <c r="M182" s="30">
        <v>4.4634041741149897</v>
      </c>
      <c r="N182" s="30">
        <v>1.18936849772229</v>
      </c>
      <c r="O182" s="30">
        <v>1.1954554162053299</v>
      </c>
      <c r="P182" s="30">
        <v>1.3944082039200201</v>
      </c>
      <c r="Q182" s="30">
        <v>1.3709928248979</v>
      </c>
      <c r="R182" s="30">
        <v>1.3620249746852899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30">
        <v>0</v>
      </c>
      <c r="AD182" s="30">
        <v>0</v>
      </c>
      <c r="AE182" s="30">
        <v>0</v>
      </c>
      <c r="AF182" s="30">
        <v>0</v>
      </c>
      <c r="AG182" s="30">
        <v>0</v>
      </c>
      <c r="AH182" s="30">
        <v>0</v>
      </c>
      <c r="AI182" s="30">
        <v>0</v>
      </c>
      <c r="AJ182" s="30">
        <v>0</v>
      </c>
      <c r="AK182" s="30">
        <v>0</v>
      </c>
      <c r="AL182" s="27">
        <f t="shared" si="4"/>
        <v>0</v>
      </c>
      <c r="AM182" s="26">
        <f t="shared" si="5"/>
        <v>0</v>
      </c>
    </row>
    <row r="183" spans="1:40" s="30" customFormat="1" x14ac:dyDescent="0.25">
      <c r="A183" s="29" t="s">
        <v>96</v>
      </c>
      <c r="B183" s="30">
        <v>0</v>
      </c>
      <c r="C183" s="30">
        <v>0</v>
      </c>
      <c r="D183" s="30">
        <v>0</v>
      </c>
      <c r="E183" s="30">
        <v>0</v>
      </c>
      <c r="F183" s="30">
        <v>0.789995491983572</v>
      </c>
      <c r="G183" s="30">
        <v>0.99887552070083896</v>
      </c>
      <c r="H183" s="30">
        <v>1.1445457610187999</v>
      </c>
      <c r="I183" s="30">
        <v>1.3397824114142101</v>
      </c>
      <c r="J183" s="30">
        <v>3.1308376249273899</v>
      </c>
      <c r="K183" s="30">
        <v>3.38103899016662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6.3581851965300203E-3</v>
      </c>
      <c r="R183" s="30">
        <v>6.5414116988530603E-4</v>
      </c>
      <c r="S183" s="30">
        <v>6.3563781418155699E-3</v>
      </c>
      <c r="T183" s="30">
        <v>6.3581851965300203E-3</v>
      </c>
      <c r="U183" s="30">
        <v>6.36003016148324E-3</v>
      </c>
      <c r="V183" s="30">
        <v>6.36184985294395E-3</v>
      </c>
      <c r="W183" s="30">
        <v>7.4449056453723102E-3</v>
      </c>
      <c r="X183" s="30">
        <v>0</v>
      </c>
      <c r="Y183" s="30">
        <v>0</v>
      </c>
      <c r="Z183" s="30">
        <v>0</v>
      </c>
      <c r="AA183" s="30">
        <v>0</v>
      </c>
      <c r="AB183" s="30">
        <v>0</v>
      </c>
      <c r="AC183" s="30">
        <v>0</v>
      </c>
      <c r="AD183" s="30">
        <v>0</v>
      </c>
      <c r="AE183" s="30">
        <v>0</v>
      </c>
      <c r="AF183" s="30">
        <v>0</v>
      </c>
      <c r="AG183" s="30">
        <v>0</v>
      </c>
      <c r="AH183" s="30">
        <v>0</v>
      </c>
      <c r="AI183" s="30">
        <v>0</v>
      </c>
      <c r="AJ183" s="30">
        <v>0</v>
      </c>
      <c r="AK183" s="30">
        <v>0</v>
      </c>
      <c r="AL183" s="27">
        <f t="shared" si="4"/>
        <v>1.380675549831626E-2</v>
      </c>
      <c r="AM183" s="26">
        <f t="shared" si="5"/>
        <v>13.80675549831626</v>
      </c>
    </row>
    <row r="184" spans="1:40" s="30" customFormat="1" x14ac:dyDescent="0.25">
      <c r="A184" s="29" t="s">
        <v>97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4.35545488918214E-2</v>
      </c>
      <c r="V184" s="30">
        <v>4.45858716639232E-2</v>
      </c>
      <c r="W184" s="30">
        <v>4.5603746273965601E-2</v>
      </c>
      <c r="X184" s="30">
        <v>4.63958243005878E-2</v>
      </c>
      <c r="Y184" s="30">
        <v>4.7251342671738E-2</v>
      </c>
      <c r="Z184" s="30">
        <v>4.3029528533110102E-2</v>
      </c>
      <c r="AA184" s="30">
        <v>4.3765818730985097E-2</v>
      </c>
      <c r="AB184" s="30">
        <v>4.4545511049438997E-2</v>
      </c>
      <c r="AC184" s="30">
        <v>4.5319660958801203E-2</v>
      </c>
      <c r="AD184" s="30">
        <v>0.25272510618487398</v>
      </c>
      <c r="AE184" s="30">
        <v>0.46153719374678898</v>
      </c>
      <c r="AF184" s="30">
        <v>0.79920058934577198</v>
      </c>
      <c r="AG184" s="30">
        <v>1.1353392845274499</v>
      </c>
      <c r="AH184" s="30">
        <v>1.47237800696487</v>
      </c>
      <c r="AI184" s="30">
        <v>1.8095892284713</v>
      </c>
      <c r="AJ184" s="30">
        <v>0</v>
      </c>
      <c r="AK184" s="30">
        <v>0</v>
      </c>
      <c r="AL184" s="27">
        <f t="shared" si="4"/>
        <v>6.2912667134236049</v>
      </c>
      <c r="AM184" s="26">
        <f t="shared" si="5"/>
        <v>6291.2667134236053</v>
      </c>
    </row>
    <row r="185" spans="1:40" s="30" customFormat="1" x14ac:dyDescent="0.25">
      <c r="A185" s="29" t="s">
        <v>98</v>
      </c>
      <c r="B185" s="30">
        <v>0</v>
      </c>
      <c r="C185" s="30">
        <v>0</v>
      </c>
      <c r="D185" s="30">
        <v>0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9.5633933370294795</v>
      </c>
      <c r="L185" s="30">
        <v>12.712858426083301</v>
      </c>
      <c r="M185" s="30">
        <v>19.177443140655502</v>
      </c>
      <c r="N185" s="30">
        <v>3.1105693109544301</v>
      </c>
      <c r="O185" s="30">
        <v>3.70340831685394</v>
      </c>
      <c r="P185" s="30">
        <v>4.0530467216106496</v>
      </c>
      <c r="Q185" s="30">
        <v>9.4170486317392804E-2</v>
      </c>
      <c r="R185" s="30">
        <v>9.6436551884434799E-2</v>
      </c>
      <c r="S185" s="30">
        <v>0.34453837824593098</v>
      </c>
      <c r="T185" s="30">
        <v>0.48754311554254998</v>
      </c>
      <c r="U185" s="30">
        <v>0.51287208336842505</v>
      </c>
      <c r="V185" s="30">
        <v>0.53852648532060299</v>
      </c>
      <c r="W185" s="30">
        <v>0.54498545814985</v>
      </c>
      <c r="X185" s="30">
        <v>0</v>
      </c>
      <c r="Y185" s="30">
        <v>0</v>
      </c>
      <c r="Z185" s="30">
        <v>0</v>
      </c>
      <c r="AA185" s="30">
        <v>0</v>
      </c>
      <c r="AB185" s="30">
        <v>0</v>
      </c>
      <c r="AC185" s="30">
        <v>0</v>
      </c>
      <c r="AD185" s="30">
        <v>0</v>
      </c>
      <c r="AE185" s="30">
        <v>0</v>
      </c>
      <c r="AF185" s="30">
        <v>0</v>
      </c>
      <c r="AG185" s="30">
        <v>0</v>
      </c>
      <c r="AH185" s="30">
        <v>0</v>
      </c>
      <c r="AI185" s="30">
        <v>0</v>
      </c>
      <c r="AJ185" s="30">
        <v>0</v>
      </c>
      <c r="AK185" s="30">
        <v>0</v>
      </c>
      <c r="AL185" s="27">
        <f t="shared" si="4"/>
        <v>1.083511943470453</v>
      </c>
      <c r="AM185" s="26">
        <f t="shared" si="5"/>
        <v>1083.5119434704529</v>
      </c>
    </row>
    <row r="186" spans="1:40" s="30" customFormat="1" x14ac:dyDescent="0.25">
      <c r="A186" s="29" t="s">
        <v>99</v>
      </c>
      <c r="B186" s="30">
        <v>0</v>
      </c>
      <c r="C186" s="30">
        <v>0</v>
      </c>
      <c r="D186" s="30">
        <v>0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30">
        <v>2.5607932506075001E-2</v>
      </c>
      <c r="L186" s="30">
        <v>5.2258062937184699E-2</v>
      </c>
      <c r="M186" s="30">
        <v>0.13897179804236001</v>
      </c>
      <c r="N186" s="30">
        <v>8.5088223004184796E-2</v>
      </c>
      <c r="O186" s="30">
        <v>8.5808353263013198E-2</v>
      </c>
      <c r="P186" s="30">
        <v>9.7370919220895802E-2</v>
      </c>
      <c r="Q186" s="30">
        <v>0.10457560845717601</v>
      </c>
      <c r="R186" s="30">
        <v>0.124555498458706</v>
      </c>
      <c r="S186" s="30">
        <v>0.18493138262564399</v>
      </c>
      <c r="T186" s="30">
        <v>0.19525176906341499</v>
      </c>
      <c r="U186" s="30">
        <v>0.29251667861997899</v>
      </c>
      <c r="V186" s="30">
        <v>0.61362262455471905</v>
      </c>
      <c r="W186" s="30">
        <v>1.0045328115409999</v>
      </c>
      <c r="X186" s="30">
        <v>0</v>
      </c>
      <c r="Y186" s="30">
        <v>0</v>
      </c>
      <c r="Z186" s="30">
        <v>0</v>
      </c>
      <c r="AA186" s="30">
        <v>0</v>
      </c>
      <c r="AB186" s="30">
        <v>0</v>
      </c>
      <c r="AC186" s="30">
        <v>0</v>
      </c>
      <c r="AD186" s="30">
        <v>0</v>
      </c>
      <c r="AE186" s="30">
        <v>0</v>
      </c>
      <c r="AF186" s="30">
        <v>0</v>
      </c>
      <c r="AG186" s="30">
        <v>0</v>
      </c>
      <c r="AH186" s="30">
        <v>0</v>
      </c>
      <c r="AI186" s="30">
        <v>0</v>
      </c>
      <c r="AJ186" s="30">
        <v>0</v>
      </c>
      <c r="AK186" s="30">
        <v>0</v>
      </c>
      <c r="AL186" s="27">
        <f t="shared" si="4"/>
        <v>1.6181554360957189</v>
      </c>
      <c r="AM186" s="26">
        <f t="shared" si="5"/>
        <v>1618.1554360957189</v>
      </c>
    </row>
    <row r="187" spans="1:40" s="30" customFormat="1" x14ac:dyDescent="0.25">
      <c r="A187" s="29" t="s">
        <v>100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0.72418992513539204</v>
      </c>
      <c r="L187" s="30">
        <v>0.73998203484178704</v>
      </c>
      <c r="M187" s="30">
        <v>0.74337581289667098</v>
      </c>
      <c r="N187" s="30">
        <v>0.37677766862245199</v>
      </c>
      <c r="O187" s="30">
        <v>0.46717140426826698</v>
      </c>
      <c r="P187" s="30">
        <v>0.57803430577548398</v>
      </c>
      <c r="Q187" s="30">
        <v>0.67144440747885303</v>
      </c>
      <c r="R187" s="30">
        <v>0.87001309497275003</v>
      </c>
      <c r="S187" s="30">
        <v>1.0931705781541301</v>
      </c>
      <c r="T187" s="30">
        <v>1.2664764827806601</v>
      </c>
      <c r="U187" s="30">
        <v>1.5040614023450001</v>
      </c>
      <c r="V187" s="30">
        <v>1.7031725600821299</v>
      </c>
      <c r="W187" s="30">
        <v>1.7711431866057299</v>
      </c>
      <c r="X187" s="30">
        <v>0</v>
      </c>
      <c r="Y187" s="30">
        <v>0</v>
      </c>
      <c r="Z187" s="30">
        <v>0</v>
      </c>
      <c r="AA187" s="30">
        <v>0</v>
      </c>
      <c r="AB187" s="30">
        <v>0</v>
      </c>
      <c r="AC187" s="30">
        <v>0</v>
      </c>
      <c r="AD187" s="30">
        <v>0</v>
      </c>
      <c r="AE187" s="30">
        <v>0</v>
      </c>
      <c r="AF187" s="30">
        <v>0</v>
      </c>
      <c r="AG187" s="30">
        <v>0</v>
      </c>
      <c r="AH187" s="30">
        <v>0</v>
      </c>
      <c r="AI187" s="30">
        <v>0</v>
      </c>
      <c r="AJ187" s="30">
        <v>0</v>
      </c>
      <c r="AK187" s="30">
        <v>0</v>
      </c>
      <c r="AL187" s="27">
        <f t="shared" si="4"/>
        <v>3.4743157466878598</v>
      </c>
      <c r="AM187" s="26">
        <f t="shared" si="5"/>
        <v>3474.3157466878597</v>
      </c>
    </row>
    <row r="188" spans="1:40" s="30" customFormat="1" x14ac:dyDescent="0.25">
      <c r="A188" s="29" t="s">
        <v>101</v>
      </c>
      <c r="B188" s="30">
        <v>0</v>
      </c>
      <c r="C188" s="30">
        <v>0</v>
      </c>
      <c r="D188" s="30">
        <v>0</v>
      </c>
      <c r="E188" s="30">
        <v>0.15018492198839301</v>
      </c>
      <c r="F188" s="30">
        <v>0.270351499904052</v>
      </c>
      <c r="G188" s="30">
        <v>0.33008729521990898</v>
      </c>
      <c r="H188" s="30">
        <v>0.340923147541981</v>
      </c>
      <c r="I188" s="30">
        <v>0</v>
      </c>
      <c r="J188" s="30">
        <v>0</v>
      </c>
      <c r="K188" s="30">
        <v>0.74024783556168605</v>
      </c>
      <c r="L188" s="30">
        <v>0.97589462251913695</v>
      </c>
      <c r="M188" s="30">
        <v>1.34704402545054</v>
      </c>
      <c r="N188" s="30">
        <v>0.39209930012552802</v>
      </c>
      <c r="O188" s="30">
        <v>0.59754395085700296</v>
      </c>
      <c r="P188" s="30">
        <v>0.71815393489789903</v>
      </c>
      <c r="Q188" s="30">
        <v>0.845680326082761</v>
      </c>
      <c r="R188" s="30">
        <v>1.0928800277658599</v>
      </c>
      <c r="S188" s="30">
        <v>1.7560138537966801</v>
      </c>
      <c r="T188" s="30">
        <v>2.4027440079712301</v>
      </c>
      <c r="U188" s="30">
        <v>3.2244328899987198</v>
      </c>
      <c r="V188" s="30">
        <v>4.1154783453399597</v>
      </c>
      <c r="W188" s="30">
        <v>4.5195046141685999</v>
      </c>
      <c r="X188" s="30">
        <v>5.57378446476514</v>
      </c>
      <c r="Y188" s="30">
        <v>6.5488206199682804</v>
      </c>
      <c r="Z188" s="30">
        <v>0</v>
      </c>
      <c r="AA188" s="30">
        <v>0</v>
      </c>
      <c r="AB188" s="30">
        <v>0</v>
      </c>
      <c r="AC188" s="30">
        <v>0</v>
      </c>
      <c r="AD188" s="30">
        <v>0</v>
      </c>
      <c r="AE188" s="30">
        <v>0</v>
      </c>
      <c r="AF188" s="30">
        <v>0</v>
      </c>
      <c r="AG188" s="30">
        <v>0</v>
      </c>
      <c r="AH188" s="30">
        <v>0</v>
      </c>
      <c r="AI188" s="30">
        <v>0</v>
      </c>
      <c r="AJ188" s="30">
        <v>0</v>
      </c>
      <c r="AK188" s="30">
        <v>0</v>
      </c>
      <c r="AL188" s="27">
        <f t="shared" si="4"/>
        <v>20.757588044241977</v>
      </c>
      <c r="AM188" s="26">
        <f t="shared" si="5"/>
        <v>20757.588044241977</v>
      </c>
    </row>
    <row r="189" spans="1:40" s="30" customFormat="1" x14ac:dyDescent="0.25">
      <c r="A189" s="29" t="s">
        <v>102</v>
      </c>
      <c r="B189" s="30">
        <v>0.65699372338392104</v>
      </c>
      <c r="C189" s="30">
        <v>2.5151565908161699</v>
      </c>
      <c r="D189" s="30">
        <v>2.56865885142104</v>
      </c>
      <c r="E189" s="30">
        <v>2.80809190721603</v>
      </c>
      <c r="F189" s="30">
        <v>2.9134414706960898</v>
      </c>
      <c r="G189" s="30">
        <v>3.3537731126993</v>
      </c>
      <c r="H189" s="30">
        <v>3.6505974587024199</v>
      </c>
      <c r="I189" s="30">
        <v>4.3568820121911003</v>
      </c>
      <c r="J189" s="30">
        <v>4.5078141822935001</v>
      </c>
      <c r="K189" s="30">
        <v>4.6839812268467398</v>
      </c>
      <c r="L189" s="30">
        <v>4.8899375105341996</v>
      </c>
      <c r="M189" s="30">
        <v>5.1444321878628703</v>
      </c>
      <c r="N189" s="30">
        <v>1.5403424738722999</v>
      </c>
      <c r="O189" s="30">
        <v>1.6327675348867301</v>
      </c>
      <c r="P189" s="30">
        <v>1.66012355054261</v>
      </c>
      <c r="Q189" s="30">
        <v>1.7407822022453101</v>
      </c>
      <c r="R189" s="30">
        <v>1.95404968129288</v>
      </c>
      <c r="S189" s="30">
        <v>2.1484321433079199</v>
      </c>
      <c r="T189" s="30">
        <v>2.3680260387719301</v>
      </c>
      <c r="U189" s="30">
        <v>2.4416276300264799</v>
      </c>
      <c r="V189" s="30">
        <v>2.49138174767584</v>
      </c>
      <c r="W189" s="30">
        <v>2.6869284751531799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0</v>
      </c>
      <c r="AD189" s="30">
        <v>0</v>
      </c>
      <c r="AE189" s="30">
        <v>0</v>
      </c>
      <c r="AF189" s="30">
        <v>0</v>
      </c>
      <c r="AG189" s="30">
        <v>0</v>
      </c>
      <c r="AH189" s="30">
        <v>0</v>
      </c>
      <c r="AI189" s="30">
        <v>0</v>
      </c>
      <c r="AJ189" s="30">
        <v>0</v>
      </c>
      <c r="AK189" s="30">
        <v>0</v>
      </c>
      <c r="AL189" s="27">
        <f t="shared" si="4"/>
        <v>5.1783102228290199</v>
      </c>
      <c r="AM189" s="26">
        <f t="shared" si="5"/>
        <v>5178.3102228290199</v>
      </c>
    </row>
    <row r="190" spans="1:40" s="30" customFormat="1" x14ac:dyDescent="0.25">
      <c r="A190" s="29" t="s">
        <v>103</v>
      </c>
      <c r="B190" s="30">
        <v>15.4446913426581</v>
      </c>
      <c r="C190" s="30">
        <v>17.035610311457599</v>
      </c>
      <c r="D190" s="30">
        <v>18.920685305251201</v>
      </c>
      <c r="E190" s="30">
        <v>20.639827824267101</v>
      </c>
      <c r="F190" s="30">
        <v>20.2752224709064</v>
      </c>
      <c r="G190" s="30">
        <v>21.763325520258199</v>
      </c>
      <c r="H190" s="30">
        <v>22.7534136748192</v>
      </c>
      <c r="I190" s="30">
        <v>24.068045703268901</v>
      </c>
      <c r="J190" s="30">
        <v>25.2877919372863</v>
      </c>
      <c r="K190" s="30">
        <v>26.695225112761999</v>
      </c>
      <c r="L190" s="30">
        <v>27.967416661968699</v>
      </c>
      <c r="M190" s="30">
        <v>28.5758378114934</v>
      </c>
      <c r="N190" s="30">
        <v>5.8769914330983699</v>
      </c>
      <c r="O190" s="30">
        <v>6.08048630338482</v>
      </c>
      <c r="P190" s="30">
        <v>6.3123924587333997</v>
      </c>
      <c r="Q190" s="30">
        <v>6.6537772358574498</v>
      </c>
      <c r="R190" s="30">
        <v>6.8667969462211902</v>
      </c>
      <c r="S190" s="30">
        <v>7.1456128392781002</v>
      </c>
      <c r="T190" s="30">
        <v>7.2119084451383904</v>
      </c>
      <c r="U190" s="30">
        <v>7.4288824714137096</v>
      </c>
      <c r="V190" s="30">
        <v>7.5289157445642001</v>
      </c>
      <c r="W190" s="30">
        <v>7.6788573518892802</v>
      </c>
      <c r="X190" s="30">
        <v>0</v>
      </c>
      <c r="Y190" s="30">
        <v>0</v>
      </c>
      <c r="Z190" s="30">
        <v>0</v>
      </c>
      <c r="AA190" s="30">
        <v>0</v>
      </c>
      <c r="AB190" s="30">
        <v>0</v>
      </c>
      <c r="AC190" s="30">
        <v>0</v>
      </c>
      <c r="AD190" s="30">
        <v>0</v>
      </c>
      <c r="AE190" s="30">
        <v>0</v>
      </c>
      <c r="AF190" s="30">
        <v>0</v>
      </c>
      <c r="AG190" s="30">
        <v>0</v>
      </c>
      <c r="AH190" s="30">
        <v>0</v>
      </c>
      <c r="AI190" s="30">
        <v>0</v>
      </c>
      <c r="AJ190" s="30">
        <v>0</v>
      </c>
      <c r="AK190" s="30">
        <v>0</v>
      </c>
      <c r="AL190" s="27">
        <f t="shared" si="4"/>
        <v>15.207773096453479</v>
      </c>
      <c r="AM190" s="26">
        <f t="shared" si="5"/>
        <v>15207.773096453479</v>
      </c>
      <c r="AN190" s="30">
        <f>AM190+AM200</f>
        <v>15213.443394093023</v>
      </c>
    </row>
    <row r="191" spans="1:40" s="30" customFormat="1" x14ac:dyDescent="0.25">
      <c r="A191" s="29" t="s">
        <v>104</v>
      </c>
      <c r="B191" s="30">
        <v>0</v>
      </c>
      <c r="C191" s="30">
        <v>0</v>
      </c>
      <c r="D191" s="30">
        <v>0</v>
      </c>
      <c r="E191" s="30">
        <v>0</v>
      </c>
      <c r="F191" s="30">
        <v>0</v>
      </c>
      <c r="G191" s="30">
        <v>0</v>
      </c>
      <c r="H191" s="30">
        <v>0.65778838986839705</v>
      </c>
      <c r="I191" s="30">
        <v>1.470662428047</v>
      </c>
      <c r="J191" s="30">
        <v>1.8010757402861799</v>
      </c>
      <c r="K191" s="30">
        <v>2.5573001077975199</v>
      </c>
      <c r="L191" s="30">
        <v>3.4222974376030701</v>
      </c>
      <c r="M191" s="30">
        <v>4.4127416701662296</v>
      </c>
      <c r="N191" s="30">
        <v>1.16462720178099</v>
      </c>
      <c r="O191" s="30">
        <v>1.2808972027329899</v>
      </c>
      <c r="P191" s="30">
        <v>1.48819285878239</v>
      </c>
      <c r="Q191" s="30">
        <v>1.5675951146254401</v>
      </c>
      <c r="R191" s="30">
        <v>1.5969228354811</v>
      </c>
      <c r="S191" s="30">
        <v>1.79432581472485</v>
      </c>
      <c r="T191" s="30">
        <v>2.02793266761303</v>
      </c>
      <c r="U191" s="30">
        <v>2.1706510309660199</v>
      </c>
      <c r="V191" s="30">
        <v>2.3000035709889199</v>
      </c>
      <c r="W191" s="30">
        <v>2.3406496141764599</v>
      </c>
      <c r="X191" s="30">
        <v>2.3774911705878701</v>
      </c>
      <c r="Y191" s="30">
        <v>2.4168025118623899</v>
      </c>
      <c r="Z191" s="30">
        <v>2.2067435272657701</v>
      </c>
      <c r="AA191" s="30">
        <v>2.2410096245098101</v>
      </c>
      <c r="AB191" s="30">
        <v>2.2775360264801101</v>
      </c>
      <c r="AC191" s="30">
        <v>2.3223907089508402</v>
      </c>
      <c r="AD191" s="30">
        <v>2.3580272951408698</v>
      </c>
      <c r="AE191" s="30">
        <v>2.3942131500701</v>
      </c>
      <c r="AF191" s="30">
        <v>2.4374060024736899</v>
      </c>
      <c r="AG191" s="30">
        <v>2.4650475621896701</v>
      </c>
      <c r="AH191" s="30">
        <v>2.4909892061462502</v>
      </c>
      <c r="AI191" s="30">
        <v>2.51015930459105</v>
      </c>
      <c r="AJ191" s="30">
        <v>0</v>
      </c>
      <c r="AK191" s="30">
        <v>0</v>
      </c>
      <c r="AL191" s="27">
        <f t="shared" si="4"/>
        <v>33.138469275433806</v>
      </c>
      <c r="AM191" s="26">
        <f t="shared" si="5"/>
        <v>33138.469275433803</v>
      </c>
      <c r="AN191" s="30">
        <f>AM191+AM201</f>
        <v>42246.704691041406</v>
      </c>
    </row>
    <row r="192" spans="1:40" s="30" customFormat="1" x14ac:dyDescent="0.25">
      <c r="A192" s="29" t="s">
        <v>105</v>
      </c>
      <c r="B192" s="30">
        <v>0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0</v>
      </c>
      <c r="AA192" s="30">
        <v>3.0208051394528001E-3</v>
      </c>
      <c r="AB192" s="30">
        <v>6.2658687976593803E-3</v>
      </c>
      <c r="AC192" s="30">
        <v>9.4806768803273895E-3</v>
      </c>
      <c r="AD192" s="30">
        <v>1.26799594611425E-2</v>
      </c>
      <c r="AE192" s="30">
        <v>0.51733191261824796</v>
      </c>
      <c r="AF192" s="30">
        <v>1.00577841564649</v>
      </c>
      <c r="AG192" s="30">
        <v>1.49160901206145</v>
      </c>
      <c r="AH192" s="30">
        <v>1.9787995651466199</v>
      </c>
      <c r="AI192" s="30">
        <v>2.4661568686628899</v>
      </c>
      <c r="AJ192" s="30">
        <v>2.9565522255766701</v>
      </c>
      <c r="AK192" s="30">
        <v>3.4712850921615499</v>
      </c>
      <c r="AL192" s="27">
        <f t="shared" si="4"/>
        <v>7.49112308441428</v>
      </c>
      <c r="AM192" s="26">
        <f t="shared" si="5"/>
        <v>7491.1230844142801</v>
      </c>
    </row>
    <row r="193" spans="1:40" s="30" customFormat="1" x14ac:dyDescent="0.25">
      <c r="A193" s="29" t="s">
        <v>106</v>
      </c>
      <c r="B193" s="30">
        <v>0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0.28775992300284098</v>
      </c>
      <c r="R193" s="30">
        <v>3.8351577127676202E-3</v>
      </c>
      <c r="S193" s="30">
        <v>4.9212544615113204E-3</v>
      </c>
      <c r="T193" s="30">
        <v>0.28775992300284098</v>
      </c>
      <c r="U193" s="30">
        <v>1.0039589532551001</v>
      </c>
      <c r="V193" s="30">
        <v>1.8648261904891199</v>
      </c>
      <c r="W193" s="30">
        <v>2.4500346289218098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  <c r="AD193" s="30">
        <v>0</v>
      </c>
      <c r="AE193" s="30">
        <v>0</v>
      </c>
      <c r="AF193" s="30">
        <v>0</v>
      </c>
      <c r="AG193" s="30">
        <v>0</v>
      </c>
      <c r="AH193" s="30">
        <v>0</v>
      </c>
      <c r="AI193" s="30">
        <v>0</v>
      </c>
      <c r="AJ193" s="30">
        <v>0</v>
      </c>
      <c r="AK193" s="30">
        <v>0</v>
      </c>
      <c r="AL193" s="27">
        <f t="shared" si="4"/>
        <v>4.3148608194109297</v>
      </c>
      <c r="AM193" s="26">
        <f t="shared" si="5"/>
        <v>4314.8608194109293</v>
      </c>
    </row>
    <row r="194" spans="1:40" s="30" customFormat="1" x14ac:dyDescent="0.25">
      <c r="A194" s="29" t="s">
        <v>107</v>
      </c>
      <c r="B194" s="30">
        <v>0</v>
      </c>
      <c r="C194" s="30">
        <v>0</v>
      </c>
      <c r="D194" s="30">
        <v>0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6.95165498970536E-3</v>
      </c>
      <c r="AD194" s="30">
        <v>0.17973488788616801</v>
      </c>
      <c r="AE194" s="30">
        <v>0.52732687279719703</v>
      </c>
      <c r="AF194" s="30">
        <v>0.86510692120557098</v>
      </c>
      <c r="AG194" s="30">
        <v>1.20136247603574</v>
      </c>
      <c r="AH194" s="30">
        <v>1.5385182653275</v>
      </c>
      <c r="AI194" s="30">
        <v>1.8758467612615199</v>
      </c>
      <c r="AJ194" s="30">
        <v>0</v>
      </c>
      <c r="AK194" s="30">
        <v>0</v>
      </c>
      <c r="AL194" s="27">
        <f t="shared" si="4"/>
        <v>6.1948478395034012</v>
      </c>
      <c r="AM194" s="26">
        <f t="shared" si="5"/>
        <v>6194.8478395034008</v>
      </c>
    </row>
    <row r="195" spans="1:40" s="30" customFormat="1" x14ac:dyDescent="0.25">
      <c r="A195" s="29" t="s">
        <v>108</v>
      </c>
      <c r="B195" s="30">
        <v>0</v>
      </c>
      <c r="C195" s="30">
        <v>0</v>
      </c>
      <c r="D195" s="30">
        <v>0</v>
      </c>
      <c r="E195" s="30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1.01695984630846E-2</v>
      </c>
      <c r="P195" s="30">
        <v>2.0401925734578701E-2</v>
      </c>
      <c r="Q195" s="30">
        <v>5.5196536799915999E-2</v>
      </c>
      <c r="R195" s="30">
        <v>6.48807136107378E-2</v>
      </c>
      <c r="S195" s="30">
        <v>7.8445755245531198E-2</v>
      </c>
      <c r="T195" s="30">
        <v>9.4825006589665806E-2</v>
      </c>
      <c r="U195" s="30">
        <v>0.11092831562420501</v>
      </c>
      <c r="V195" s="30">
        <v>0.13813902765327099</v>
      </c>
      <c r="W195" s="30">
        <v>0.143739951101437</v>
      </c>
      <c r="X195" s="30">
        <v>0.51067072297357297</v>
      </c>
      <c r="Y195" s="30">
        <v>1.0009346694366199</v>
      </c>
      <c r="Z195" s="30">
        <v>1.2569057595420501</v>
      </c>
      <c r="AA195" s="30">
        <v>0</v>
      </c>
      <c r="AB195" s="30">
        <v>0</v>
      </c>
      <c r="AC195" s="30">
        <v>0</v>
      </c>
      <c r="AD195" s="30">
        <v>0</v>
      </c>
      <c r="AE195" s="30">
        <v>0</v>
      </c>
      <c r="AF195" s="30">
        <v>0</v>
      </c>
      <c r="AG195" s="30">
        <v>0</v>
      </c>
      <c r="AH195" s="30">
        <v>0</v>
      </c>
      <c r="AI195" s="30">
        <v>0</v>
      </c>
      <c r="AJ195" s="30">
        <v>0</v>
      </c>
      <c r="AK195" s="30">
        <v>0</v>
      </c>
      <c r="AL195" s="27">
        <f t="shared" si="4"/>
        <v>3.0503901307069512</v>
      </c>
      <c r="AM195" s="26">
        <f t="shared" si="5"/>
        <v>3050.3901307069514</v>
      </c>
    </row>
    <row r="196" spans="1:40" s="30" customFormat="1" x14ac:dyDescent="0.25">
      <c r="A196" s="29" t="s">
        <v>109</v>
      </c>
      <c r="B196" s="30">
        <v>0</v>
      </c>
      <c r="C196" s="30">
        <v>0</v>
      </c>
      <c r="D196" s="30">
        <v>0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0</v>
      </c>
      <c r="AE196" s="30">
        <v>0</v>
      </c>
      <c r="AF196" s="30">
        <v>0</v>
      </c>
      <c r="AG196" s="30">
        <v>0</v>
      </c>
      <c r="AH196" s="30">
        <v>0</v>
      </c>
      <c r="AI196" s="30">
        <v>0</v>
      </c>
      <c r="AJ196" s="30">
        <v>0</v>
      </c>
      <c r="AK196" s="30">
        <v>0</v>
      </c>
      <c r="AL196" s="27">
        <f t="shared" si="4"/>
        <v>0</v>
      </c>
      <c r="AM196" s="26">
        <f t="shared" si="5"/>
        <v>0</v>
      </c>
    </row>
    <row r="197" spans="1:40" s="30" customFormat="1" x14ac:dyDescent="0.25">
      <c r="A197" s="29" t="s">
        <v>110</v>
      </c>
      <c r="B197" s="30">
        <v>0</v>
      </c>
      <c r="C197" s="30">
        <v>0</v>
      </c>
      <c r="D197" s="30">
        <v>0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30">
        <v>1.59612097431906E-2</v>
      </c>
      <c r="X197" s="30">
        <v>4.6139089600249601E-2</v>
      </c>
      <c r="Y197" s="30">
        <v>7.9387964434861402E-2</v>
      </c>
      <c r="Z197" s="30">
        <v>0</v>
      </c>
      <c r="AA197" s="30">
        <v>0</v>
      </c>
      <c r="AB197" s="30">
        <v>0</v>
      </c>
      <c r="AC197" s="30">
        <v>0</v>
      </c>
      <c r="AD197" s="30">
        <v>0</v>
      </c>
      <c r="AE197" s="30">
        <v>0</v>
      </c>
      <c r="AF197" s="30">
        <v>0</v>
      </c>
      <c r="AG197" s="30">
        <v>0</v>
      </c>
      <c r="AH197" s="30">
        <v>0</v>
      </c>
      <c r="AI197" s="30">
        <v>0</v>
      </c>
      <c r="AJ197" s="30">
        <v>0</v>
      </c>
      <c r="AK197" s="30">
        <v>0</v>
      </c>
      <c r="AL197" s="27">
        <f t="shared" si="4"/>
        <v>0.14148826377830159</v>
      </c>
      <c r="AM197" s="26">
        <f t="shared" si="5"/>
        <v>141.48826377830159</v>
      </c>
    </row>
    <row r="198" spans="1:40" s="30" customFormat="1" x14ac:dyDescent="0.25">
      <c r="A198" s="29" t="s">
        <v>111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8.9690011535697098E-2</v>
      </c>
      <c r="X198" s="30">
        <v>0.126465818756128</v>
      </c>
      <c r="Y198" s="30">
        <v>0.16697111875663001</v>
      </c>
      <c r="Z198" s="30">
        <v>0.187095067899988</v>
      </c>
      <c r="AA198" s="30">
        <v>0.42336853756605602</v>
      </c>
      <c r="AB198" s="30">
        <v>0</v>
      </c>
      <c r="AC198" s="30">
        <v>0</v>
      </c>
      <c r="AD198" s="30">
        <v>0</v>
      </c>
      <c r="AE198" s="30">
        <v>0</v>
      </c>
      <c r="AF198" s="30">
        <v>0</v>
      </c>
      <c r="AG198" s="30">
        <v>0</v>
      </c>
      <c r="AH198" s="30">
        <v>0</v>
      </c>
      <c r="AI198" s="30">
        <v>0</v>
      </c>
      <c r="AJ198" s="30">
        <v>0</v>
      </c>
      <c r="AK198" s="30">
        <v>0</v>
      </c>
      <c r="AL198" s="27">
        <f t="shared" si="4"/>
        <v>0.99359055451449918</v>
      </c>
      <c r="AM198" s="26">
        <f t="shared" si="5"/>
        <v>993.59055451449922</v>
      </c>
    </row>
    <row r="199" spans="1:40" s="30" customFormat="1" x14ac:dyDescent="0.25">
      <c r="A199" s="29" t="s">
        <v>112</v>
      </c>
      <c r="B199" s="30">
        <v>0</v>
      </c>
      <c r="C199" s="30">
        <v>0</v>
      </c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8.0566011715910907E-2</v>
      </c>
      <c r="R199" s="30">
        <v>0.110005176036791</v>
      </c>
      <c r="S199" s="30">
        <v>0.25344066210300098</v>
      </c>
      <c r="T199" s="30">
        <v>0.29292652621126403</v>
      </c>
      <c r="U199" s="30">
        <v>0.35964853380043199</v>
      </c>
      <c r="V199" s="30">
        <v>0.48724080666189401</v>
      </c>
      <c r="W199" s="30">
        <v>0.60113160956072398</v>
      </c>
      <c r="X199" s="30">
        <v>0.78174814900727096</v>
      </c>
      <c r="Y199" s="30">
        <v>0.95280831094712504</v>
      </c>
      <c r="Z199" s="30">
        <v>0</v>
      </c>
      <c r="AA199" s="30">
        <v>0</v>
      </c>
      <c r="AB199" s="30">
        <v>0</v>
      </c>
      <c r="AC199" s="30">
        <v>0</v>
      </c>
      <c r="AD199" s="30">
        <v>0</v>
      </c>
      <c r="AE199" s="30">
        <v>0</v>
      </c>
      <c r="AF199" s="30">
        <v>0</v>
      </c>
      <c r="AG199" s="30">
        <v>0</v>
      </c>
      <c r="AH199" s="30">
        <v>0</v>
      </c>
      <c r="AI199" s="30">
        <v>0</v>
      </c>
      <c r="AJ199" s="30">
        <v>0</v>
      </c>
      <c r="AK199" s="30">
        <v>0</v>
      </c>
      <c r="AL199" s="27">
        <f t="shared" ref="AL199:AL262" si="6">SUM(V199:AI199)</f>
        <v>2.8229288761770142</v>
      </c>
      <c r="AM199" s="26">
        <f t="shared" ref="AM199:AM262" si="7">AL199*1000</f>
        <v>2822.928876177014</v>
      </c>
    </row>
    <row r="200" spans="1:40" s="30" customFormat="1" x14ac:dyDescent="0.25">
      <c r="A200" s="29" t="s">
        <v>113</v>
      </c>
      <c r="B200" s="30">
        <v>0</v>
      </c>
      <c r="C200" s="30">
        <v>0</v>
      </c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5.6702976395442903E-3</v>
      </c>
      <c r="X200" s="30">
        <v>0</v>
      </c>
      <c r="Y200" s="30">
        <v>0</v>
      </c>
      <c r="Z200" s="30">
        <v>0</v>
      </c>
      <c r="AA200" s="30">
        <v>0</v>
      </c>
      <c r="AB200" s="30">
        <v>0</v>
      </c>
      <c r="AC200" s="30">
        <v>0</v>
      </c>
      <c r="AD200" s="30">
        <v>0</v>
      </c>
      <c r="AE200" s="30">
        <v>0</v>
      </c>
      <c r="AF200" s="30">
        <v>0</v>
      </c>
      <c r="AG200" s="30">
        <v>0</v>
      </c>
      <c r="AH200" s="30">
        <v>0</v>
      </c>
      <c r="AI200" s="30">
        <v>0</v>
      </c>
      <c r="AJ200" s="30">
        <v>0</v>
      </c>
      <c r="AK200" s="30">
        <v>0</v>
      </c>
      <c r="AL200" s="27">
        <f t="shared" si="6"/>
        <v>5.6702976395442903E-3</v>
      </c>
      <c r="AM200" s="26">
        <f t="shared" si="7"/>
        <v>5.6702976395442901</v>
      </c>
    </row>
    <row r="201" spans="1:40" s="30" customFormat="1" x14ac:dyDescent="0.25">
      <c r="A201" s="29" t="s">
        <v>114</v>
      </c>
      <c r="B201" s="30">
        <v>0</v>
      </c>
      <c r="C201" s="30">
        <v>0</v>
      </c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0.10924087381384601</v>
      </c>
      <c r="X201" s="30">
        <v>0.207044980759133</v>
      </c>
      <c r="Y201" s="30">
        <v>0.31223503428844301</v>
      </c>
      <c r="Z201" s="30">
        <v>0.40695633586558</v>
      </c>
      <c r="AA201" s="30">
        <v>0.49873776436380501</v>
      </c>
      <c r="AB201" s="30">
        <v>0.59728057285143898</v>
      </c>
      <c r="AC201" s="30">
        <v>0.72078865401463399</v>
      </c>
      <c r="AD201" s="30">
        <v>0.816622842812183</v>
      </c>
      <c r="AE201" s="30">
        <v>0.91408519954440504</v>
      </c>
      <c r="AF201" s="30">
        <v>1.0325488755958301</v>
      </c>
      <c r="AG201" s="30">
        <v>1.10433896559783</v>
      </c>
      <c r="AH201" s="30">
        <v>1.17100956539046</v>
      </c>
      <c r="AI201" s="30">
        <v>1.21734575071002</v>
      </c>
      <c r="AJ201" s="30">
        <v>0</v>
      </c>
      <c r="AK201" s="30">
        <v>0</v>
      </c>
      <c r="AL201" s="27">
        <f t="shared" si="6"/>
        <v>9.1082354156076075</v>
      </c>
      <c r="AM201" s="26">
        <f t="shared" si="7"/>
        <v>9108.2354156076071</v>
      </c>
    </row>
    <row r="202" spans="1:40" s="30" customFormat="1" x14ac:dyDescent="0.25">
      <c r="A202" s="29" t="s">
        <v>115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4.7446990005204897E-3</v>
      </c>
      <c r="X202" s="30">
        <v>2.7670071670936401E-2</v>
      </c>
      <c r="Y202" s="30">
        <v>3.2614231576488302E-2</v>
      </c>
      <c r="Z202" s="30">
        <v>3.3713561782675802E-2</v>
      </c>
      <c r="AA202" s="30">
        <v>5.4932651565209697E-2</v>
      </c>
      <c r="AB202" s="30">
        <v>7.7241780074835897E-2</v>
      </c>
      <c r="AC202" s="30">
        <v>0.103825063731817</v>
      </c>
      <c r="AD202" s="30">
        <v>0.139107649437783</v>
      </c>
      <c r="AE202" s="30">
        <v>0.174591313726218</v>
      </c>
      <c r="AF202" s="30">
        <v>0.26090775833584001</v>
      </c>
      <c r="AG202" s="30">
        <v>0.51811694931447305</v>
      </c>
      <c r="AH202" s="30">
        <v>0.77596461070407796</v>
      </c>
      <c r="AI202" s="30">
        <v>1.0340144001631899</v>
      </c>
      <c r="AJ202" s="30">
        <v>0</v>
      </c>
      <c r="AK202" s="30">
        <v>0</v>
      </c>
      <c r="AL202" s="27">
        <f t="shared" si="6"/>
        <v>3.2374447410840652</v>
      </c>
      <c r="AM202" s="26">
        <f t="shared" si="7"/>
        <v>3237.4447410840653</v>
      </c>
    </row>
    <row r="203" spans="1:40" s="30" customFormat="1" x14ac:dyDescent="0.25">
      <c r="A203" s="29" t="s">
        <v>116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1.92535534292916E-3</v>
      </c>
      <c r="Z203" s="30">
        <v>3.5116759525077698E-3</v>
      </c>
      <c r="AA203" s="30">
        <v>5.1678870707001501E-3</v>
      </c>
      <c r="AB203" s="30">
        <v>6.93227632473106E-3</v>
      </c>
      <c r="AC203" s="30">
        <v>8.6824818103209498E-3</v>
      </c>
      <c r="AD203" s="30">
        <v>1.04255859358547E-2</v>
      </c>
      <c r="AE203" s="30">
        <v>2.7807736416045298E-2</v>
      </c>
      <c r="AF203" s="30">
        <v>0.11206830181017199</v>
      </c>
      <c r="AG203" s="30">
        <v>0.34657214526740299</v>
      </c>
      <c r="AH203" s="30">
        <v>0.54820203800449596</v>
      </c>
      <c r="AI203" s="30">
        <v>0.74993437812036601</v>
      </c>
      <c r="AJ203" s="30">
        <v>0.78485672368402504</v>
      </c>
      <c r="AK203" s="30">
        <v>0.80376025313486499</v>
      </c>
      <c r="AL203" s="27">
        <f t="shared" si="6"/>
        <v>1.8212298620555261</v>
      </c>
      <c r="AM203" s="26">
        <f t="shared" si="7"/>
        <v>1821.2298620555262</v>
      </c>
    </row>
    <row r="204" spans="1:40" s="30" customFormat="1" x14ac:dyDescent="0.25">
      <c r="A204" s="29" t="s">
        <v>117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7.70142137171665E-4</v>
      </c>
      <c r="Z204" s="30">
        <v>1.4046703810031E-3</v>
      </c>
      <c r="AA204" s="30">
        <v>3.0571455314439299E-3</v>
      </c>
      <c r="AB204" s="30">
        <v>2.0614826056114598E-2</v>
      </c>
      <c r="AC204" s="30">
        <v>0.159684478352214</v>
      </c>
      <c r="AD204" s="30">
        <v>0.19452179900174699</v>
      </c>
      <c r="AE204" s="30">
        <v>0.229594038332641</v>
      </c>
      <c r="AF204" s="30">
        <v>0.39842365350221998</v>
      </c>
      <c r="AG204" s="30">
        <v>0.56649091477040103</v>
      </c>
      <c r="AH204" s="30">
        <v>0.735008185967158</v>
      </c>
      <c r="AI204" s="30">
        <v>0.83669159843561502</v>
      </c>
      <c r="AJ204" s="30">
        <v>0.905360398759114</v>
      </c>
      <c r="AK204" s="30">
        <v>1.00503227333603</v>
      </c>
      <c r="AL204" s="27">
        <f t="shared" si="6"/>
        <v>3.146261452467729</v>
      </c>
      <c r="AM204" s="26">
        <f t="shared" si="7"/>
        <v>3146.2614524677292</v>
      </c>
    </row>
    <row r="205" spans="1:40" s="30" customFormat="1" x14ac:dyDescent="0.25">
      <c r="A205" s="29" t="s">
        <v>118</v>
      </c>
      <c r="B205" s="30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6.3303303026833499E-2</v>
      </c>
      <c r="X205" s="30">
        <v>0.38209150002680398</v>
      </c>
      <c r="Y205" s="30">
        <v>0.76786568217510198</v>
      </c>
      <c r="Z205" s="30">
        <v>0</v>
      </c>
      <c r="AA205" s="30">
        <v>0</v>
      </c>
      <c r="AB205" s="30">
        <v>0</v>
      </c>
      <c r="AC205" s="30">
        <v>0</v>
      </c>
      <c r="AD205" s="30">
        <v>0</v>
      </c>
      <c r="AE205" s="30">
        <v>0</v>
      </c>
      <c r="AF205" s="30">
        <v>0</v>
      </c>
      <c r="AG205" s="30">
        <v>0</v>
      </c>
      <c r="AH205" s="30">
        <v>0</v>
      </c>
      <c r="AI205" s="30">
        <v>0</v>
      </c>
      <c r="AJ205" s="30">
        <v>0</v>
      </c>
      <c r="AK205" s="30">
        <v>0</v>
      </c>
      <c r="AL205" s="27">
        <f t="shared" si="6"/>
        <v>1.2132604852287394</v>
      </c>
      <c r="AM205" s="26">
        <f t="shared" si="7"/>
        <v>1213.2604852287395</v>
      </c>
    </row>
    <row r="206" spans="1:40" s="30" customFormat="1" x14ac:dyDescent="0.25">
      <c r="A206" s="29" t="s">
        <v>119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  <c r="Z206" s="30">
        <v>0</v>
      </c>
      <c r="AA206" s="30">
        <v>0</v>
      </c>
      <c r="AB206" s="30">
        <v>0</v>
      </c>
      <c r="AC206" s="30">
        <v>0</v>
      </c>
      <c r="AD206" s="30">
        <v>0</v>
      </c>
      <c r="AE206" s="30">
        <v>0</v>
      </c>
      <c r="AF206" s="30">
        <v>0</v>
      </c>
      <c r="AG206" s="30">
        <v>0</v>
      </c>
      <c r="AH206" s="30">
        <v>0</v>
      </c>
      <c r="AI206" s="30">
        <v>0</v>
      </c>
      <c r="AJ206" s="30">
        <v>0</v>
      </c>
      <c r="AK206" s="30">
        <v>0</v>
      </c>
      <c r="AL206" s="27">
        <f t="shared" si="6"/>
        <v>0</v>
      </c>
      <c r="AM206" s="26">
        <f t="shared" si="7"/>
        <v>0</v>
      </c>
    </row>
    <row r="207" spans="1:40" s="30" customFormat="1" x14ac:dyDescent="0.25">
      <c r="A207" s="29" t="s">
        <v>120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30">
        <v>0</v>
      </c>
      <c r="AA207" s="30">
        <v>1.20832205578112E-2</v>
      </c>
      <c r="AB207" s="30">
        <v>2.5063475190637501E-2</v>
      </c>
      <c r="AC207" s="30">
        <v>3.7922707521309502E-2</v>
      </c>
      <c r="AD207" s="30">
        <v>5.0719837844570098E-2</v>
      </c>
      <c r="AE207" s="30">
        <v>2.0693276504729901</v>
      </c>
      <c r="AF207" s="30">
        <v>4.0231136625859802</v>
      </c>
      <c r="AG207" s="30">
        <v>5.9664360482458099</v>
      </c>
      <c r="AH207" s="30">
        <v>7.9151982605864903</v>
      </c>
      <c r="AI207" s="30">
        <v>9.8646274746515701</v>
      </c>
      <c r="AJ207" s="30">
        <v>11.8262089023066</v>
      </c>
      <c r="AK207" s="30">
        <v>13.8851403686462</v>
      </c>
      <c r="AL207" s="27">
        <f t="shared" si="6"/>
        <v>29.96449233765717</v>
      </c>
      <c r="AM207" s="26">
        <f t="shared" si="7"/>
        <v>29964.492337657171</v>
      </c>
      <c r="AN207" s="30">
        <f>AM207+AM192</f>
        <v>37455.615422071452</v>
      </c>
    </row>
    <row r="208" spans="1:40" x14ac:dyDescent="0.25">
      <c r="AL208" s="27">
        <f t="shared" si="6"/>
        <v>0</v>
      </c>
      <c r="AM208" s="26">
        <f t="shared" si="7"/>
        <v>0</v>
      </c>
    </row>
    <row r="209" spans="1:40" x14ac:dyDescent="0.25">
      <c r="A209" s="25" t="s">
        <v>126</v>
      </c>
      <c r="AL209" s="27">
        <f t="shared" si="6"/>
        <v>0</v>
      </c>
      <c r="AM209" s="26">
        <f t="shared" si="7"/>
        <v>0</v>
      </c>
    </row>
    <row r="210" spans="1:40" x14ac:dyDescent="0.25">
      <c r="A210" s="25" t="s">
        <v>89</v>
      </c>
      <c r="B210" s="26">
        <v>0.30429372541666599</v>
      </c>
      <c r="C210" s="26">
        <v>0.30690532041666602</v>
      </c>
      <c r="D210" s="26">
        <v>0.33924837999999902</v>
      </c>
      <c r="E210" s="26">
        <v>0.34538140875000001</v>
      </c>
      <c r="F210" s="26">
        <v>0.34792412874999901</v>
      </c>
      <c r="G210" s="26">
        <v>0.35092718749999902</v>
      </c>
      <c r="H210" s="26">
        <v>0.35313953708333301</v>
      </c>
      <c r="I210" s="26">
        <v>0.35668969291666602</v>
      </c>
      <c r="J210" s="26">
        <v>0.35861236874999902</v>
      </c>
      <c r="K210" s="26">
        <v>0.36091744583333302</v>
      </c>
      <c r="L210" s="26">
        <v>0.363096989166666</v>
      </c>
      <c r="M210" s="26">
        <v>0.36485602041666598</v>
      </c>
      <c r="N210" s="26">
        <v>0.368023883749999</v>
      </c>
      <c r="O210" s="26">
        <v>0.36923170958333301</v>
      </c>
      <c r="P210" s="26">
        <v>0.37084981291666602</v>
      </c>
      <c r="Q210" s="26">
        <v>0.37807389416666598</v>
      </c>
      <c r="R210" s="26">
        <v>0.39017291166666601</v>
      </c>
      <c r="S210" s="26">
        <v>0.40416530291666602</v>
      </c>
      <c r="T210" s="26">
        <v>0.40522573624999902</v>
      </c>
      <c r="U210" s="26">
        <v>0.438726149583333</v>
      </c>
      <c r="V210" s="26">
        <v>0.445770322083333</v>
      </c>
      <c r="W210" s="26">
        <v>0.45524250653978099</v>
      </c>
      <c r="X210" s="26">
        <v>0.45608293902221198</v>
      </c>
      <c r="Y210" s="26">
        <v>0.70730316589509801</v>
      </c>
      <c r="Z210" s="26">
        <v>0</v>
      </c>
      <c r="AA210" s="26">
        <v>0</v>
      </c>
      <c r="AB210" s="26">
        <v>0</v>
      </c>
      <c r="AC210" s="26">
        <v>0</v>
      </c>
      <c r="AD210" s="26">
        <v>0</v>
      </c>
      <c r="AE210" s="26">
        <v>0</v>
      </c>
      <c r="AF210" s="26">
        <v>0</v>
      </c>
      <c r="AG210" s="26">
        <v>0</v>
      </c>
      <c r="AH210" s="26">
        <v>0</v>
      </c>
      <c r="AI210" s="26">
        <v>0</v>
      </c>
      <c r="AJ210" s="26">
        <v>0</v>
      </c>
      <c r="AK210" s="26">
        <v>0</v>
      </c>
      <c r="AL210" s="27">
        <f t="shared" si="6"/>
        <v>2.0643989335404243</v>
      </c>
      <c r="AM210" s="26">
        <f t="shared" si="7"/>
        <v>2064.3989335404244</v>
      </c>
    </row>
    <row r="211" spans="1:40" x14ac:dyDescent="0.25">
      <c r="A211" s="25" t="s">
        <v>90</v>
      </c>
      <c r="B211" s="26">
        <v>0.35929413458333298</v>
      </c>
      <c r="C211" s="26">
        <v>0.43017396499999899</v>
      </c>
      <c r="D211" s="26">
        <v>0.54819015374999902</v>
      </c>
      <c r="E211" s="26">
        <v>0.62522723999999996</v>
      </c>
      <c r="F211" s="26">
        <v>0.68240609291666599</v>
      </c>
      <c r="G211" s="26">
        <v>0.71885647083333304</v>
      </c>
      <c r="H211" s="26">
        <v>0.72583794291666603</v>
      </c>
      <c r="I211" s="26">
        <v>0.84715495999999901</v>
      </c>
      <c r="J211" s="26">
        <v>0.85754871708333302</v>
      </c>
      <c r="K211" s="26">
        <v>0.86142529208333296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26">
        <v>0</v>
      </c>
      <c r="AA211" s="26">
        <v>0</v>
      </c>
      <c r="AB211" s="26">
        <v>0</v>
      </c>
      <c r="AC211" s="26">
        <v>0</v>
      </c>
      <c r="AD211" s="26">
        <v>0</v>
      </c>
      <c r="AE211" s="26">
        <v>0</v>
      </c>
      <c r="AF211" s="26">
        <v>0</v>
      </c>
      <c r="AG211" s="26">
        <v>0</v>
      </c>
      <c r="AH211" s="26">
        <v>0</v>
      </c>
      <c r="AI211" s="26">
        <v>0</v>
      </c>
      <c r="AJ211" s="26">
        <v>0</v>
      </c>
      <c r="AK211" s="26">
        <v>0</v>
      </c>
      <c r="AL211" s="27">
        <f t="shared" si="6"/>
        <v>0</v>
      </c>
      <c r="AM211" s="26">
        <f t="shared" si="7"/>
        <v>0</v>
      </c>
    </row>
    <row r="212" spans="1:40" x14ac:dyDescent="0.25">
      <c r="A212" s="25" t="s">
        <v>91</v>
      </c>
      <c r="B212" s="26">
        <v>0</v>
      </c>
      <c r="C212" s="26">
        <v>0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  <c r="T212" s="26">
        <v>0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26">
        <v>0</v>
      </c>
      <c r="AA212" s="26">
        <v>0</v>
      </c>
      <c r="AB212" s="26">
        <v>0</v>
      </c>
      <c r="AC212" s="26">
        <v>0</v>
      </c>
      <c r="AD212" s="26">
        <v>0</v>
      </c>
      <c r="AE212" s="26">
        <v>0</v>
      </c>
      <c r="AF212" s="26">
        <v>0</v>
      </c>
      <c r="AG212" s="26">
        <v>0</v>
      </c>
      <c r="AH212" s="26">
        <v>0</v>
      </c>
      <c r="AI212" s="26">
        <v>0</v>
      </c>
      <c r="AJ212" s="26">
        <v>0</v>
      </c>
      <c r="AK212" s="26">
        <v>0</v>
      </c>
      <c r="AL212" s="27">
        <f t="shared" si="6"/>
        <v>0</v>
      </c>
      <c r="AM212" s="26">
        <f t="shared" si="7"/>
        <v>0</v>
      </c>
    </row>
    <row r="213" spans="1:40" x14ac:dyDescent="0.25">
      <c r="A213" s="25" t="s">
        <v>92</v>
      </c>
      <c r="B213" s="26">
        <v>0</v>
      </c>
      <c r="C213" s="26">
        <v>0</v>
      </c>
      <c r="D213" s="26">
        <v>0</v>
      </c>
      <c r="E213" s="26">
        <v>0</v>
      </c>
      <c r="F213" s="26">
        <v>0</v>
      </c>
      <c r="G213" s="26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7.6269999999999897E-4</v>
      </c>
      <c r="N213" s="26">
        <v>8.4138304166666601E-3</v>
      </c>
      <c r="O213" s="26">
        <v>2.6515884166666601E-2</v>
      </c>
      <c r="P213" s="26">
        <v>2.75357295833333E-2</v>
      </c>
      <c r="Q213" s="26">
        <v>2.86956087499999E-2</v>
      </c>
      <c r="R213" s="26">
        <v>4.0178907916666597E-2</v>
      </c>
      <c r="S213" s="26">
        <v>4.0295947083333297E-2</v>
      </c>
      <c r="T213" s="26">
        <v>4.0407222499999999E-2</v>
      </c>
      <c r="U213" s="26">
        <v>4.0520467499999997E-2</v>
      </c>
      <c r="V213" s="26">
        <v>4.0632322916666602E-2</v>
      </c>
      <c r="W213" s="26">
        <v>4.0855650747463203E-2</v>
      </c>
      <c r="X213" s="26">
        <v>4.0930832116695202E-2</v>
      </c>
      <c r="Y213" s="26">
        <v>5.0364047610014701E-2</v>
      </c>
      <c r="Z213" s="26">
        <v>6.0098970782244097E-2</v>
      </c>
      <c r="AA213" s="26">
        <v>0.105475068403438</v>
      </c>
      <c r="AB213" s="26">
        <v>0.15318322421616501</v>
      </c>
      <c r="AC213" s="26">
        <v>0.20060558350730401</v>
      </c>
      <c r="AD213" s="26">
        <v>0.247893702998324</v>
      </c>
      <c r="AE213" s="26">
        <v>0.295450891647627</v>
      </c>
      <c r="AF213" s="26">
        <v>0.66399157032997902</v>
      </c>
      <c r="AG213" s="26">
        <v>1.3975681488138401</v>
      </c>
      <c r="AH213" s="26">
        <v>2.1329657854884099</v>
      </c>
      <c r="AI213" s="26">
        <v>2.8689397629868001</v>
      </c>
      <c r="AJ213" s="26">
        <v>0</v>
      </c>
      <c r="AK213" s="26">
        <v>0</v>
      </c>
      <c r="AL213" s="27">
        <f t="shared" si="6"/>
        <v>8.29895556256497</v>
      </c>
      <c r="AM213" s="26">
        <f t="shared" si="7"/>
        <v>8298.95556256497</v>
      </c>
    </row>
    <row r="214" spans="1:40" x14ac:dyDescent="0.25">
      <c r="A214" s="25" t="s">
        <v>93</v>
      </c>
      <c r="B214" s="26">
        <v>1.10564271416666</v>
      </c>
      <c r="C214" s="26">
        <v>1.1228257699999999</v>
      </c>
      <c r="D214" s="26">
        <v>1.1421605049999899</v>
      </c>
      <c r="E214" s="26">
        <v>1.44712500041666</v>
      </c>
      <c r="F214" s="26">
        <v>1.5475998020833299</v>
      </c>
      <c r="G214" s="26">
        <v>2.0702526524999998</v>
      </c>
      <c r="H214" s="26">
        <v>2.2782261524999998</v>
      </c>
      <c r="I214" s="26">
        <v>2.6724764158333301</v>
      </c>
      <c r="J214" s="26">
        <v>2.7208906108333299</v>
      </c>
      <c r="K214" s="26">
        <v>4.6447952829166601</v>
      </c>
      <c r="L214" s="26">
        <v>5.2002110404166597</v>
      </c>
      <c r="M214" s="26">
        <v>6.8422701499999903</v>
      </c>
      <c r="N214" s="26">
        <v>7.78641944041666</v>
      </c>
      <c r="O214" s="26">
        <v>9.8721325124999897</v>
      </c>
      <c r="P214" s="26">
        <v>10.025522248749899</v>
      </c>
      <c r="Q214" s="26">
        <v>16.547538088333301</v>
      </c>
      <c r="R214" s="26">
        <v>22.981420426666599</v>
      </c>
      <c r="S214" s="26">
        <v>23.157940176249902</v>
      </c>
      <c r="T214" s="26">
        <v>23.1847077562499</v>
      </c>
      <c r="U214" s="26">
        <v>26.727285345833302</v>
      </c>
      <c r="V214" s="26">
        <v>29.6292037562499</v>
      </c>
      <c r="W214" s="26">
        <v>29.683969427791901</v>
      </c>
      <c r="X214" s="26">
        <v>0</v>
      </c>
      <c r="Y214" s="26">
        <v>0</v>
      </c>
      <c r="Z214" s="26">
        <v>0</v>
      </c>
      <c r="AA214" s="26">
        <v>0</v>
      </c>
      <c r="AB214" s="26">
        <v>0</v>
      </c>
      <c r="AC214" s="26">
        <v>0</v>
      </c>
      <c r="AD214" s="26">
        <v>0</v>
      </c>
      <c r="AE214" s="26">
        <v>0</v>
      </c>
      <c r="AF214" s="26">
        <v>0</v>
      </c>
      <c r="AG214" s="26">
        <v>0</v>
      </c>
      <c r="AH214" s="26">
        <v>0</v>
      </c>
      <c r="AI214" s="26">
        <v>0</v>
      </c>
      <c r="AJ214" s="26">
        <v>0</v>
      </c>
      <c r="AK214" s="26">
        <v>0</v>
      </c>
      <c r="AL214" s="27">
        <f t="shared" si="6"/>
        <v>59.313173184041801</v>
      </c>
      <c r="AM214" s="26">
        <f t="shared" si="7"/>
        <v>59313.1731840418</v>
      </c>
    </row>
    <row r="215" spans="1:40" x14ac:dyDescent="0.25">
      <c r="A215" s="25" t="s">
        <v>94</v>
      </c>
      <c r="B215" s="26">
        <v>0.20685358041666599</v>
      </c>
      <c r="C215" s="26">
        <v>0.21447937208333301</v>
      </c>
      <c r="D215" s="26">
        <v>0.21923131208333299</v>
      </c>
      <c r="E215" s="26">
        <v>0.22030739333333299</v>
      </c>
      <c r="F215" s="26">
        <v>0.223925795833333</v>
      </c>
      <c r="G215" s="26">
        <v>0.225583713749999</v>
      </c>
      <c r="H215" s="26">
        <v>0.22912220916666601</v>
      </c>
      <c r="I215" s="26">
        <v>0</v>
      </c>
      <c r="J215" s="26">
        <v>0</v>
      </c>
      <c r="K215" s="26">
        <v>0.23381223416666599</v>
      </c>
      <c r="L215" s="26">
        <v>0.23535914249999901</v>
      </c>
      <c r="M215" s="26">
        <v>0.23767672583333299</v>
      </c>
      <c r="N215" s="26">
        <v>0.24805460541666599</v>
      </c>
      <c r="O215" s="26">
        <v>0.254091269583333</v>
      </c>
      <c r="P215" s="26">
        <v>0.259326313333333</v>
      </c>
      <c r="Q215" s="26">
        <v>0.27624673791666599</v>
      </c>
      <c r="R215" s="26">
        <v>0.32135797791666598</v>
      </c>
      <c r="S215" s="26">
        <v>0.55938147124999904</v>
      </c>
      <c r="T215" s="26">
        <v>1.01121650291666</v>
      </c>
      <c r="U215" s="26">
        <v>1.40207119249999</v>
      </c>
      <c r="V215" s="26">
        <v>1.4819394641666599</v>
      </c>
      <c r="W215" s="26">
        <v>1.5473069501121699</v>
      </c>
      <c r="X215" s="26">
        <v>0</v>
      </c>
      <c r="Y215" s="26">
        <v>0</v>
      </c>
      <c r="Z215" s="26">
        <v>0</v>
      </c>
      <c r="AA215" s="26">
        <v>0</v>
      </c>
      <c r="AB215" s="26">
        <v>0</v>
      </c>
      <c r="AC215" s="26">
        <v>0</v>
      </c>
      <c r="AD215" s="26">
        <v>0</v>
      </c>
      <c r="AE215" s="26">
        <v>0</v>
      </c>
      <c r="AF215" s="26">
        <v>0</v>
      </c>
      <c r="AG215" s="26">
        <v>0</v>
      </c>
      <c r="AH215" s="26">
        <v>0</v>
      </c>
      <c r="AI215" s="26">
        <v>0</v>
      </c>
      <c r="AJ215" s="26">
        <v>0</v>
      </c>
      <c r="AK215" s="26">
        <v>0</v>
      </c>
      <c r="AL215" s="27">
        <f t="shared" si="6"/>
        <v>3.0292464142788296</v>
      </c>
      <c r="AM215" s="26">
        <f t="shared" si="7"/>
        <v>3029.2464142788294</v>
      </c>
    </row>
    <row r="216" spans="1:40" x14ac:dyDescent="0.25">
      <c r="A216" s="25" t="s">
        <v>95</v>
      </c>
      <c r="B216" s="26">
        <v>0.23601404708333301</v>
      </c>
      <c r="C216" s="26">
        <v>0.26252253624999999</v>
      </c>
      <c r="D216" s="26">
        <v>0.401640647499999</v>
      </c>
      <c r="E216" s="26">
        <v>0.42926033208333297</v>
      </c>
      <c r="F216" s="26">
        <v>0.53354822291666604</v>
      </c>
      <c r="G216" s="26">
        <v>0.94605617333333303</v>
      </c>
      <c r="H216" s="26">
        <v>0.96584323583333298</v>
      </c>
      <c r="I216" s="26">
        <v>1.13480795375</v>
      </c>
      <c r="J216" s="26">
        <v>1.41565543291666</v>
      </c>
      <c r="K216" s="26">
        <v>1.46092508541666</v>
      </c>
      <c r="L216" s="26">
        <v>1.69635571291666</v>
      </c>
      <c r="M216" s="26">
        <v>1.7151720366666601</v>
      </c>
      <c r="N216" s="26">
        <v>2.27456272749999</v>
      </c>
      <c r="O216" s="26">
        <v>2.28620342416666</v>
      </c>
      <c r="P216" s="26">
        <v>2.6666831462499898</v>
      </c>
      <c r="Q216" s="26">
        <v>2.6219032916666598</v>
      </c>
      <c r="R216" s="26">
        <v>2.6047530662499998</v>
      </c>
      <c r="S216" s="26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</v>
      </c>
      <c r="Y216" s="26">
        <v>0</v>
      </c>
      <c r="Z216" s="26">
        <v>0</v>
      </c>
      <c r="AA216" s="26">
        <v>0</v>
      </c>
      <c r="AB216" s="26">
        <v>0</v>
      </c>
      <c r="AC216" s="26">
        <v>0</v>
      </c>
      <c r="AD216" s="26">
        <v>0</v>
      </c>
      <c r="AE216" s="26">
        <v>0</v>
      </c>
      <c r="AF216" s="26">
        <v>0</v>
      </c>
      <c r="AG216" s="26">
        <v>0</v>
      </c>
      <c r="AH216" s="26">
        <v>0</v>
      </c>
      <c r="AI216" s="26">
        <v>0</v>
      </c>
      <c r="AJ216" s="26">
        <v>0</v>
      </c>
      <c r="AK216" s="26">
        <v>0</v>
      </c>
      <c r="AL216" s="27">
        <f t="shared" si="6"/>
        <v>0</v>
      </c>
      <c r="AM216" s="26">
        <f t="shared" si="7"/>
        <v>0</v>
      </c>
    </row>
    <row r="217" spans="1:40" x14ac:dyDescent="0.25">
      <c r="A217" s="25" t="s">
        <v>96</v>
      </c>
      <c r="B217" s="26">
        <v>0</v>
      </c>
      <c r="C217" s="26">
        <v>0</v>
      </c>
      <c r="D217" s="26">
        <v>0</v>
      </c>
      <c r="E217" s="26">
        <v>0</v>
      </c>
      <c r="F217" s="26">
        <v>0.30357505708333299</v>
      </c>
      <c r="G217" s="26">
        <v>0.38384230833333299</v>
      </c>
      <c r="H217" s="26">
        <v>0.43981965499999898</v>
      </c>
      <c r="I217" s="26">
        <v>0.514844104999999</v>
      </c>
      <c r="J217" s="26">
        <v>1.2031008029166601</v>
      </c>
      <c r="K217" s="26">
        <v>1.2992467866666599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1.2159470416666599E-2</v>
      </c>
      <c r="R217" s="26">
        <v>1.2509875E-3</v>
      </c>
      <c r="S217" s="26">
        <v>1.21560145833333E-2</v>
      </c>
      <c r="T217" s="26">
        <v>1.2159470416666599E-2</v>
      </c>
      <c r="U217" s="26">
        <v>1.21629987499999E-2</v>
      </c>
      <c r="V217" s="26">
        <v>1.21664787499999E-2</v>
      </c>
      <c r="W217" s="26">
        <v>1.42377277716263E-2</v>
      </c>
      <c r="X217" s="26">
        <v>0</v>
      </c>
      <c r="Y217" s="26">
        <v>0</v>
      </c>
      <c r="Z217" s="26">
        <v>0</v>
      </c>
      <c r="AA217" s="26">
        <v>0</v>
      </c>
      <c r="AB217" s="26">
        <v>0</v>
      </c>
      <c r="AC217" s="26">
        <v>0</v>
      </c>
      <c r="AD217" s="26">
        <v>0</v>
      </c>
      <c r="AE217" s="26">
        <v>0</v>
      </c>
      <c r="AF217" s="26">
        <v>0</v>
      </c>
      <c r="AG217" s="26">
        <v>0</v>
      </c>
      <c r="AH217" s="26">
        <v>0</v>
      </c>
      <c r="AI217" s="26">
        <v>0</v>
      </c>
      <c r="AJ217" s="26">
        <v>0</v>
      </c>
      <c r="AK217" s="26">
        <v>0</v>
      </c>
      <c r="AL217" s="27">
        <f t="shared" si="6"/>
        <v>2.64042065216262E-2</v>
      </c>
      <c r="AM217" s="26">
        <f t="shared" si="7"/>
        <v>26.4042065216262</v>
      </c>
    </row>
    <row r="218" spans="1:40" x14ac:dyDescent="0.25">
      <c r="A218" s="25" t="s">
        <v>97</v>
      </c>
      <c r="B218" s="26">
        <v>0</v>
      </c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8.32942470833333E-2</v>
      </c>
      <c r="V218" s="26">
        <v>8.5266561249999998E-2</v>
      </c>
      <c r="W218" s="26">
        <v>8.7213156988582896E-2</v>
      </c>
      <c r="X218" s="26">
        <v>8.8727936604889299E-2</v>
      </c>
      <c r="Y218" s="26">
        <v>9.0364040304824506E-2</v>
      </c>
      <c r="Z218" s="26">
        <v>9.2060024505294394E-2</v>
      </c>
      <c r="AA218" s="26">
        <v>9.3635289119389106E-2</v>
      </c>
      <c r="AB218" s="26">
        <v>9.5303410904368099E-2</v>
      </c>
      <c r="AC218" s="26">
        <v>9.6959674917853997E-2</v>
      </c>
      <c r="AD218" s="26">
        <v>0.54069566322531704</v>
      </c>
      <c r="AE218" s="26">
        <v>0.98744110881298497</v>
      </c>
      <c r="AF218" s="26">
        <v>1.7098589816805401</v>
      </c>
      <c r="AG218" s="26">
        <v>2.42901481653456</v>
      </c>
      <c r="AH218" s="26">
        <v>3.15009622515253</v>
      </c>
      <c r="AI218" s="26">
        <v>3.8715466889068502</v>
      </c>
      <c r="AJ218" s="26">
        <v>0</v>
      </c>
      <c r="AK218" s="26">
        <v>0</v>
      </c>
      <c r="AL218" s="27">
        <f t="shared" si="6"/>
        <v>13.418183578907986</v>
      </c>
      <c r="AM218" s="26">
        <f t="shared" si="7"/>
        <v>13418.183578907985</v>
      </c>
    </row>
    <row r="219" spans="1:40" x14ac:dyDescent="0.25">
      <c r="A219" s="25" t="s">
        <v>98</v>
      </c>
      <c r="B219" s="26">
        <v>0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3.6749673987499998</v>
      </c>
      <c r="L219" s="26">
        <v>4.8852262595833302</v>
      </c>
      <c r="M219" s="26">
        <v>7.36940078166666</v>
      </c>
      <c r="N219" s="26">
        <v>5.9486904433333301</v>
      </c>
      <c r="O219" s="26">
        <v>7.0824429420833299</v>
      </c>
      <c r="P219" s="26">
        <v>7.7510956641666597</v>
      </c>
      <c r="Q219" s="26">
        <v>0.18009277916666599</v>
      </c>
      <c r="R219" s="26">
        <v>0.18442643041666601</v>
      </c>
      <c r="S219" s="26">
        <v>0.65889936958333295</v>
      </c>
      <c r="T219" s="26">
        <v>0.93238336208333294</v>
      </c>
      <c r="U219" s="26">
        <v>0.98082278708333304</v>
      </c>
      <c r="V219" s="26">
        <v>1.02988457624999</v>
      </c>
      <c r="W219" s="26">
        <v>1.04223679415679</v>
      </c>
      <c r="X219" s="26">
        <v>0</v>
      </c>
      <c r="Y219" s="26">
        <v>0</v>
      </c>
      <c r="Z219" s="26">
        <v>0</v>
      </c>
      <c r="AA219" s="26">
        <v>0</v>
      </c>
      <c r="AB219" s="26">
        <v>0</v>
      </c>
      <c r="AC219" s="26">
        <v>0</v>
      </c>
      <c r="AD219" s="26">
        <v>0</v>
      </c>
      <c r="AE219" s="26">
        <v>0</v>
      </c>
      <c r="AF219" s="26">
        <v>0</v>
      </c>
      <c r="AG219" s="26">
        <v>0</v>
      </c>
      <c r="AH219" s="26">
        <v>0</v>
      </c>
      <c r="AI219" s="26">
        <v>0</v>
      </c>
      <c r="AJ219" s="26">
        <v>0</v>
      </c>
      <c r="AK219" s="26">
        <v>0</v>
      </c>
      <c r="AL219" s="27">
        <f t="shared" si="6"/>
        <v>2.07212137040678</v>
      </c>
      <c r="AM219" s="26">
        <f t="shared" si="7"/>
        <v>2072.12137040678</v>
      </c>
    </row>
    <row r="220" spans="1:40" x14ac:dyDescent="0.25">
      <c r="A220" s="25" t="s">
        <v>99</v>
      </c>
      <c r="B220" s="26">
        <v>0</v>
      </c>
      <c r="C220" s="26">
        <v>0</v>
      </c>
      <c r="D220" s="26">
        <v>0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9.8404733333333303E-3</v>
      </c>
      <c r="L220" s="26">
        <v>2.0081436666666602E-2</v>
      </c>
      <c r="M220" s="26">
        <v>5.3403306666666601E-2</v>
      </c>
      <c r="N220" s="26">
        <v>0.16272374875000001</v>
      </c>
      <c r="O220" s="26">
        <v>0.164100934583333</v>
      </c>
      <c r="P220" s="26">
        <v>0.186213325833333</v>
      </c>
      <c r="Q220" s="26">
        <v>0.199991660833333</v>
      </c>
      <c r="R220" s="26">
        <v>0.23820144458333301</v>
      </c>
      <c r="S220" s="26">
        <v>0.35366501708333298</v>
      </c>
      <c r="T220" s="26">
        <v>0.37340184916666602</v>
      </c>
      <c r="U220" s="26">
        <v>0.55941244083333297</v>
      </c>
      <c r="V220" s="26">
        <v>1.17349934291666</v>
      </c>
      <c r="W220" s="26">
        <v>1.92108072145648</v>
      </c>
      <c r="X220" s="26">
        <v>0</v>
      </c>
      <c r="Y220" s="26">
        <v>0</v>
      </c>
      <c r="Z220" s="26">
        <v>0</v>
      </c>
      <c r="AA220" s="26">
        <v>0</v>
      </c>
      <c r="AB220" s="26">
        <v>0</v>
      </c>
      <c r="AC220" s="26">
        <v>0</v>
      </c>
      <c r="AD220" s="26">
        <v>0</v>
      </c>
      <c r="AE220" s="26">
        <v>0</v>
      </c>
      <c r="AF220" s="26">
        <v>0</v>
      </c>
      <c r="AG220" s="26">
        <v>0</v>
      </c>
      <c r="AH220" s="26">
        <v>0</v>
      </c>
      <c r="AI220" s="26">
        <v>0</v>
      </c>
      <c r="AJ220" s="26">
        <v>0</v>
      </c>
      <c r="AK220" s="26">
        <v>0</v>
      </c>
      <c r="AL220" s="27">
        <f t="shared" si="6"/>
        <v>3.0945800643731403</v>
      </c>
      <c r="AM220" s="26">
        <f t="shared" si="7"/>
        <v>3094.5800643731404</v>
      </c>
    </row>
    <row r="221" spans="1:40" x14ac:dyDescent="0.25">
      <c r="A221" s="25" t="s">
        <v>100</v>
      </c>
      <c r="B221" s="26">
        <v>0</v>
      </c>
      <c r="C221" s="26">
        <v>0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0.27828766124999998</v>
      </c>
      <c r="L221" s="26">
        <v>0.28435616499999899</v>
      </c>
      <c r="M221" s="26">
        <v>0.28566030708333301</v>
      </c>
      <c r="N221" s="26">
        <v>0.72055417916666598</v>
      </c>
      <c r="O221" s="26">
        <v>0.89342425458333297</v>
      </c>
      <c r="P221" s="26">
        <v>1.1054398108333301</v>
      </c>
      <c r="Q221" s="26">
        <v>1.2840784212499901</v>
      </c>
      <c r="R221" s="26">
        <v>1.6638235854166601</v>
      </c>
      <c r="S221" s="26">
        <v>2.09059266041666</v>
      </c>
      <c r="T221" s="26">
        <v>2.4220249724999898</v>
      </c>
      <c r="U221" s="26">
        <v>2.8763852516666599</v>
      </c>
      <c r="V221" s="26">
        <v>3.2571678424999901</v>
      </c>
      <c r="W221" s="26">
        <v>3.3871556923139798</v>
      </c>
      <c r="X221" s="26">
        <v>0</v>
      </c>
      <c r="Y221" s="26">
        <v>0</v>
      </c>
      <c r="Z221" s="26">
        <v>0</v>
      </c>
      <c r="AA221" s="26">
        <v>0</v>
      </c>
      <c r="AB221" s="26">
        <v>0</v>
      </c>
      <c r="AC221" s="26">
        <v>0</v>
      </c>
      <c r="AD221" s="26">
        <v>0</v>
      </c>
      <c r="AE221" s="26">
        <v>0</v>
      </c>
      <c r="AF221" s="26">
        <v>0</v>
      </c>
      <c r="AG221" s="26">
        <v>0</v>
      </c>
      <c r="AH221" s="26">
        <v>0</v>
      </c>
      <c r="AI221" s="26">
        <v>0</v>
      </c>
      <c r="AJ221" s="26">
        <v>0</v>
      </c>
      <c r="AK221" s="26">
        <v>0</v>
      </c>
      <c r="AL221" s="27">
        <f t="shared" si="6"/>
        <v>6.64432353481397</v>
      </c>
      <c r="AM221" s="26">
        <f t="shared" si="7"/>
        <v>6644.3235348139697</v>
      </c>
    </row>
    <row r="222" spans="1:40" x14ac:dyDescent="0.25">
      <c r="A222" s="25" t="s">
        <v>101</v>
      </c>
      <c r="B222" s="26">
        <v>0</v>
      </c>
      <c r="C222" s="26">
        <v>0</v>
      </c>
      <c r="D222" s="26">
        <v>0</v>
      </c>
      <c r="E222" s="26">
        <v>5.7712223333333298E-2</v>
      </c>
      <c r="F222" s="26">
        <v>0.10388916499999901</v>
      </c>
      <c r="G222" s="26">
        <v>0.12684410291666601</v>
      </c>
      <c r="H222" s="26">
        <v>0.13100804375</v>
      </c>
      <c r="I222" s="26">
        <v>0</v>
      </c>
      <c r="J222" s="26">
        <v>0</v>
      </c>
      <c r="K222" s="26">
        <v>0.284458305416666</v>
      </c>
      <c r="L222" s="26">
        <v>0.37501133708333301</v>
      </c>
      <c r="M222" s="26">
        <v>0.51763455749999998</v>
      </c>
      <c r="N222" s="26">
        <v>0.749855452916666</v>
      </c>
      <c r="O222" s="26">
        <v>1.1427502924999999</v>
      </c>
      <c r="P222" s="26">
        <v>1.3734062874999999</v>
      </c>
      <c r="Q222" s="26">
        <v>1.61728930333333</v>
      </c>
      <c r="R222" s="26">
        <v>2.0900370083333302</v>
      </c>
      <c r="S222" s="26">
        <v>3.3582221729166601</v>
      </c>
      <c r="T222" s="26">
        <v>4.5950367566666603</v>
      </c>
      <c r="U222" s="26">
        <v>6.1664445316666603</v>
      </c>
      <c r="V222" s="26">
        <v>7.87049065791666</v>
      </c>
      <c r="W222" s="26">
        <v>8.6431553903090403</v>
      </c>
      <c r="X222" s="26">
        <v>10.6593729520769</v>
      </c>
      <c r="Y222" s="26">
        <v>12.524043910520099</v>
      </c>
      <c r="Z222" s="26">
        <v>0</v>
      </c>
      <c r="AA222" s="26">
        <v>0</v>
      </c>
      <c r="AB222" s="26">
        <v>0</v>
      </c>
      <c r="AC222" s="26">
        <v>0</v>
      </c>
      <c r="AD222" s="26">
        <v>0</v>
      </c>
      <c r="AE222" s="26">
        <v>0</v>
      </c>
      <c r="AF222" s="26">
        <v>0</v>
      </c>
      <c r="AG222" s="26">
        <v>0</v>
      </c>
      <c r="AH222" s="26">
        <v>0</v>
      </c>
      <c r="AI222" s="26">
        <v>0</v>
      </c>
      <c r="AJ222" s="26">
        <v>0</v>
      </c>
      <c r="AK222" s="26">
        <v>0</v>
      </c>
      <c r="AL222" s="27">
        <f t="shared" si="6"/>
        <v>39.697062910822702</v>
      </c>
      <c r="AM222" s="26">
        <f t="shared" si="7"/>
        <v>39697.0629108227</v>
      </c>
    </row>
    <row r="223" spans="1:40" x14ac:dyDescent="0.25">
      <c r="A223" s="25" t="s">
        <v>102</v>
      </c>
      <c r="B223" s="26">
        <v>0.25246587999999998</v>
      </c>
      <c r="C223" s="26">
        <v>0.96651033249999996</v>
      </c>
      <c r="D223" s="26">
        <v>0.98706988249999905</v>
      </c>
      <c r="E223" s="26">
        <v>1.0790778804166601</v>
      </c>
      <c r="F223" s="26">
        <v>1.1195610224999999</v>
      </c>
      <c r="G223" s="26">
        <v>1.2887692074999999</v>
      </c>
      <c r="H223" s="26">
        <v>1.40283121</v>
      </c>
      <c r="I223" s="26">
        <v>1.6742382949999901</v>
      </c>
      <c r="J223" s="26">
        <v>1.7322376666666599</v>
      </c>
      <c r="K223" s="26">
        <v>1.7999341549999901</v>
      </c>
      <c r="L223" s="26">
        <v>1.8790778858333299</v>
      </c>
      <c r="M223" s="26">
        <v>1.9768736795833299</v>
      </c>
      <c r="N223" s="26">
        <v>2.9457696124999901</v>
      </c>
      <c r="O223" s="26">
        <v>3.1225244191666599</v>
      </c>
      <c r="P223" s="26">
        <v>3.1748403949999902</v>
      </c>
      <c r="Q223" s="26">
        <v>3.3290929779166598</v>
      </c>
      <c r="R223" s="26">
        <v>3.7369482891666599</v>
      </c>
      <c r="S223" s="26">
        <v>4.1086876649999997</v>
      </c>
      <c r="T223" s="26">
        <v>4.5286416916666603</v>
      </c>
      <c r="U223" s="26">
        <v>4.6693982666666596</v>
      </c>
      <c r="V223" s="26">
        <v>4.76454864416666</v>
      </c>
      <c r="W223" s="26">
        <v>5.1385145753783403</v>
      </c>
      <c r="X223" s="26">
        <v>0</v>
      </c>
      <c r="Y223" s="26">
        <v>0</v>
      </c>
      <c r="Z223" s="26">
        <v>0</v>
      </c>
      <c r="AA223" s="26">
        <v>0</v>
      </c>
      <c r="AB223" s="26">
        <v>0</v>
      </c>
      <c r="AC223" s="26">
        <v>0</v>
      </c>
      <c r="AD223" s="26">
        <v>0</v>
      </c>
      <c r="AE223" s="26">
        <v>0</v>
      </c>
      <c r="AF223" s="26">
        <v>0</v>
      </c>
      <c r="AG223" s="26">
        <v>0</v>
      </c>
      <c r="AH223" s="26">
        <v>0</v>
      </c>
      <c r="AI223" s="26">
        <v>0</v>
      </c>
      <c r="AJ223" s="26">
        <v>0</v>
      </c>
      <c r="AK223" s="26">
        <v>0</v>
      </c>
      <c r="AL223" s="27">
        <f t="shared" si="6"/>
        <v>9.9030632195450004</v>
      </c>
      <c r="AM223" s="26">
        <f t="shared" si="7"/>
        <v>9903.0632195449998</v>
      </c>
    </row>
    <row r="224" spans="1:40" x14ac:dyDescent="0.25">
      <c r="A224" s="25" t="s">
        <v>103</v>
      </c>
      <c r="B224" s="26">
        <v>5.93499976083333</v>
      </c>
      <c r="C224" s="26">
        <v>6.54634921999999</v>
      </c>
      <c r="D224" s="26">
        <v>7.27073531416666</v>
      </c>
      <c r="E224" s="26">
        <v>7.9313578033333298</v>
      </c>
      <c r="F224" s="26">
        <v>7.7912492937499902</v>
      </c>
      <c r="G224" s="26">
        <v>8.36308922541666</v>
      </c>
      <c r="H224" s="26">
        <v>8.7435547737499899</v>
      </c>
      <c r="I224" s="26">
        <v>9.2487342299999895</v>
      </c>
      <c r="J224" s="26">
        <v>9.7174515029166599</v>
      </c>
      <c r="K224" s="26">
        <v>10.258292065833301</v>
      </c>
      <c r="L224" s="26">
        <v>10.747162731666601</v>
      </c>
      <c r="M224" s="26">
        <v>10.980963414166601</v>
      </c>
      <c r="N224" s="26">
        <v>11.239229632499899</v>
      </c>
      <c r="O224" s="26">
        <v>11.628395688333301</v>
      </c>
      <c r="P224" s="26">
        <v>12.0718958299999</v>
      </c>
      <c r="Q224" s="26">
        <v>12.724764214583301</v>
      </c>
      <c r="R224" s="26">
        <v>13.1321456899999</v>
      </c>
      <c r="S224" s="26">
        <v>13.6653565824999</v>
      </c>
      <c r="T224" s="26">
        <v>13.792141102499899</v>
      </c>
      <c r="U224" s="26">
        <v>14.207084859583301</v>
      </c>
      <c r="V224" s="26">
        <v>14.398389703333301</v>
      </c>
      <c r="W224" s="26">
        <v>14.685139850134901</v>
      </c>
      <c r="X224" s="26">
        <v>0</v>
      </c>
      <c r="Y224" s="26">
        <v>0</v>
      </c>
      <c r="Z224" s="26">
        <v>0</v>
      </c>
      <c r="AA224" s="26">
        <v>0</v>
      </c>
      <c r="AB224" s="26">
        <v>0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26">
        <v>0</v>
      </c>
      <c r="AI224" s="26">
        <v>0</v>
      </c>
      <c r="AJ224" s="26">
        <v>0</v>
      </c>
      <c r="AK224" s="26">
        <v>0</v>
      </c>
      <c r="AL224" s="27">
        <f t="shared" si="6"/>
        <v>29.083529553468203</v>
      </c>
      <c r="AM224" s="26">
        <f t="shared" si="7"/>
        <v>29083.529553468205</v>
      </c>
      <c r="AN224" s="26">
        <f>AM224+AM234</f>
        <v>29094.373499385252</v>
      </c>
    </row>
    <row r="225" spans="1:40" x14ac:dyDescent="0.25">
      <c r="A225" s="25" t="s">
        <v>104</v>
      </c>
      <c r="B225" s="26">
        <v>0</v>
      </c>
      <c r="C225" s="26">
        <v>0</v>
      </c>
      <c r="D225" s="26">
        <v>0</v>
      </c>
      <c r="E225" s="26">
        <v>0</v>
      </c>
      <c r="F225" s="26">
        <v>0</v>
      </c>
      <c r="G225" s="26">
        <v>0</v>
      </c>
      <c r="H225" s="26">
        <v>0.252771249999999</v>
      </c>
      <c r="I225" s="26">
        <v>0.56513794708333298</v>
      </c>
      <c r="J225" s="26">
        <v>0.69210732999999902</v>
      </c>
      <c r="K225" s="26">
        <v>0.98270500791666604</v>
      </c>
      <c r="L225" s="26">
        <v>1.3151013524999999</v>
      </c>
      <c r="M225" s="26">
        <v>1.6957037324999999</v>
      </c>
      <c r="N225" s="26">
        <v>2.2272471733333301</v>
      </c>
      <c r="O225" s="26">
        <v>2.4496033320833299</v>
      </c>
      <c r="P225" s="26">
        <v>2.8460380566666599</v>
      </c>
      <c r="Q225" s="26">
        <v>2.9978878929166601</v>
      </c>
      <c r="R225" s="26">
        <v>3.0539745816666599</v>
      </c>
      <c r="S225" s="26">
        <v>3.4314904312499999</v>
      </c>
      <c r="T225" s="26">
        <v>3.8782430074999898</v>
      </c>
      <c r="U225" s="26">
        <v>4.1511793349999904</v>
      </c>
      <c r="V225" s="26">
        <v>4.3985546999999903</v>
      </c>
      <c r="W225" s="26">
        <v>4.4762866855299297</v>
      </c>
      <c r="X225" s="26">
        <v>4.5467429244474404</v>
      </c>
      <c r="Y225" s="26">
        <v>4.6219224098653804</v>
      </c>
      <c r="Z225" s="26">
        <v>4.7212430654606399</v>
      </c>
      <c r="AA225" s="26">
        <v>4.7945540651282403</v>
      </c>
      <c r="AB225" s="26">
        <v>4.8727008999904404</v>
      </c>
      <c r="AC225" s="26">
        <v>4.9686657712823701</v>
      </c>
      <c r="AD225" s="26">
        <v>5.0449088794404204</v>
      </c>
      <c r="AE225" s="26">
        <v>5.12232712698097</v>
      </c>
      <c r="AF225" s="26">
        <v>5.2147365766375797</v>
      </c>
      <c r="AG225" s="26">
        <v>5.2738746325625998</v>
      </c>
      <c r="AH225" s="26">
        <v>5.3293757839757001</v>
      </c>
      <c r="AI225" s="26">
        <v>5.3703894737082898</v>
      </c>
      <c r="AJ225" s="26">
        <v>0</v>
      </c>
      <c r="AK225" s="26">
        <v>0</v>
      </c>
      <c r="AL225" s="27">
        <f t="shared" si="6"/>
        <v>68.756282995009983</v>
      </c>
      <c r="AM225" s="26">
        <f t="shared" si="7"/>
        <v>68756.282995009984</v>
      </c>
      <c r="AN225" s="26">
        <f>AM225+AM235</f>
        <v>88100.297674984657</v>
      </c>
    </row>
    <row r="226" spans="1:40" x14ac:dyDescent="0.25">
      <c r="A226" s="25" t="s">
        <v>105</v>
      </c>
      <c r="B226" s="26">
        <v>0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  <c r="W226" s="26">
        <v>0</v>
      </c>
      <c r="X226" s="26">
        <v>0</v>
      </c>
      <c r="Y226" s="26">
        <v>0</v>
      </c>
      <c r="Z226" s="26">
        <v>0</v>
      </c>
      <c r="AA226" s="26">
        <v>6.4628966350341798E-3</v>
      </c>
      <c r="AB226" s="26">
        <v>1.34055857622428E-2</v>
      </c>
      <c r="AC226" s="26">
        <v>2.0283544247019301E-2</v>
      </c>
      <c r="AD226" s="26">
        <v>2.7128286516565001E-2</v>
      </c>
      <c r="AE226" s="26">
        <v>1.1068117680248299</v>
      </c>
      <c r="AF226" s="26">
        <v>2.1518243110673501</v>
      </c>
      <c r="AG226" s="26">
        <v>3.1912402223285601</v>
      </c>
      <c r="AH226" s="26">
        <v>4.2335657086804996</v>
      </c>
      <c r="AI226" s="26">
        <v>5.2762479511786697</v>
      </c>
      <c r="AJ226" s="26">
        <v>6.3254299922978596</v>
      </c>
      <c r="AK226" s="26">
        <v>7.4266812011049099</v>
      </c>
      <c r="AL226" s="27">
        <f t="shared" si="6"/>
        <v>16.026970274440771</v>
      </c>
      <c r="AM226" s="26">
        <f t="shared" si="7"/>
        <v>16026.970274440771</v>
      </c>
    </row>
    <row r="227" spans="1:40" x14ac:dyDescent="0.25">
      <c r="A227" s="25" t="s">
        <v>106</v>
      </c>
      <c r="B227" s="26">
        <v>0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0.55031556374999901</v>
      </c>
      <c r="R227" s="26">
        <v>7.3344020833333301E-3</v>
      </c>
      <c r="S227" s="26">
        <v>9.4114666666666597E-3</v>
      </c>
      <c r="T227" s="26">
        <v>0.55031556374999901</v>
      </c>
      <c r="U227" s="26">
        <v>1.91998326791666</v>
      </c>
      <c r="V227" s="26">
        <v>3.5663162041666601</v>
      </c>
      <c r="W227" s="26">
        <v>4.6854759132278998</v>
      </c>
      <c r="X227" s="26">
        <v>0</v>
      </c>
      <c r="Y227" s="26">
        <v>0</v>
      </c>
      <c r="Z227" s="26">
        <v>0</v>
      </c>
      <c r="AA227" s="26">
        <v>0</v>
      </c>
      <c r="AB227" s="26">
        <v>0</v>
      </c>
      <c r="AC227" s="26">
        <v>0</v>
      </c>
      <c r="AD227" s="26">
        <v>0</v>
      </c>
      <c r="AE227" s="26">
        <v>0</v>
      </c>
      <c r="AF227" s="26">
        <v>0</v>
      </c>
      <c r="AG227" s="26">
        <v>0</v>
      </c>
      <c r="AH227" s="26">
        <v>0</v>
      </c>
      <c r="AI227" s="26">
        <v>0</v>
      </c>
      <c r="AJ227" s="26">
        <v>0</v>
      </c>
      <c r="AK227" s="26">
        <v>0</v>
      </c>
      <c r="AL227" s="27">
        <f t="shared" si="6"/>
        <v>8.2517921173945599</v>
      </c>
      <c r="AM227" s="26">
        <f t="shared" si="7"/>
        <v>8251.7921173945597</v>
      </c>
    </row>
    <row r="228" spans="1:40" x14ac:dyDescent="0.25">
      <c r="A228" s="25" t="s">
        <v>107</v>
      </c>
      <c r="B228" s="26">
        <v>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  <c r="Z228" s="26">
        <v>0</v>
      </c>
      <c r="AA228" s="26">
        <v>0</v>
      </c>
      <c r="AB228" s="26">
        <v>0</v>
      </c>
      <c r="AC228" s="26">
        <v>1.4872798994583099E-2</v>
      </c>
      <c r="AD228" s="26">
        <v>0.38453589307921299</v>
      </c>
      <c r="AE228" s="26">
        <v>1.1281956016472601</v>
      </c>
      <c r="AF228" s="26">
        <v>1.85086304872251</v>
      </c>
      <c r="AG228" s="26">
        <v>2.5702689003085402</v>
      </c>
      <c r="AH228" s="26">
        <v>3.29160076896747</v>
      </c>
      <c r="AI228" s="26">
        <v>4.0133021368577602</v>
      </c>
      <c r="AJ228" s="26">
        <v>0</v>
      </c>
      <c r="AK228" s="26">
        <v>0</v>
      </c>
      <c r="AL228" s="27">
        <f t="shared" si="6"/>
        <v>13.253639148577337</v>
      </c>
      <c r="AM228" s="26">
        <f t="shared" si="7"/>
        <v>13253.639148577337</v>
      </c>
    </row>
    <row r="229" spans="1:40" x14ac:dyDescent="0.25">
      <c r="A229" s="25" t="s">
        <v>108</v>
      </c>
      <c r="B229" s="26">
        <v>0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1.9448463333333301E-2</v>
      </c>
      <c r="P229" s="26">
        <v>3.9016889999999901E-2</v>
      </c>
      <c r="Q229" s="26">
        <v>0.105558525833333</v>
      </c>
      <c r="R229" s="26">
        <v>0.124078662916666</v>
      </c>
      <c r="S229" s="26">
        <v>0.15002061291666599</v>
      </c>
      <c r="T229" s="26">
        <v>0.181344491666666</v>
      </c>
      <c r="U229" s="26">
        <v>0.21214065499999901</v>
      </c>
      <c r="V229" s="26">
        <v>0.264178750416666</v>
      </c>
      <c r="W229" s="26">
        <v>0.27489002428946202</v>
      </c>
      <c r="X229" s="26">
        <v>0.97661287878870895</v>
      </c>
      <c r="Y229" s="26">
        <v>1.91419959089472</v>
      </c>
      <c r="Z229" s="26">
        <v>2.6891016232085998</v>
      </c>
      <c r="AA229" s="26">
        <v>0</v>
      </c>
      <c r="AB229" s="26">
        <v>0</v>
      </c>
      <c r="AC229" s="26">
        <v>0</v>
      </c>
      <c r="AD229" s="26">
        <v>0</v>
      </c>
      <c r="AE229" s="26">
        <v>0</v>
      </c>
      <c r="AF229" s="26">
        <v>0</v>
      </c>
      <c r="AG229" s="26">
        <v>0</v>
      </c>
      <c r="AH229" s="26">
        <v>0</v>
      </c>
      <c r="AI229" s="26">
        <v>0</v>
      </c>
      <c r="AJ229" s="26">
        <v>0</v>
      </c>
      <c r="AK229" s="26">
        <v>0</v>
      </c>
      <c r="AL229" s="27">
        <f t="shared" si="6"/>
        <v>6.1189828675981568</v>
      </c>
      <c r="AM229" s="26">
        <f t="shared" si="7"/>
        <v>6118.9828675981571</v>
      </c>
    </row>
    <row r="230" spans="1:40" x14ac:dyDescent="0.25">
      <c r="A230" s="25" t="s">
        <v>109</v>
      </c>
      <c r="B230" s="26">
        <v>0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  <c r="Z230" s="26">
        <v>0</v>
      </c>
      <c r="AA230" s="26">
        <v>0</v>
      </c>
      <c r="AB230" s="26">
        <v>0</v>
      </c>
      <c r="AC230" s="26">
        <v>0</v>
      </c>
      <c r="AD230" s="26">
        <v>0</v>
      </c>
      <c r="AE230" s="26">
        <v>0</v>
      </c>
      <c r="AF230" s="26">
        <v>0</v>
      </c>
      <c r="AG230" s="26">
        <v>0</v>
      </c>
      <c r="AH230" s="26">
        <v>0</v>
      </c>
      <c r="AI230" s="26">
        <v>0</v>
      </c>
      <c r="AJ230" s="26">
        <v>0</v>
      </c>
      <c r="AK230" s="26">
        <v>0</v>
      </c>
      <c r="AL230" s="27">
        <f t="shared" si="6"/>
        <v>0</v>
      </c>
      <c r="AM230" s="26">
        <f t="shared" si="7"/>
        <v>0</v>
      </c>
    </row>
    <row r="231" spans="1:40" x14ac:dyDescent="0.25">
      <c r="A231" s="25" t="s">
        <v>110</v>
      </c>
      <c r="B231" s="26">
        <v>0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3.05244109266362E-2</v>
      </c>
      <c r="X231" s="26">
        <v>8.8236954052918704E-2</v>
      </c>
      <c r="Y231" s="26">
        <v>0.15182250518778501</v>
      </c>
      <c r="Z231" s="26">
        <v>0</v>
      </c>
      <c r="AA231" s="26">
        <v>0</v>
      </c>
      <c r="AB231" s="26">
        <v>0</v>
      </c>
      <c r="AC231" s="26">
        <v>0</v>
      </c>
      <c r="AD231" s="26">
        <v>0</v>
      </c>
      <c r="AE231" s="26">
        <v>0</v>
      </c>
      <c r="AF231" s="26">
        <v>0</v>
      </c>
      <c r="AG231" s="26">
        <v>0</v>
      </c>
      <c r="AH231" s="26">
        <v>0</v>
      </c>
      <c r="AI231" s="26">
        <v>0</v>
      </c>
      <c r="AJ231" s="26">
        <v>0</v>
      </c>
      <c r="AK231" s="26">
        <v>0</v>
      </c>
      <c r="AL231" s="27">
        <f t="shared" si="6"/>
        <v>0.27058387016733992</v>
      </c>
      <c r="AM231" s="26">
        <f t="shared" si="7"/>
        <v>270.58387016733991</v>
      </c>
    </row>
    <row r="232" spans="1:40" x14ac:dyDescent="0.25">
      <c r="A232" s="25" t="s">
        <v>111</v>
      </c>
      <c r="B232" s="26">
        <v>0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0.17152426490093201</v>
      </c>
      <c r="X232" s="26">
        <v>0.241854764268882</v>
      </c>
      <c r="Y232" s="26">
        <v>0.31931759082245798</v>
      </c>
      <c r="Z232" s="26">
        <v>0.40028271568068202</v>
      </c>
      <c r="AA232" s="26">
        <v>0.90578073410939897</v>
      </c>
      <c r="AB232" s="26">
        <v>0</v>
      </c>
      <c r="AC232" s="26">
        <v>0</v>
      </c>
      <c r="AD232" s="26">
        <v>0</v>
      </c>
      <c r="AE232" s="26">
        <v>0</v>
      </c>
      <c r="AF232" s="26">
        <v>0</v>
      </c>
      <c r="AG232" s="26">
        <v>0</v>
      </c>
      <c r="AH232" s="26">
        <v>0</v>
      </c>
      <c r="AI232" s="26">
        <v>0</v>
      </c>
      <c r="AJ232" s="26">
        <v>0</v>
      </c>
      <c r="AK232" s="26">
        <v>0</v>
      </c>
      <c r="AL232" s="27">
        <f t="shared" si="6"/>
        <v>2.0387600697823531</v>
      </c>
      <c r="AM232" s="26">
        <f t="shared" si="7"/>
        <v>2038.7600697823532</v>
      </c>
    </row>
    <row r="233" spans="1:40" x14ac:dyDescent="0.25">
      <c r="A233" s="25" t="s">
        <v>112</v>
      </c>
      <c r="B233" s="26">
        <v>0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0.154075417083333</v>
      </c>
      <c r="R233" s="26">
        <v>0.210375231666666</v>
      </c>
      <c r="S233" s="26">
        <v>0.48468299333333298</v>
      </c>
      <c r="T233" s="26">
        <v>0.56019623833333299</v>
      </c>
      <c r="U233" s="26">
        <v>0.68779621416666603</v>
      </c>
      <c r="V233" s="26">
        <v>0.93180522291666601</v>
      </c>
      <c r="W233" s="26">
        <v>1.1496113744793</v>
      </c>
      <c r="X233" s="26">
        <v>1.4950246331807899</v>
      </c>
      <c r="Y233" s="26">
        <v>1.8221621597367901</v>
      </c>
      <c r="Z233" s="26">
        <v>0</v>
      </c>
      <c r="AA233" s="26">
        <v>0</v>
      </c>
      <c r="AB233" s="26">
        <v>0</v>
      </c>
      <c r="AC233" s="26">
        <v>0</v>
      </c>
      <c r="AD233" s="26">
        <v>0</v>
      </c>
      <c r="AE233" s="26">
        <v>0</v>
      </c>
      <c r="AF233" s="26">
        <v>0</v>
      </c>
      <c r="AG233" s="26">
        <v>0</v>
      </c>
      <c r="AH233" s="26">
        <v>0</v>
      </c>
      <c r="AI233" s="26">
        <v>0</v>
      </c>
      <c r="AJ233" s="26">
        <v>0</v>
      </c>
      <c r="AK233" s="26">
        <v>0</v>
      </c>
      <c r="AL233" s="27">
        <f t="shared" si="6"/>
        <v>5.3986033903135464</v>
      </c>
      <c r="AM233" s="26">
        <f t="shared" si="7"/>
        <v>5398.6033903135467</v>
      </c>
    </row>
    <row r="234" spans="1:40" x14ac:dyDescent="0.25">
      <c r="A234" s="25" t="s">
        <v>113</v>
      </c>
      <c r="B234" s="26">
        <v>0</v>
      </c>
      <c r="C234" s="26">
        <v>0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1.08439459170459E-2</v>
      </c>
      <c r="X234" s="26">
        <v>0</v>
      </c>
      <c r="Y234" s="26">
        <v>0</v>
      </c>
      <c r="Z234" s="26">
        <v>0</v>
      </c>
      <c r="AA234" s="26">
        <v>0</v>
      </c>
      <c r="AB234" s="26">
        <v>0</v>
      </c>
      <c r="AC234" s="26">
        <v>0</v>
      </c>
      <c r="AD234" s="26">
        <v>0</v>
      </c>
      <c r="AE234" s="26">
        <v>0</v>
      </c>
      <c r="AF234" s="26">
        <v>0</v>
      </c>
      <c r="AG234" s="26">
        <v>0</v>
      </c>
      <c r="AH234" s="26">
        <v>0</v>
      </c>
      <c r="AI234" s="26">
        <v>0</v>
      </c>
      <c r="AJ234" s="26">
        <v>0</v>
      </c>
      <c r="AK234" s="26">
        <v>0</v>
      </c>
      <c r="AL234" s="27">
        <f t="shared" si="6"/>
        <v>1.08439459170459E-2</v>
      </c>
      <c r="AM234" s="26">
        <f t="shared" si="7"/>
        <v>10.8439459170459</v>
      </c>
    </row>
    <row r="235" spans="1:40" x14ac:dyDescent="0.25">
      <c r="A235" s="25" t="s">
        <v>114</v>
      </c>
      <c r="B235" s="26">
        <v>0</v>
      </c>
      <c r="C235" s="26">
        <v>0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0.208913570833891</v>
      </c>
      <c r="X235" s="26">
        <v>0.39595533012060702</v>
      </c>
      <c r="Y235" s="26">
        <v>0.59712206315557304</v>
      </c>
      <c r="Z235" s="26">
        <v>0.87066745859281802</v>
      </c>
      <c r="AA235" s="26">
        <v>1.06703030161527</v>
      </c>
      <c r="AB235" s="26">
        <v>1.2778588575733401</v>
      </c>
      <c r="AC235" s="26">
        <v>1.54209965606912</v>
      </c>
      <c r="AD235" s="26">
        <v>1.74713322417709</v>
      </c>
      <c r="AE235" s="26">
        <v>1.9556501950801799</v>
      </c>
      <c r="AF235" s="26">
        <v>2.20909868248087</v>
      </c>
      <c r="AG235" s="26">
        <v>2.3626908242059601</v>
      </c>
      <c r="AH235" s="26">
        <v>2.5053300131519798</v>
      </c>
      <c r="AI235" s="26">
        <v>2.60446450291797</v>
      </c>
      <c r="AJ235" s="26">
        <v>0</v>
      </c>
      <c r="AK235" s="26">
        <v>0</v>
      </c>
      <c r="AL235" s="27">
        <f t="shared" si="6"/>
        <v>19.34401467997467</v>
      </c>
      <c r="AM235" s="26">
        <f t="shared" si="7"/>
        <v>19344.014679974669</v>
      </c>
    </row>
    <row r="236" spans="1:40" x14ac:dyDescent="0.25">
      <c r="A236" s="25" t="s">
        <v>115</v>
      </c>
      <c r="B236" s="26">
        <v>0</v>
      </c>
      <c r="C236" s="26">
        <v>0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9.0738198636149594E-3</v>
      </c>
      <c r="X236" s="26">
        <v>5.2916580362178903E-2</v>
      </c>
      <c r="Y236" s="26">
        <v>6.23718516775911E-2</v>
      </c>
      <c r="Z236" s="26">
        <v>7.2128871258389501E-2</v>
      </c>
      <c r="AA236" s="26">
        <v>0.11752629930264499</v>
      </c>
      <c r="AB236" s="26">
        <v>0.16525582335977301</v>
      </c>
      <c r="AC236" s="26">
        <v>0.22212973828100599</v>
      </c>
      <c r="AD236" s="26">
        <v>0.29761547599254201</v>
      </c>
      <c r="AE236" s="26">
        <v>0.37353141361238801</v>
      </c>
      <c r="AF236" s="26">
        <v>0.55820213339164804</v>
      </c>
      <c r="AG236" s="26">
        <v>1.1084913239009</v>
      </c>
      <c r="AH236" s="26">
        <v>1.66014649734521</v>
      </c>
      <c r="AI236" s="26">
        <v>2.2122341160350798</v>
      </c>
      <c r="AJ236" s="26">
        <v>0</v>
      </c>
      <c r="AK236" s="26">
        <v>0</v>
      </c>
      <c r="AL236" s="27">
        <f t="shared" si="6"/>
        <v>6.9116239443829661</v>
      </c>
      <c r="AM236" s="26">
        <f t="shared" si="7"/>
        <v>6911.6239443829663</v>
      </c>
    </row>
    <row r="237" spans="1:40" x14ac:dyDescent="0.25">
      <c r="A237" s="25" t="s">
        <v>116</v>
      </c>
      <c r="B237" s="26">
        <v>0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0</v>
      </c>
      <c r="V237" s="26">
        <v>0</v>
      </c>
      <c r="W237" s="26">
        <v>0</v>
      </c>
      <c r="X237" s="26">
        <v>0</v>
      </c>
      <c r="Y237" s="26">
        <v>3.6820728887694098E-3</v>
      </c>
      <c r="Z237" s="26">
        <v>7.5130958963159303E-3</v>
      </c>
      <c r="AA237" s="26">
        <v>1.1056496006066299E-2</v>
      </c>
      <c r="AB237" s="26">
        <v>1.4831339084767E-2</v>
      </c>
      <c r="AC237" s="26">
        <v>1.8575836535365899E-2</v>
      </c>
      <c r="AD237" s="26">
        <v>2.23051408987276E-2</v>
      </c>
      <c r="AE237" s="26">
        <v>5.9493584595705397E-2</v>
      </c>
      <c r="AF237" s="26">
        <v>0.239765829713252</v>
      </c>
      <c r="AG237" s="26">
        <v>0.74147780079949499</v>
      </c>
      <c r="AH237" s="26">
        <v>1.17285721626517</v>
      </c>
      <c r="AI237" s="26">
        <v>1.60445581396505</v>
      </c>
      <c r="AJ237" s="26">
        <v>1.6791708317208001</v>
      </c>
      <c r="AK237" s="26">
        <v>1.71961420732371</v>
      </c>
      <c r="AL237" s="27">
        <f t="shared" si="6"/>
        <v>3.8960142266486848</v>
      </c>
      <c r="AM237" s="26">
        <f t="shared" si="7"/>
        <v>3896.0142266486846</v>
      </c>
    </row>
    <row r="238" spans="1:40" x14ac:dyDescent="0.25">
      <c r="A238" s="25" t="s">
        <v>117</v>
      </c>
      <c r="B238" s="26">
        <v>0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1.47282915550776E-3</v>
      </c>
      <c r="Z238" s="26">
        <v>3.00523835852637E-3</v>
      </c>
      <c r="AA238" s="26">
        <v>6.5406455086863997E-3</v>
      </c>
      <c r="AB238" s="26">
        <v>4.4104628997689098E-2</v>
      </c>
      <c r="AC238" s="26">
        <v>0.341638811564209</v>
      </c>
      <c r="AD238" s="26">
        <v>0.41617192178007201</v>
      </c>
      <c r="AE238" s="26">
        <v>0.49120763149678798</v>
      </c>
      <c r="AF238" s="26">
        <v>0.85241211222381497</v>
      </c>
      <c r="AG238" s="26">
        <v>1.2119855660435801</v>
      </c>
      <c r="AH238" s="26">
        <v>1.57252179883082</v>
      </c>
      <c r="AI238" s="26">
        <v>1.7900695564462701</v>
      </c>
      <c r="AJ238" s="26">
        <v>1.93698381872238</v>
      </c>
      <c r="AK238" s="26">
        <v>2.1502279682365701</v>
      </c>
      <c r="AL238" s="27">
        <f t="shared" si="6"/>
        <v>6.7311307404059644</v>
      </c>
      <c r="AM238" s="26">
        <f t="shared" si="7"/>
        <v>6731.1307404059644</v>
      </c>
    </row>
    <row r="239" spans="1:40" x14ac:dyDescent="0.25">
      <c r="A239" s="25" t="s">
        <v>118</v>
      </c>
      <c r="B239" s="26">
        <v>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0</v>
      </c>
      <c r="V239" s="26">
        <v>0</v>
      </c>
      <c r="W239" s="26">
        <v>0.12106200380135899</v>
      </c>
      <c r="X239" s="26">
        <v>0.73071641473596705</v>
      </c>
      <c r="Y239" s="26">
        <v>1.46847563538685</v>
      </c>
      <c r="Z239" s="26">
        <v>0</v>
      </c>
      <c r="AA239" s="26">
        <v>0</v>
      </c>
      <c r="AB239" s="26">
        <v>0</v>
      </c>
      <c r="AC239" s="26">
        <v>0</v>
      </c>
      <c r="AD239" s="26">
        <v>0</v>
      </c>
      <c r="AE239" s="26">
        <v>0</v>
      </c>
      <c r="AF239" s="26">
        <v>0</v>
      </c>
      <c r="AG239" s="26">
        <v>0</v>
      </c>
      <c r="AH239" s="26">
        <v>0</v>
      </c>
      <c r="AI239" s="26">
        <v>0</v>
      </c>
      <c r="AJ239" s="26">
        <v>0</v>
      </c>
      <c r="AK239" s="26">
        <v>0</v>
      </c>
      <c r="AL239" s="27">
        <f t="shared" si="6"/>
        <v>2.3202540539241761</v>
      </c>
      <c r="AM239" s="26">
        <f t="shared" si="7"/>
        <v>2320.2540539241759</v>
      </c>
    </row>
    <row r="240" spans="1:40" x14ac:dyDescent="0.25">
      <c r="A240" s="25" t="s">
        <v>119</v>
      </c>
      <c r="B240" s="26">
        <v>0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26">
        <v>0</v>
      </c>
      <c r="AE240" s="26">
        <v>0</v>
      </c>
      <c r="AF240" s="26">
        <v>0</v>
      </c>
      <c r="AG240" s="26">
        <v>0</v>
      </c>
      <c r="AH240" s="26">
        <v>0</v>
      </c>
      <c r="AI240" s="26">
        <v>0</v>
      </c>
      <c r="AJ240" s="26">
        <v>0</v>
      </c>
      <c r="AK240" s="26">
        <v>0</v>
      </c>
      <c r="AL240" s="27">
        <f t="shared" si="6"/>
        <v>0</v>
      </c>
      <c r="AM240" s="26">
        <f t="shared" si="7"/>
        <v>0</v>
      </c>
    </row>
    <row r="241" spans="1:40" x14ac:dyDescent="0.25">
      <c r="A241" s="25" t="s">
        <v>120</v>
      </c>
      <c r="B241" s="26">
        <v>0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0</v>
      </c>
      <c r="Z241" s="26">
        <v>0</v>
      </c>
      <c r="AA241" s="26">
        <v>2.5851586540136699E-2</v>
      </c>
      <c r="AB241" s="26">
        <v>5.3622343048971302E-2</v>
      </c>
      <c r="AC241" s="26">
        <v>8.1134176988077206E-2</v>
      </c>
      <c r="AD241" s="26">
        <v>0.10851314606626</v>
      </c>
      <c r="AE241" s="26">
        <v>4.42724707209935</v>
      </c>
      <c r="AF241" s="26">
        <v>8.6072972442694198</v>
      </c>
      <c r="AG241" s="26">
        <v>12.764960889314199</v>
      </c>
      <c r="AH241" s="26">
        <v>16.934262834721999</v>
      </c>
      <c r="AI241" s="26">
        <v>21.104991804714601</v>
      </c>
      <c r="AJ241" s="26">
        <v>25.301719969191399</v>
      </c>
      <c r="AK241" s="26">
        <v>29.706724804419601</v>
      </c>
      <c r="AL241" s="27">
        <f t="shared" si="6"/>
        <v>64.107881097763013</v>
      </c>
      <c r="AM241" s="26">
        <f t="shared" si="7"/>
        <v>64107.881097763013</v>
      </c>
      <c r="AN241" s="26">
        <f>AM241+AM226</f>
        <v>80134.85137220379</v>
      </c>
    </row>
    <row r="242" spans="1:40" x14ac:dyDescent="0.25">
      <c r="AL242" s="27">
        <f t="shared" si="6"/>
        <v>0</v>
      </c>
      <c r="AM242" s="26">
        <f t="shared" si="7"/>
        <v>0</v>
      </c>
    </row>
    <row r="243" spans="1:40" x14ac:dyDescent="0.25">
      <c r="A243" s="25" t="s">
        <v>127</v>
      </c>
      <c r="AL243" s="27">
        <f t="shared" si="6"/>
        <v>0</v>
      </c>
      <c r="AM243" s="26">
        <f t="shared" si="7"/>
        <v>0</v>
      </c>
    </row>
    <row r="244" spans="1:40" x14ac:dyDescent="0.25">
      <c r="A244" s="25" t="s">
        <v>89</v>
      </c>
      <c r="B244" s="26">
        <v>0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0.70730316589509801</v>
      </c>
      <c r="Z244" s="26">
        <v>0</v>
      </c>
      <c r="AA244" s="26">
        <v>0</v>
      </c>
      <c r="AB244" s="26">
        <v>0</v>
      </c>
      <c r="AC244" s="26">
        <v>0</v>
      </c>
      <c r="AD244" s="26">
        <v>0</v>
      </c>
      <c r="AE244" s="26">
        <v>0</v>
      </c>
      <c r="AF244" s="26">
        <v>0</v>
      </c>
      <c r="AG244" s="26">
        <v>0</v>
      </c>
      <c r="AH244" s="26">
        <v>0</v>
      </c>
      <c r="AI244" s="26">
        <v>0</v>
      </c>
      <c r="AJ244" s="26">
        <v>0</v>
      </c>
      <c r="AK244" s="26">
        <v>0</v>
      </c>
      <c r="AL244" s="27">
        <f t="shared" si="6"/>
        <v>0.70730316589509801</v>
      </c>
      <c r="AM244" s="26">
        <f t="shared" si="7"/>
        <v>707.303165895098</v>
      </c>
    </row>
    <row r="245" spans="1:40" x14ac:dyDescent="0.25">
      <c r="A245" s="25" t="s">
        <v>90</v>
      </c>
      <c r="B245" s="26">
        <v>0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v>0.84715495999999901</v>
      </c>
      <c r="J245" s="26">
        <v>0.85754871708333302</v>
      </c>
      <c r="K245" s="26">
        <v>0.86142529208333296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0</v>
      </c>
      <c r="AA245" s="26">
        <v>0</v>
      </c>
      <c r="AB245" s="26">
        <v>0</v>
      </c>
      <c r="AC245" s="26">
        <v>0</v>
      </c>
      <c r="AD245" s="26">
        <v>0</v>
      </c>
      <c r="AE245" s="26">
        <v>0</v>
      </c>
      <c r="AF245" s="26">
        <v>0</v>
      </c>
      <c r="AG245" s="26">
        <v>0</v>
      </c>
      <c r="AH245" s="26">
        <v>0</v>
      </c>
      <c r="AI245" s="26">
        <v>0</v>
      </c>
      <c r="AJ245" s="26">
        <v>0</v>
      </c>
      <c r="AK245" s="26">
        <v>0</v>
      </c>
      <c r="AL245" s="27">
        <f t="shared" si="6"/>
        <v>0</v>
      </c>
      <c r="AM245" s="26">
        <f t="shared" si="7"/>
        <v>0</v>
      </c>
    </row>
    <row r="246" spans="1:40" x14ac:dyDescent="0.25">
      <c r="A246" s="25" t="s">
        <v>91</v>
      </c>
      <c r="B246" s="26">
        <v>0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0</v>
      </c>
      <c r="AB246" s="26">
        <v>0</v>
      </c>
      <c r="AC246" s="26">
        <v>0</v>
      </c>
      <c r="AD246" s="26">
        <v>0</v>
      </c>
      <c r="AE246" s="26">
        <v>0</v>
      </c>
      <c r="AF246" s="26">
        <v>0</v>
      </c>
      <c r="AG246" s="26">
        <v>0</v>
      </c>
      <c r="AH246" s="26">
        <v>0</v>
      </c>
      <c r="AI246" s="26">
        <v>0</v>
      </c>
      <c r="AJ246" s="26">
        <v>0</v>
      </c>
      <c r="AK246" s="26">
        <v>0</v>
      </c>
      <c r="AL246" s="27">
        <f t="shared" si="6"/>
        <v>0</v>
      </c>
      <c r="AM246" s="26">
        <f t="shared" si="7"/>
        <v>0</v>
      </c>
    </row>
    <row r="247" spans="1:40" x14ac:dyDescent="0.25">
      <c r="A247" s="25" t="s">
        <v>92</v>
      </c>
      <c r="B247" s="26">
        <v>0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0</v>
      </c>
      <c r="AB247" s="26">
        <v>0</v>
      </c>
      <c r="AC247" s="26">
        <v>0</v>
      </c>
      <c r="AD247" s="26">
        <v>0</v>
      </c>
      <c r="AE247" s="26">
        <v>0</v>
      </c>
      <c r="AF247" s="26">
        <v>0</v>
      </c>
      <c r="AG247" s="26">
        <v>0</v>
      </c>
      <c r="AH247" s="26">
        <v>0</v>
      </c>
      <c r="AI247" s="26">
        <v>2.8689397629868001</v>
      </c>
      <c r="AJ247" s="26">
        <v>0</v>
      </c>
      <c r="AK247" s="26">
        <v>0</v>
      </c>
      <c r="AL247" s="27">
        <f t="shared" si="6"/>
        <v>2.8689397629868001</v>
      </c>
      <c r="AM247" s="26">
        <f t="shared" si="7"/>
        <v>2868.9397629867999</v>
      </c>
    </row>
    <row r="248" spans="1:40" x14ac:dyDescent="0.25">
      <c r="A248" s="25" t="s">
        <v>93</v>
      </c>
      <c r="B248" s="26">
        <v>0</v>
      </c>
      <c r="C248" s="26">
        <v>0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  <c r="T248" s="26">
        <v>0</v>
      </c>
      <c r="U248" s="26">
        <v>0</v>
      </c>
      <c r="V248" s="26">
        <v>0</v>
      </c>
      <c r="W248" s="26">
        <v>29.683969427791901</v>
      </c>
      <c r="X248" s="26">
        <v>0</v>
      </c>
      <c r="Y248" s="26">
        <v>0</v>
      </c>
      <c r="Z248" s="26">
        <v>0</v>
      </c>
      <c r="AA248" s="26">
        <v>0</v>
      </c>
      <c r="AB248" s="26">
        <v>0</v>
      </c>
      <c r="AC248" s="26">
        <v>0</v>
      </c>
      <c r="AD248" s="26">
        <v>0</v>
      </c>
      <c r="AE248" s="26">
        <v>0</v>
      </c>
      <c r="AF248" s="26">
        <v>0</v>
      </c>
      <c r="AG248" s="26">
        <v>0</v>
      </c>
      <c r="AH248" s="26">
        <v>0</v>
      </c>
      <c r="AI248" s="26">
        <v>0</v>
      </c>
      <c r="AJ248" s="26">
        <v>0</v>
      </c>
      <c r="AK248" s="26">
        <v>0</v>
      </c>
      <c r="AL248" s="27">
        <f t="shared" si="6"/>
        <v>29.683969427791901</v>
      </c>
      <c r="AM248" s="26">
        <f t="shared" si="7"/>
        <v>29683.969427791901</v>
      </c>
    </row>
    <row r="249" spans="1:40" x14ac:dyDescent="0.25">
      <c r="A249" s="25" t="s">
        <v>94</v>
      </c>
      <c r="B249" s="26">
        <v>0</v>
      </c>
      <c r="C249" s="26">
        <v>0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1.5473069501121699</v>
      </c>
      <c r="X249" s="26">
        <v>0</v>
      </c>
      <c r="Y249" s="26">
        <v>0</v>
      </c>
      <c r="Z249" s="26">
        <v>0</v>
      </c>
      <c r="AA249" s="26">
        <v>0</v>
      </c>
      <c r="AB249" s="26">
        <v>0</v>
      </c>
      <c r="AC249" s="26">
        <v>0</v>
      </c>
      <c r="AD249" s="26">
        <v>0</v>
      </c>
      <c r="AE249" s="26">
        <v>0</v>
      </c>
      <c r="AF249" s="26">
        <v>0</v>
      </c>
      <c r="AG249" s="26">
        <v>0</v>
      </c>
      <c r="AH249" s="26">
        <v>0</v>
      </c>
      <c r="AI249" s="26">
        <v>0</v>
      </c>
      <c r="AJ249" s="26">
        <v>0</v>
      </c>
      <c r="AK249" s="26">
        <v>0</v>
      </c>
      <c r="AL249" s="27">
        <f t="shared" si="6"/>
        <v>1.5473069501121699</v>
      </c>
      <c r="AM249" s="26">
        <f t="shared" si="7"/>
        <v>1547.3069501121699</v>
      </c>
    </row>
    <row r="250" spans="1:40" x14ac:dyDescent="0.25">
      <c r="A250" s="25" t="s">
        <v>95</v>
      </c>
      <c r="B250" s="26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0</v>
      </c>
      <c r="Z250" s="26">
        <v>0</v>
      </c>
      <c r="AA250" s="26">
        <v>0</v>
      </c>
      <c r="AB250" s="26">
        <v>0</v>
      </c>
      <c r="AC250" s="26">
        <v>0</v>
      </c>
      <c r="AD250" s="26">
        <v>0</v>
      </c>
      <c r="AE250" s="26">
        <v>0</v>
      </c>
      <c r="AF250" s="26">
        <v>0</v>
      </c>
      <c r="AG250" s="26">
        <v>0</v>
      </c>
      <c r="AH250" s="26">
        <v>0</v>
      </c>
      <c r="AI250" s="26">
        <v>0</v>
      </c>
      <c r="AJ250" s="26">
        <v>0</v>
      </c>
      <c r="AK250" s="26">
        <v>0</v>
      </c>
      <c r="AL250" s="27">
        <f t="shared" si="6"/>
        <v>0</v>
      </c>
      <c r="AM250" s="26">
        <f t="shared" si="7"/>
        <v>0</v>
      </c>
    </row>
    <row r="251" spans="1:40" x14ac:dyDescent="0.25">
      <c r="A251" s="25" t="s">
        <v>96</v>
      </c>
      <c r="B251" s="26">
        <v>0</v>
      </c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1.42377277716263E-2</v>
      </c>
      <c r="X251" s="26">
        <v>0</v>
      </c>
      <c r="Y251" s="26">
        <v>0</v>
      </c>
      <c r="Z251" s="26">
        <v>0</v>
      </c>
      <c r="AA251" s="26">
        <v>0</v>
      </c>
      <c r="AB251" s="26">
        <v>0</v>
      </c>
      <c r="AC251" s="26">
        <v>0</v>
      </c>
      <c r="AD251" s="26">
        <v>0</v>
      </c>
      <c r="AE251" s="26">
        <v>0</v>
      </c>
      <c r="AF251" s="26">
        <v>0</v>
      </c>
      <c r="AG251" s="26">
        <v>0</v>
      </c>
      <c r="AH251" s="26">
        <v>0</v>
      </c>
      <c r="AI251" s="26">
        <v>0</v>
      </c>
      <c r="AJ251" s="26">
        <v>0</v>
      </c>
      <c r="AK251" s="26">
        <v>0</v>
      </c>
      <c r="AL251" s="27">
        <f t="shared" si="6"/>
        <v>1.42377277716263E-2</v>
      </c>
      <c r="AM251" s="26">
        <f t="shared" si="7"/>
        <v>14.2377277716263</v>
      </c>
    </row>
    <row r="252" spans="1:40" x14ac:dyDescent="0.25">
      <c r="A252" s="25" t="s">
        <v>97</v>
      </c>
      <c r="B252" s="26">
        <v>0</v>
      </c>
      <c r="C252" s="26">
        <v>0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26">
        <v>0</v>
      </c>
      <c r="AA252" s="26">
        <v>0</v>
      </c>
      <c r="AB252" s="26">
        <v>0</v>
      </c>
      <c r="AC252" s="26">
        <v>0</v>
      </c>
      <c r="AD252" s="26">
        <v>0</v>
      </c>
      <c r="AE252" s="26">
        <v>0</v>
      </c>
      <c r="AF252" s="26">
        <v>0</v>
      </c>
      <c r="AG252" s="26">
        <v>0</v>
      </c>
      <c r="AH252" s="26">
        <v>0</v>
      </c>
      <c r="AI252" s="26">
        <v>3.8715466889068502</v>
      </c>
      <c r="AJ252" s="26">
        <v>0</v>
      </c>
      <c r="AK252" s="26">
        <v>0</v>
      </c>
      <c r="AL252" s="27">
        <f t="shared" si="6"/>
        <v>3.8715466889068502</v>
      </c>
      <c r="AM252" s="26">
        <f t="shared" si="7"/>
        <v>3871.5466889068502</v>
      </c>
    </row>
    <row r="253" spans="1:40" x14ac:dyDescent="0.25">
      <c r="A253" s="25" t="s">
        <v>98</v>
      </c>
      <c r="B253" s="26">
        <v>0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1.04223679415679</v>
      </c>
      <c r="X253" s="26">
        <v>0</v>
      </c>
      <c r="Y253" s="26">
        <v>0</v>
      </c>
      <c r="Z253" s="26">
        <v>0</v>
      </c>
      <c r="AA253" s="26">
        <v>0</v>
      </c>
      <c r="AB253" s="26">
        <v>0</v>
      </c>
      <c r="AC253" s="26">
        <v>0</v>
      </c>
      <c r="AD253" s="26">
        <v>0</v>
      </c>
      <c r="AE253" s="26">
        <v>0</v>
      </c>
      <c r="AF253" s="26">
        <v>0</v>
      </c>
      <c r="AG253" s="26">
        <v>0</v>
      </c>
      <c r="AH253" s="26">
        <v>0</v>
      </c>
      <c r="AI253" s="26">
        <v>0</v>
      </c>
      <c r="AJ253" s="26">
        <v>0</v>
      </c>
      <c r="AK253" s="26">
        <v>0</v>
      </c>
      <c r="AL253" s="27">
        <f t="shared" si="6"/>
        <v>1.04223679415679</v>
      </c>
      <c r="AM253" s="26">
        <f t="shared" si="7"/>
        <v>1042.23679415679</v>
      </c>
    </row>
    <row r="254" spans="1:40" x14ac:dyDescent="0.25">
      <c r="A254" s="25" t="s">
        <v>99</v>
      </c>
      <c r="B254" s="26">
        <v>0</v>
      </c>
      <c r="C254" s="26">
        <v>0</v>
      </c>
      <c r="D254" s="26">
        <v>0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1.92108072145648</v>
      </c>
      <c r="X254" s="26">
        <v>0</v>
      </c>
      <c r="Y254" s="26">
        <v>0</v>
      </c>
      <c r="Z254" s="26">
        <v>0</v>
      </c>
      <c r="AA254" s="26">
        <v>0</v>
      </c>
      <c r="AB254" s="26">
        <v>0</v>
      </c>
      <c r="AC254" s="26">
        <v>0</v>
      </c>
      <c r="AD254" s="26">
        <v>0</v>
      </c>
      <c r="AE254" s="26">
        <v>0</v>
      </c>
      <c r="AF254" s="26">
        <v>0</v>
      </c>
      <c r="AG254" s="26">
        <v>0</v>
      </c>
      <c r="AH254" s="26">
        <v>0</v>
      </c>
      <c r="AI254" s="26">
        <v>0</v>
      </c>
      <c r="AJ254" s="26">
        <v>0</v>
      </c>
      <c r="AK254" s="26">
        <v>0</v>
      </c>
      <c r="AL254" s="27">
        <f t="shared" si="6"/>
        <v>1.92108072145648</v>
      </c>
      <c r="AM254" s="26">
        <f t="shared" si="7"/>
        <v>1921.08072145648</v>
      </c>
    </row>
    <row r="255" spans="1:40" x14ac:dyDescent="0.25">
      <c r="A255" s="25" t="s">
        <v>100</v>
      </c>
      <c r="B255" s="26">
        <v>0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3.3871556923139798</v>
      </c>
      <c r="X255" s="26">
        <v>0</v>
      </c>
      <c r="Y255" s="26">
        <v>0</v>
      </c>
      <c r="Z255" s="26">
        <v>0</v>
      </c>
      <c r="AA255" s="26">
        <v>0</v>
      </c>
      <c r="AB255" s="26">
        <v>0</v>
      </c>
      <c r="AC255" s="26">
        <v>0</v>
      </c>
      <c r="AD255" s="26">
        <v>0</v>
      </c>
      <c r="AE255" s="26">
        <v>0</v>
      </c>
      <c r="AF255" s="26">
        <v>0</v>
      </c>
      <c r="AG255" s="26">
        <v>0</v>
      </c>
      <c r="AH255" s="26">
        <v>0</v>
      </c>
      <c r="AI255" s="26">
        <v>0</v>
      </c>
      <c r="AJ255" s="26">
        <v>0</v>
      </c>
      <c r="AK255" s="26">
        <v>0</v>
      </c>
      <c r="AL255" s="27">
        <f t="shared" si="6"/>
        <v>3.3871556923139798</v>
      </c>
      <c r="AM255" s="26">
        <f t="shared" si="7"/>
        <v>3387.1556923139797</v>
      </c>
    </row>
    <row r="256" spans="1:40" x14ac:dyDescent="0.25">
      <c r="A256" s="25" t="s">
        <v>101</v>
      </c>
      <c r="B256" s="26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12.524043910520099</v>
      </c>
      <c r="Z256" s="26">
        <v>0</v>
      </c>
      <c r="AA256" s="26">
        <v>0</v>
      </c>
      <c r="AB256" s="26">
        <v>0</v>
      </c>
      <c r="AC256" s="26">
        <v>0</v>
      </c>
      <c r="AD256" s="26">
        <v>0</v>
      </c>
      <c r="AE256" s="26">
        <v>0</v>
      </c>
      <c r="AF256" s="26">
        <v>0</v>
      </c>
      <c r="AG256" s="26">
        <v>0</v>
      </c>
      <c r="AH256" s="26">
        <v>0</v>
      </c>
      <c r="AI256" s="26">
        <v>0</v>
      </c>
      <c r="AJ256" s="26">
        <v>0</v>
      </c>
      <c r="AK256" s="26">
        <v>0</v>
      </c>
      <c r="AL256" s="27">
        <f t="shared" si="6"/>
        <v>12.524043910520099</v>
      </c>
      <c r="AM256" s="26">
        <f t="shared" si="7"/>
        <v>12524.043910520099</v>
      </c>
    </row>
    <row r="257" spans="1:39" x14ac:dyDescent="0.25">
      <c r="A257" s="25" t="s">
        <v>102</v>
      </c>
      <c r="B257" s="26">
        <v>0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5.1385145753783403</v>
      </c>
      <c r="X257" s="26">
        <v>0</v>
      </c>
      <c r="Y257" s="26">
        <v>0</v>
      </c>
      <c r="Z257" s="26">
        <v>0</v>
      </c>
      <c r="AA257" s="26">
        <v>0</v>
      </c>
      <c r="AB257" s="26">
        <v>0</v>
      </c>
      <c r="AC257" s="26">
        <v>0</v>
      </c>
      <c r="AD257" s="26">
        <v>0</v>
      </c>
      <c r="AE257" s="26">
        <v>0</v>
      </c>
      <c r="AF257" s="26">
        <v>0</v>
      </c>
      <c r="AG257" s="26">
        <v>0</v>
      </c>
      <c r="AH257" s="26">
        <v>0</v>
      </c>
      <c r="AI257" s="26">
        <v>0</v>
      </c>
      <c r="AJ257" s="26">
        <v>0</v>
      </c>
      <c r="AK257" s="26">
        <v>0</v>
      </c>
      <c r="AL257" s="27">
        <f t="shared" si="6"/>
        <v>5.1385145753783403</v>
      </c>
      <c r="AM257" s="26">
        <f t="shared" si="7"/>
        <v>5138.5145753783399</v>
      </c>
    </row>
    <row r="258" spans="1:39" x14ac:dyDescent="0.25">
      <c r="A258" s="25" t="s">
        <v>103</v>
      </c>
      <c r="B258" s="26">
        <v>0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14.685139850134901</v>
      </c>
      <c r="X258" s="26">
        <v>0</v>
      </c>
      <c r="Y258" s="26">
        <v>0</v>
      </c>
      <c r="Z258" s="26">
        <v>0</v>
      </c>
      <c r="AA258" s="26">
        <v>0</v>
      </c>
      <c r="AB258" s="26">
        <v>0</v>
      </c>
      <c r="AC258" s="26">
        <v>0</v>
      </c>
      <c r="AD258" s="26">
        <v>0</v>
      </c>
      <c r="AE258" s="26">
        <v>0</v>
      </c>
      <c r="AF258" s="26">
        <v>0</v>
      </c>
      <c r="AG258" s="26">
        <v>0</v>
      </c>
      <c r="AH258" s="26">
        <v>0</v>
      </c>
      <c r="AI258" s="26">
        <v>0</v>
      </c>
      <c r="AJ258" s="26">
        <v>0</v>
      </c>
      <c r="AK258" s="26">
        <v>0</v>
      </c>
      <c r="AL258" s="27">
        <f t="shared" si="6"/>
        <v>14.685139850134901</v>
      </c>
      <c r="AM258" s="26">
        <f t="shared" si="7"/>
        <v>14685.139850134901</v>
      </c>
    </row>
    <row r="259" spans="1:39" x14ac:dyDescent="0.25">
      <c r="A259" s="25" t="s">
        <v>104</v>
      </c>
      <c r="B259" s="26">
        <v>0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0</v>
      </c>
      <c r="Z259" s="26">
        <v>0</v>
      </c>
      <c r="AA259" s="26">
        <v>0</v>
      </c>
      <c r="AB259" s="26">
        <v>0</v>
      </c>
      <c r="AC259" s="26">
        <v>0</v>
      </c>
      <c r="AD259" s="26">
        <v>0</v>
      </c>
      <c r="AE259" s="26">
        <v>0</v>
      </c>
      <c r="AF259" s="26">
        <v>0</v>
      </c>
      <c r="AG259" s="26">
        <v>0</v>
      </c>
      <c r="AH259" s="26">
        <v>0</v>
      </c>
      <c r="AI259" s="26">
        <v>5.3703894737082898</v>
      </c>
      <c r="AJ259" s="26">
        <v>0</v>
      </c>
      <c r="AK259" s="26">
        <v>0</v>
      </c>
      <c r="AL259" s="27">
        <f t="shared" si="6"/>
        <v>5.3703894737082898</v>
      </c>
      <c r="AM259" s="26">
        <f t="shared" si="7"/>
        <v>5370.3894737082901</v>
      </c>
    </row>
    <row r="260" spans="1:39" x14ac:dyDescent="0.25">
      <c r="A260" s="25" t="s">
        <v>105</v>
      </c>
      <c r="B260" s="26">
        <v>0</v>
      </c>
      <c r="C260" s="26">
        <v>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0</v>
      </c>
      <c r="X260" s="26">
        <v>0</v>
      </c>
      <c r="Y260" s="26">
        <v>0</v>
      </c>
      <c r="Z260" s="26">
        <v>0</v>
      </c>
      <c r="AA260" s="26">
        <v>0</v>
      </c>
      <c r="AB260" s="26">
        <v>0</v>
      </c>
      <c r="AC260" s="26">
        <v>0</v>
      </c>
      <c r="AD260" s="26">
        <v>0</v>
      </c>
      <c r="AE260" s="26">
        <v>0</v>
      </c>
      <c r="AF260" s="26">
        <v>0</v>
      </c>
      <c r="AG260" s="26">
        <v>0</v>
      </c>
      <c r="AH260" s="26">
        <v>0</v>
      </c>
      <c r="AI260" s="26">
        <v>0</v>
      </c>
      <c r="AJ260" s="26">
        <v>0</v>
      </c>
      <c r="AK260" s="26">
        <v>0</v>
      </c>
      <c r="AL260" s="27">
        <f t="shared" si="6"/>
        <v>0</v>
      </c>
      <c r="AM260" s="26">
        <f t="shared" si="7"/>
        <v>0</v>
      </c>
    </row>
    <row r="261" spans="1:39" x14ac:dyDescent="0.25">
      <c r="A261" s="25" t="s">
        <v>106</v>
      </c>
      <c r="B261" s="26">
        <v>0</v>
      </c>
      <c r="C261" s="26">
        <v>0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4.6854759132278998</v>
      </c>
      <c r="X261" s="26">
        <v>0</v>
      </c>
      <c r="Y261" s="26">
        <v>0</v>
      </c>
      <c r="Z261" s="26">
        <v>0</v>
      </c>
      <c r="AA261" s="26">
        <v>0</v>
      </c>
      <c r="AB261" s="26">
        <v>0</v>
      </c>
      <c r="AC261" s="26">
        <v>0</v>
      </c>
      <c r="AD261" s="26">
        <v>0</v>
      </c>
      <c r="AE261" s="26">
        <v>0</v>
      </c>
      <c r="AF261" s="26">
        <v>0</v>
      </c>
      <c r="AG261" s="26">
        <v>0</v>
      </c>
      <c r="AH261" s="26">
        <v>0</v>
      </c>
      <c r="AI261" s="26">
        <v>0</v>
      </c>
      <c r="AJ261" s="26">
        <v>0</v>
      </c>
      <c r="AK261" s="26">
        <v>0</v>
      </c>
      <c r="AL261" s="27">
        <f t="shared" si="6"/>
        <v>4.6854759132278998</v>
      </c>
      <c r="AM261" s="26">
        <f t="shared" si="7"/>
        <v>4685.4759132278996</v>
      </c>
    </row>
    <row r="262" spans="1:39" x14ac:dyDescent="0.25">
      <c r="A262" s="25" t="s">
        <v>107</v>
      </c>
      <c r="B262" s="26">
        <v>0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0</v>
      </c>
      <c r="X262" s="26">
        <v>0</v>
      </c>
      <c r="Y262" s="26">
        <v>0</v>
      </c>
      <c r="Z262" s="26">
        <v>0</v>
      </c>
      <c r="AA262" s="26">
        <v>0</v>
      </c>
      <c r="AB262" s="26">
        <v>0</v>
      </c>
      <c r="AC262" s="26">
        <v>0</v>
      </c>
      <c r="AD262" s="26">
        <v>0</v>
      </c>
      <c r="AE262" s="26">
        <v>0</v>
      </c>
      <c r="AF262" s="26">
        <v>0</v>
      </c>
      <c r="AG262" s="26">
        <v>0</v>
      </c>
      <c r="AH262" s="26">
        <v>0</v>
      </c>
      <c r="AI262" s="26">
        <v>4.0133021368577602</v>
      </c>
      <c r="AJ262" s="26">
        <v>0</v>
      </c>
      <c r="AK262" s="26">
        <v>0</v>
      </c>
      <c r="AL262" s="27">
        <f t="shared" si="6"/>
        <v>4.0133021368577602</v>
      </c>
      <c r="AM262" s="26">
        <f t="shared" si="7"/>
        <v>4013.3021368577602</v>
      </c>
    </row>
    <row r="263" spans="1:39" x14ac:dyDescent="0.25">
      <c r="A263" s="25" t="s">
        <v>108</v>
      </c>
      <c r="B263" s="26">
        <v>0</v>
      </c>
      <c r="C263" s="26">
        <v>0</v>
      </c>
      <c r="D263" s="26">
        <v>0</v>
      </c>
      <c r="E263" s="26">
        <v>0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2.6891016232085998</v>
      </c>
      <c r="AA263" s="26">
        <v>0</v>
      </c>
      <c r="AB263" s="26">
        <v>0</v>
      </c>
      <c r="AC263" s="26">
        <v>0</v>
      </c>
      <c r="AD263" s="26">
        <v>0</v>
      </c>
      <c r="AE263" s="26">
        <v>0</v>
      </c>
      <c r="AF263" s="26">
        <v>0</v>
      </c>
      <c r="AG263" s="26">
        <v>0</v>
      </c>
      <c r="AH263" s="26">
        <v>0</v>
      </c>
      <c r="AI263" s="26">
        <v>0</v>
      </c>
      <c r="AJ263" s="26">
        <v>0</v>
      </c>
      <c r="AK263" s="26">
        <v>0</v>
      </c>
      <c r="AL263" s="27">
        <f t="shared" ref="AL263:AL326" si="8">SUM(V263:AI263)</f>
        <v>2.6891016232085998</v>
      </c>
      <c r="AM263" s="26">
        <f t="shared" ref="AM263:AM326" si="9">AL263*1000</f>
        <v>2689.1016232085999</v>
      </c>
    </row>
    <row r="264" spans="1:39" x14ac:dyDescent="0.25">
      <c r="A264" s="25" t="s">
        <v>109</v>
      </c>
      <c r="B264" s="26">
        <v>0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26">
        <v>0</v>
      </c>
      <c r="AA264" s="26">
        <v>0</v>
      </c>
      <c r="AB264" s="26">
        <v>0</v>
      </c>
      <c r="AC264" s="26">
        <v>0</v>
      </c>
      <c r="AD264" s="26">
        <v>0</v>
      </c>
      <c r="AE264" s="26">
        <v>0</v>
      </c>
      <c r="AF264" s="26">
        <v>0</v>
      </c>
      <c r="AG264" s="26">
        <v>0</v>
      </c>
      <c r="AH264" s="26">
        <v>0</v>
      </c>
      <c r="AI264" s="26">
        <v>0</v>
      </c>
      <c r="AJ264" s="26">
        <v>0</v>
      </c>
      <c r="AK264" s="26">
        <v>0</v>
      </c>
      <c r="AL264" s="27">
        <f t="shared" si="8"/>
        <v>0</v>
      </c>
      <c r="AM264" s="26">
        <f t="shared" si="9"/>
        <v>0</v>
      </c>
    </row>
    <row r="265" spans="1:39" x14ac:dyDescent="0.25">
      <c r="A265" s="25" t="s">
        <v>110</v>
      </c>
      <c r="B265" s="26">
        <v>0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0.15182250518778501</v>
      </c>
      <c r="Z265" s="26">
        <v>0</v>
      </c>
      <c r="AA265" s="26">
        <v>0</v>
      </c>
      <c r="AB265" s="26">
        <v>0</v>
      </c>
      <c r="AC265" s="26">
        <v>0</v>
      </c>
      <c r="AD265" s="26">
        <v>0</v>
      </c>
      <c r="AE265" s="26">
        <v>0</v>
      </c>
      <c r="AF265" s="26">
        <v>0</v>
      </c>
      <c r="AG265" s="26">
        <v>0</v>
      </c>
      <c r="AH265" s="26">
        <v>0</v>
      </c>
      <c r="AI265" s="26">
        <v>0</v>
      </c>
      <c r="AJ265" s="26">
        <v>0</v>
      </c>
      <c r="AK265" s="26">
        <v>0</v>
      </c>
      <c r="AL265" s="27">
        <f t="shared" si="8"/>
        <v>0.15182250518778501</v>
      </c>
      <c r="AM265" s="26">
        <f t="shared" si="9"/>
        <v>151.822505187785</v>
      </c>
    </row>
    <row r="266" spans="1:39" x14ac:dyDescent="0.25">
      <c r="A266" s="25" t="s">
        <v>111</v>
      </c>
      <c r="B266" s="26">
        <v>0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0</v>
      </c>
      <c r="Z266" s="26">
        <v>0</v>
      </c>
      <c r="AA266" s="26">
        <v>0.90578073410939897</v>
      </c>
      <c r="AB266" s="26">
        <v>0</v>
      </c>
      <c r="AC266" s="26">
        <v>0</v>
      </c>
      <c r="AD266" s="26">
        <v>0</v>
      </c>
      <c r="AE266" s="26">
        <v>0</v>
      </c>
      <c r="AF266" s="26">
        <v>0</v>
      </c>
      <c r="AG266" s="26">
        <v>0</v>
      </c>
      <c r="AH266" s="26">
        <v>0</v>
      </c>
      <c r="AI266" s="26">
        <v>0</v>
      </c>
      <c r="AJ266" s="26">
        <v>0</v>
      </c>
      <c r="AK266" s="26">
        <v>0</v>
      </c>
      <c r="AL266" s="27">
        <f t="shared" si="8"/>
        <v>0.90578073410939897</v>
      </c>
      <c r="AM266" s="26">
        <f t="shared" si="9"/>
        <v>905.78073410939896</v>
      </c>
    </row>
    <row r="267" spans="1:39" x14ac:dyDescent="0.25">
      <c r="A267" s="25" t="s">
        <v>112</v>
      </c>
      <c r="B267" s="26">
        <v>0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1.8221621597367901</v>
      </c>
      <c r="Z267" s="26">
        <v>0</v>
      </c>
      <c r="AA267" s="26">
        <v>0</v>
      </c>
      <c r="AB267" s="26">
        <v>0</v>
      </c>
      <c r="AC267" s="26">
        <v>0</v>
      </c>
      <c r="AD267" s="26">
        <v>0</v>
      </c>
      <c r="AE267" s="26">
        <v>0</v>
      </c>
      <c r="AF267" s="26">
        <v>0</v>
      </c>
      <c r="AG267" s="26">
        <v>0</v>
      </c>
      <c r="AH267" s="26">
        <v>0</v>
      </c>
      <c r="AI267" s="26">
        <v>0</v>
      </c>
      <c r="AJ267" s="26">
        <v>0</v>
      </c>
      <c r="AK267" s="26">
        <v>0</v>
      </c>
      <c r="AL267" s="27">
        <f t="shared" si="8"/>
        <v>1.8221621597367901</v>
      </c>
      <c r="AM267" s="26">
        <f t="shared" si="9"/>
        <v>1822.16215973679</v>
      </c>
    </row>
    <row r="268" spans="1:39" x14ac:dyDescent="0.25">
      <c r="A268" s="25" t="s">
        <v>113</v>
      </c>
      <c r="B268" s="26">
        <v>0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26">
        <v>0</v>
      </c>
      <c r="V268" s="26">
        <v>0</v>
      </c>
      <c r="W268" s="26">
        <v>1.08439459170459E-2</v>
      </c>
      <c r="X268" s="26">
        <v>0</v>
      </c>
      <c r="Y268" s="26">
        <v>0</v>
      </c>
      <c r="Z268" s="26">
        <v>0</v>
      </c>
      <c r="AA268" s="26">
        <v>0</v>
      </c>
      <c r="AB268" s="26">
        <v>0</v>
      </c>
      <c r="AC268" s="26">
        <v>0</v>
      </c>
      <c r="AD268" s="26">
        <v>0</v>
      </c>
      <c r="AE268" s="26">
        <v>0</v>
      </c>
      <c r="AF268" s="26">
        <v>0</v>
      </c>
      <c r="AG268" s="26">
        <v>0</v>
      </c>
      <c r="AH268" s="26">
        <v>0</v>
      </c>
      <c r="AI268" s="26">
        <v>0</v>
      </c>
      <c r="AJ268" s="26">
        <v>0</v>
      </c>
      <c r="AK268" s="26">
        <v>0</v>
      </c>
      <c r="AL268" s="27">
        <f t="shared" si="8"/>
        <v>1.08439459170459E-2</v>
      </c>
      <c r="AM268" s="26">
        <f t="shared" si="9"/>
        <v>10.8439459170459</v>
      </c>
    </row>
    <row r="269" spans="1:39" x14ac:dyDescent="0.25">
      <c r="A269" s="25" t="s">
        <v>114</v>
      </c>
      <c r="B269" s="26">
        <v>0</v>
      </c>
      <c r="C269" s="26">
        <v>0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>
        <v>0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26">
        <v>0</v>
      </c>
      <c r="AE269" s="26">
        <v>0</v>
      </c>
      <c r="AF269" s="26">
        <v>0</v>
      </c>
      <c r="AG269" s="26">
        <v>0</v>
      </c>
      <c r="AH269" s="26">
        <v>0</v>
      </c>
      <c r="AI269" s="26">
        <v>2.60446450291797</v>
      </c>
      <c r="AJ269" s="26">
        <v>0</v>
      </c>
      <c r="AK269" s="26">
        <v>0</v>
      </c>
      <c r="AL269" s="27">
        <f t="shared" si="8"/>
        <v>2.60446450291797</v>
      </c>
      <c r="AM269" s="26">
        <f t="shared" si="9"/>
        <v>2604.4645029179701</v>
      </c>
    </row>
    <row r="270" spans="1:39" x14ac:dyDescent="0.25">
      <c r="A270" s="25" t="s">
        <v>115</v>
      </c>
      <c r="B270" s="26">
        <v>0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26">
        <v>0</v>
      </c>
      <c r="AG270" s="26">
        <v>0</v>
      </c>
      <c r="AH270" s="26">
        <v>0</v>
      </c>
      <c r="AI270" s="26">
        <v>2.2122341160350798</v>
      </c>
      <c r="AJ270" s="26">
        <v>0</v>
      </c>
      <c r="AK270" s="26">
        <v>0</v>
      </c>
      <c r="AL270" s="27">
        <f t="shared" si="8"/>
        <v>2.2122341160350798</v>
      </c>
      <c r="AM270" s="26">
        <f t="shared" si="9"/>
        <v>2212.2341160350798</v>
      </c>
    </row>
    <row r="271" spans="1:39" x14ac:dyDescent="0.25">
      <c r="A271" s="25" t="s">
        <v>116</v>
      </c>
      <c r="B271" s="26">
        <v>0</v>
      </c>
      <c r="C271" s="26">
        <v>0</v>
      </c>
      <c r="D271" s="26">
        <v>0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0</v>
      </c>
      <c r="AA271" s="26">
        <v>0</v>
      </c>
      <c r="AB271" s="26">
        <v>0</v>
      </c>
      <c r="AC271" s="26">
        <v>0</v>
      </c>
      <c r="AD271" s="26">
        <v>0</v>
      </c>
      <c r="AE271" s="26">
        <v>0</v>
      </c>
      <c r="AF271" s="26">
        <v>0</v>
      </c>
      <c r="AG271" s="26">
        <v>0</v>
      </c>
      <c r="AH271" s="26">
        <v>0</v>
      </c>
      <c r="AI271" s="26">
        <v>0</v>
      </c>
      <c r="AJ271" s="26">
        <v>0</v>
      </c>
      <c r="AK271" s="26">
        <v>1.71961420732371</v>
      </c>
      <c r="AL271" s="27">
        <f t="shared" si="8"/>
        <v>0</v>
      </c>
      <c r="AM271" s="26">
        <f t="shared" si="9"/>
        <v>0</v>
      </c>
    </row>
    <row r="272" spans="1:39" x14ac:dyDescent="0.25">
      <c r="A272" s="25" t="s">
        <v>117</v>
      </c>
      <c r="B272" s="26">
        <v>0</v>
      </c>
      <c r="C272" s="26">
        <v>0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0</v>
      </c>
      <c r="Z272" s="26">
        <v>0</v>
      </c>
      <c r="AA272" s="26">
        <v>0</v>
      </c>
      <c r="AB272" s="26">
        <v>0</v>
      </c>
      <c r="AC272" s="26">
        <v>0</v>
      </c>
      <c r="AD272" s="26">
        <v>0</v>
      </c>
      <c r="AE272" s="26">
        <v>0</v>
      </c>
      <c r="AF272" s="26">
        <v>0</v>
      </c>
      <c r="AG272" s="26">
        <v>0</v>
      </c>
      <c r="AH272" s="26">
        <v>0</v>
      </c>
      <c r="AI272" s="26">
        <v>0</v>
      </c>
      <c r="AJ272" s="26">
        <v>0</v>
      </c>
      <c r="AK272" s="26">
        <v>2.1502279682365701</v>
      </c>
      <c r="AL272" s="27">
        <f t="shared" si="8"/>
        <v>0</v>
      </c>
      <c r="AM272" s="26">
        <f t="shared" si="9"/>
        <v>0</v>
      </c>
    </row>
    <row r="273" spans="1:39" x14ac:dyDescent="0.25">
      <c r="A273" s="25" t="s">
        <v>118</v>
      </c>
      <c r="B273" s="26">
        <v>0</v>
      </c>
      <c r="C273" s="26">
        <v>0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1.46847563538685</v>
      </c>
      <c r="Z273" s="26">
        <v>0</v>
      </c>
      <c r="AA273" s="26">
        <v>0</v>
      </c>
      <c r="AB273" s="26">
        <v>0</v>
      </c>
      <c r="AC273" s="26">
        <v>0</v>
      </c>
      <c r="AD273" s="26">
        <v>0</v>
      </c>
      <c r="AE273" s="26">
        <v>0</v>
      </c>
      <c r="AF273" s="26">
        <v>0</v>
      </c>
      <c r="AG273" s="26">
        <v>0</v>
      </c>
      <c r="AH273" s="26">
        <v>0</v>
      </c>
      <c r="AI273" s="26">
        <v>0</v>
      </c>
      <c r="AJ273" s="26">
        <v>0</v>
      </c>
      <c r="AK273" s="26">
        <v>0</v>
      </c>
      <c r="AL273" s="27">
        <f t="shared" si="8"/>
        <v>1.46847563538685</v>
      </c>
      <c r="AM273" s="26">
        <f t="shared" si="9"/>
        <v>1468.4756353868499</v>
      </c>
    </row>
    <row r="274" spans="1:39" x14ac:dyDescent="0.25">
      <c r="A274" s="25" t="s">
        <v>119</v>
      </c>
      <c r="B274" s="26">
        <v>0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0</v>
      </c>
      <c r="Z274" s="26">
        <v>0</v>
      </c>
      <c r="AA274" s="26">
        <v>0</v>
      </c>
      <c r="AB274" s="26">
        <v>0</v>
      </c>
      <c r="AC274" s="26">
        <v>0</v>
      </c>
      <c r="AD274" s="26">
        <v>0</v>
      </c>
      <c r="AE274" s="26">
        <v>0</v>
      </c>
      <c r="AF274" s="26">
        <v>0</v>
      </c>
      <c r="AG274" s="26">
        <v>0</v>
      </c>
      <c r="AH274" s="26">
        <v>0</v>
      </c>
      <c r="AI274" s="26">
        <v>0</v>
      </c>
      <c r="AJ274" s="26">
        <v>0</v>
      </c>
      <c r="AK274" s="26">
        <v>0</v>
      </c>
      <c r="AL274" s="27">
        <f t="shared" si="8"/>
        <v>0</v>
      </c>
      <c r="AM274" s="26">
        <f t="shared" si="9"/>
        <v>0</v>
      </c>
    </row>
    <row r="275" spans="1:39" x14ac:dyDescent="0.25">
      <c r="A275" s="25" t="s">
        <v>120</v>
      </c>
      <c r="B275" s="26">
        <v>0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0</v>
      </c>
      <c r="X275" s="26">
        <v>0</v>
      </c>
      <c r="Y275" s="26">
        <v>0</v>
      </c>
      <c r="Z275" s="26">
        <v>0</v>
      </c>
      <c r="AA275" s="26">
        <v>0</v>
      </c>
      <c r="AB275" s="26">
        <v>0</v>
      </c>
      <c r="AC275" s="26">
        <v>0</v>
      </c>
      <c r="AD275" s="26">
        <v>0</v>
      </c>
      <c r="AE275" s="26">
        <v>0</v>
      </c>
      <c r="AF275" s="26">
        <v>0</v>
      </c>
      <c r="AG275" s="26">
        <v>0</v>
      </c>
      <c r="AH275" s="26">
        <v>0</v>
      </c>
      <c r="AI275" s="26">
        <v>0</v>
      </c>
      <c r="AJ275" s="26">
        <v>0</v>
      </c>
      <c r="AK275" s="26">
        <v>0</v>
      </c>
      <c r="AL275" s="27">
        <f t="shared" si="8"/>
        <v>0</v>
      </c>
      <c r="AM275" s="26">
        <f t="shared" si="9"/>
        <v>0</v>
      </c>
    </row>
    <row r="276" spans="1:39" x14ac:dyDescent="0.25">
      <c r="AL276" s="27">
        <f t="shared" si="8"/>
        <v>0</v>
      </c>
      <c r="AM276" s="26">
        <f t="shared" si="9"/>
        <v>0</v>
      </c>
    </row>
    <row r="277" spans="1:39" x14ac:dyDescent="0.25">
      <c r="A277" s="25" t="s">
        <v>128</v>
      </c>
      <c r="AL277" s="27">
        <f t="shared" si="8"/>
        <v>0</v>
      </c>
      <c r="AM277" s="26">
        <f t="shared" si="9"/>
        <v>0</v>
      </c>
    </row>
    <row r="278" spans="1:39" x14ac:dyDescent="0.25">
      <c r="A278" s="25" t="s">
        <v>89</v>
      </c>
      <c r="B278" s="26">
        <v>0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1.07947388242977</v>
      </c>
      <c r="Z278" s="26">
        <v>0</v>
      </c>
      <c r="AA278" s="26">
        <v>0</v>
      </c>
      <c r="AB278" s="26">
        <v>0</v>
      </c>
      <c r="AC278" s="26">
        <v>0</v>
      </c>
      <c r="AD278" s="26">
        <v>0</v>
      </c>
      <c r="AE278" s="26">
        <v>0</v>
      </c>
      <c r="AF278" s="26">
        <v>0</v>
      </c>
      <c r="AG278" s="26">
        <v>0</v>
      </c>
      <c r="AH278" s="26">
        <v>0</v>
      </c>
      <c r="AI278" s="26">
        <v>0</v>
      </c>
      <c r="AJ278" s="26">
        <v>0</v>
      </c>
      <c r="AK278" s="26">
        <v>0</v>
      </c>
      <c r="AL278" s="27">
        <f t="shared" si="8"/>
        <v>1.07947388242977</v>
      </c>
      <c r="AM278" s="26">
        <f t="shared" si="9"/>
        <v>1079.4738824297701</v>
      </c>
    </row>
    <row r="279" spans="1:39" x14ac:dyDescent="0.25">
      <c r="A279" s="25" t="s">
        <v>90</v>
      </c>
      <c r="B279" s="26">
        <v>0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1.7328308928870999</v>
      </c>
      <c r="J279" s="26">
        <v>1.7540910214557399</v>
      </c>
      <c r="K279" s="26">
        <v>1.76202044315044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  <c r="AE279" s="26">
        <v>0</v>
      </c>
      <c r="AF279" s="26">
        <v>0</v>
      </c>
      <c r="AG279" s="26">
        <v>0</v>
      </c>
      <c r="AH279" s="26">
        <v>0</v>
      </c>
      <c r="AI279" s="26">
        <v>0</v>
      </c>
      <c r="AJ279" s="26">
        <v>0</v>
      </c>
      <c r="AK279" s="26">
        <v>0</v>
      </c>
      <c r="AL279" s="27">
        <f t="shared" si="8"/>
        <v>0</v>
      </c>
      <c r="AM279" s="26">
        <f t="shared" si="9"/>
        <v>0</v>
      </c>
    </row>
    <row r="280" spans="1:39" x14ac:dyDescent="0.25">
      <c r="A280" s="25" t="s">
        <v>91</v>
      </c>
      <c r="B280" s="26">
        <v>0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26">
        <v>0</v>
      </c>
      <c r="AA280" s="26">
        <v>0</v>
      </c>
      <c r="AB280" s="26">
        <v>0</v>
      </c>
      <c r="AC280" s="26">
        <v>0</v>
      </c>
      <c r="AD280" s="26">
        <v>0</v>
      </c>
      <c r="AE280" s="26">
        <v>0</v>
      </c>
      <c r="AF280" s="26">
        <v>0</v>
      </c>
      <c r="AG280" s="26">
        <v>0</v>
      </c>
      <c r="AH280" s="26">
        <v>0</v>
      </c>
      <c r="AI280" s="26">
        <v>0</v>
      </c>
      <c r="AJ280" s="26">
        <v>0</v>
      </c>
      <c r="AK280" s="26">
        <v>0</v>
      </c>
      <c r="AL280" s="27">
        <f t="shared" si="8"/>
        <v>0</v>
      </c>
      <c r="AM280" s="26">
        <f t="shared" si="9"/>
        <v>0</v>
      </c>
    </row>
    <row r="281" spans="1:39" x14ac:dyDescent="0.25">
      <c r="A281" s="25" t="s">
        <v>92</v>
      </c>
      <c r="B281" s="26">
        <v>0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6">
        <v>0</v>
      </c>
      <c r="AB281" s="26">
        <v>0</v>
      </c>
      <c r="AC281" s="26">
        <v>0</v>
      </c>
      <c r="AD281" s="26">
        <v>0</v>
      </c>
      <c r="AE281" s="26">
        <v>0</v>
      </c>
      <c r="AF281" s="26">
        <v>0</v>
      </c>
      <c r="AG281" s="26">
        <v>0</v>
      </c>
      <c r="AH281" s="26">
        <v>0</v>
      </c>
      <c r="AI281" s="26">
        <v>3.8885806644940701</v>
      </c>
      <c r="AJ281" s="26">
        <v>0</v>
      </c>
      <c r="AK281" s="26">
        <v>0</v>
      </c>
      <c r="AL281" s="27">
        <f t="shared" si="8"/>
        <v>3.8885806644940701</v>
      </c>
      <c r="AM281" s="26">
        <f t="shared" si="9"/>
        <v>3888.5806644940703</v>
      </c>
    </row>
    <row r="282" spans="1:39" x14ac:dyDescent="0.25">
      <c r="A282" s="25" t="s">
        <v>93</v>
      </c>
      <c r="B282" s="26">
        <v>0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31.0148490662129</v>
      </c>
      <c r="X282" s="26">
        <v>0</v>
      </c>
      <c r="Y282" s="26">
        <v>0</v>
      </c>
      <c r="Z282" s="26">
        <v>0</v>
      </c>
      <c r="AA282" s="26">
        <v>0</v>
      </c>
      <c r="AB282" s="26">
        <v>0</v>
      </c>
      <c r="AC282" s="26">
        <v>0</v>
      </c>
      <c r="AD282" s="26">
        <v>0</v>
      </c>
      <c r="AE282" s="26">
        <v>0</v>
      </c>
      <c r="AF282" s="26">
        <v>0</v>
      </c>
      <c r="AG282" s="26">
        <v>0</v>
      </c>
      <c r="AH282" s="26">
        <v>0</v>
      </c>
      <c r="AI282" s="26">
        <v>0</v>
      </c>
      <c r="AJ282" s="26">
        <v>0</v>
      </c>
      <c r="AK282" s="26">
        <v>0</v>
      </c>
      <c r="AL282" s="27">
        <f t="shared" si="8"/>
        <v>31.0148490662129</v>
      </c>
      <c r="AM282" s="26">
        <f t="shared" si="9"/>
        <v>31014.849066212901</v>
      </c>
    </row>
    <row r="283" spans="1:39" x14ac:dyDescent="0.25">
      <c r="A283" s="25" t="s">
        <v>94</v>
      </c>
      <c r="B283" s="26">
        <v>0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1.5839924805861201</v>
      </c>
      <c r="X283" s="26">
        <v>0</v>
      </c>
      <c r="Y283" s="26">
        <v>0</v>
      </c>
      <c r="Z283" s="26">
        <v>0</v>
      </c>
      <c r="AA283" s="26">
        <v>0</v>
      </c>
      <c r="AB283" s="26">
        <v>0</v>
      </c>
      <c r="AC283" s="26">
        <v>0</v>
      </c>
      <c r="AD283" s="26">
        <v>0</v>
      </c>
      <c r="AE283" s="26">
        <v>0</v>
      </c>
      <c r="AF283" s="26">
        <v>0</v>
      </c>
      <c r="AG283" s="26">
        <v>0</v>
      </c>
      <c r="AH283" s="26">
        <v>0</v>
      </c>
      <c r="AI283" s="26">
        <v>0</v>
      </c>
      <c r="AJ283" s="26">
        <v>0</v>
      </c>
      <c r="AK283" s="26">
        <v>0</v>
      </c>
      <c r="AL283" s="27">
        <f t="shared" si="8"/>
        <v>1.5839924805861201</v>
      </c>
      <c r="AM283" s="26">
        <f t="shared" si="9"/>
        <v>1583.9924805861201</v>
      </c>
    </row>
    <row r="284" spans="1:39" x14ac:dyDescent="0.25">
      <c r="A284" s="25" t="s">
        <v>95</v>
      </c>
      <c r="B284" s="26">
        <v>0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0</v>
      </c>
      <c r="X284" s="26">
        <v>0</v>
      </c>
      <c r="Y284" s="26">
        <v>0</v>
      </c>
      <c r="Z284" s="26">
        <v>0</v>
      </c>
      <c r="AA284" s="26">
        <v>0</v>
      </c>
      <c r="AB284" s="26">
        <v>0</v>
      </c>
      <c r="AC284" s="26">
        <v>0</v>
      </c>
      <c r="AD284" s="26">
        <v>0</v>
      </c>
      <c r="AE284" s="26">
        <v>0</v>
      </c>
      <c r="AF284" s="26">
        <v>0</v>
      </c>
      <c r="AG284" s="26">
        <v>0</v>
      </c>
      <c r="AH284" s="26">
        <v>0</v>
      </c>
      <c r="AI284" s="26">
        <v>0</v>
      </c>
      <c r="AJ284" s="26">
        <v>0</v>
      </c>
      <c r="AK284" s="26">
        <v>0</v>
      </c>
      <c r="AL284" s="27">
        <f t="shared" si="8"/>
        <v>0</v>
      </c>
      <c r="AM284" s="26">
        <f t="shared" si="9"/>
        <v>0</v>
      </c>
    </row>
    <row r="285" spans="1:39" x14ac:dyDescent="0.25">
      <c r="A285" s="25" t="s">
        <v>96</v>
      </c>
      <c r="B285" s="26">
        <v>0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1.3806755498316199E-2</v>
      </c>
      <c r="X285" s="26">
        <v>0</v>
      </c>
      <c r="Y285" s="26">
        <v>0</v>
      </c>
      <c r="Z285" s="26">
        <v>0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26">
        <v>0</v>
      </c>
      <c r="AG285" s="26">
        <v>0</v>
      </c>
      <c r="AH285" s="26">
        <v>0</v>
      </c>
      <c r="AI285" s="26">
        <v>0</v>
      </c>
      <c r="AJ285" s="26">
        <v>0</v>
      </c>
      <c r="AK285" s="26">
        <v>0</v>
      </c>
      <c r="AL285" s="27">
        <f t="shared" si="8"/>
        <v>1.3806755498316199E-2</v>
      </c>
      <c r="AM285" s="26">
        <f t="shared" si="9"/>
        <v>13.8067554983162</v>
      </c>
    </row>
    <row r="286" spans="1:39" x14ac:dyDescent="0.25">
      <c r="A286" s="25" t="s">
        <v>97</v>
      </c>
      <c r="B286" s="26">
        <v>0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0</v>
      </c>
      <c r="X286" s="26">
        <v>0</v>
      </c>
      <c r="Y286" s="26">
        <v>0</v>
      </c>
      <c r="Z286" s="26">
        <v>0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>
        <v>0</v>
      </c>
      <c r="AG286" s="26">
        <v>0</v>
      </c>
      <c r="AH286" s="26">
        <v>0</v>
      </c>
      <c r="AI286" s="26">
        <v>6.29126671342362</v>
      </c>
      <c r="AJ286" s="26">
        <v>0</v>
      </c>
      <c r="AK286" s="26">
        <v>0</v>
      </c>
      <c r="AL286" s="27">
        <f t="shared" si="8"/>
        <v>6.29126671342362</v>
      </c>
      <c r="AM286" s="26">
        <f t="shared" si="9"/>
        <v>6291.2667134236199</v>
      </c>
    </row>
    <row r="287" spans="1:39" x14ac:dyDescent="0.25">
      <c r="A287" s="25" t="s">
        <v>98</v>
      </c>
      <c r="B287" s="26">
        <v>0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1.0835119434704501</v>
      </c>
      <c r="X287" s="26">
        <v>0</v>
      </c>
      <c r="Y287" s="26">
        <v>0</v>
      </c>
      <c r="Z287" s="26">
        <v>0</v>
      </c>
      <c r="AA287" s="26">
        <v>0</v>
      </c>
      <c r="AB287" s="26">
        <v>0</v>
      </c>
      <c r="AC287" s="26">
        <v>0</v>
      </c>
      <c r="AD287" s="26">
        <v>0</v>
      </c>
      <c r="AE287" s="26">
        <v>0</v>
      </c>
      <c r="AF287" s="26">
        <v>0</v>
      </c>
      <c r="AG287" s="26">
        <v>0</v>
      </c>
      <c r="AH287" s="26">
        <v>0</v>
      </c>
      <c r="AI287" s="26">
        <v>0</v>
      </c>
      <c r="AJ287" s="26">
        <v>0</v>
      </c>
      <c r="AK287" s="26">
        <v>0</v>
      </c>
      <c r="AL287" s="27">
        <f t="shared" si="8"/>
        <v>1.0835119434704501</v>
      </c>
      <c r="AM287" s="26">
        <f t="shared" si="9"/>
        <v>1083.5119434704502</v>
      </c>
    </row>
    <row r="288" spans="1:39" x14ac:dyDescent="0.25">
      <c r="A288" s="25" t="s">
        <v>99</v>
      </c>
      <c r="B288" s="26">
        <v>0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1.61815543609572</v>
      </c>
      <c r="X288" s="26">
        <v>0</v>
      </c>
      <c r="Y288" s="26">
        <v>0</v>
      </c>
      <c r="Z288" s="26">
        <v>0</v>
      </c>
      <c r="AA288" s="26">
        <v>0</v>
      </c>
      <c r="AB288" s="26">
        <v>0</v>
      </c>
      <c r="AC288" s="26">
        <v>0</v>
      </c>
      <c r="AD288" s="26">
        <v>0</v>
      </c>
      <c r="AE288" s="26">
        <v>0</v>
      </c>
      <c r="AF288" s="26">
        <v>0</v>
      </c>
      <c r="AG288" s="26">
        <v>0</v>
      </c>
      <c r="AH288" s="26">
        <v>0</v>
      </c>
      <c r="AI288" s="26">
        <v>0</v>
      </c>
      <c r="AJ288" s="26">
        <v>0</v>
      </c>
      <c r="AK288" s="26">
        <v>0</v>
      </c>
      <c r="AL288" s="27">
        <f t="shared" si="8"/>
        <v>1.61815543609572</v>
      </c>
      <c r="AM288" s="26">
        <f t="shared" si="9"/>
        <v>1618.15543609572</v>
      </c>
    </row>
    <row r="289" spans="1:39" x14ac:dyDescent="0.25">
      <c r="A289" s="25" t="s">
        <v>100</v>
      </c>
      <c r="B289" s="26">
        <v>0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3.47431574668787</v>
      </c>
      <c r="X289" s="26">
        <v>0</v>
      </c>
      <c r="Y289" s="26">
        <v>0</v>
      </c>
      <c r="Z289" s="26">
        <v>0</v>
      </c>
      <c r="AA289" s="26">
        <v>0</v>
      </c>
      <c r="AB289" s="26">
        <v>0</v>
      </c>
      <c r="AC289" s="26">
        <v>0</v>
      </c>
      <c r="AD289" s="26">
        <v>0</v>
      </c>
      <c r="AE289" s="26">
        <v>0</v>
      </c>
      <c r="AF289" s="26">
        <v>0</v>
      </c>
      <c r="AG289" s="26">
        <v>0</v>
      </c>
      <c r="AH289" s="26">
        <v>0</v>
      </c>
      <c r="AI289" s="26">
        <v>0</v>
      </c>
      <c r="AJ289" s="26">
        <v>0</v>
      </c>
      <c r="AK289" s="26">
        <v>0</v>
      </c>
      <c r="AL289" s="27">
        <f t="shared" si="8"/>
        <v>3.47431574668787</v>
      </c>
      <c r="AM289" s="26">
        <f t="shared" si="9"/>
        <v>3474.3157466878702</v>
      </c>
    </row>
    <row r="290" spans="1:39" x14ac:dyDescent="0.25">
      <c r="A290" s="25" t="s">
        <v>101</v>
      </c>
      <c r="B290" s="26">
        <v>0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6">
        <v>0</v>
      </c>
      <c r="X290" s="26">
        <v>0</v>
      </c>
      <c r="Y290" s="26">
        <v>20.757588044241999</v>
      </c>
      <c r="Z290" s="26">
        <v>0</v>
      </c>
      <c r="AA290" s="26">
        <v>0</v>
      </c>
      <c r="AB290" s="26">
        <v>0</v>
      </c>
      <c r="AC290" s="26">
        <v>0</v>
      </c>
      <c r="AD290" s="26">
        <v>0</v>
      </c>
      <c r="AE290" s="26">
        <v>0</v>
      </c>
      <c r="AF290" s="26">
        <v>0</v>
      </c>
      <c r="AG290" s="26">
        <v>0</v>
      </c>
      <c r="AH290" s="26">
        <v>0</v>
      </c>
      <c r="AI290" s="26">
        <v>0</v>
      </c>
      <c r="AJ290" s="26">
        <v>0</v>
      </c>
      <c r="AK290" s="26">
        <v>0</v>
      </c>
      <c r="AL290" s="27">
        <f t="shared" si="8"/>
        <v>20.757588044241999</v>
      </c>
      <c r="AM290" s="26">
        <f t="shared" si="9"/>
        <v>20757.588044241998</v>
      </c>
    </row>
    <row r="291" spans="1:39" x14ac:dyDescent="0.25">
      <c r="A291" s="25" t="s">
        <v>102</v>
      </c>
      <c r="B291" s="26">
        <v>0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5.1783102228290199</v>
      </c>
      <c r="X291" s="26">
        <v>0</v>
      </c>
      <c r="Y291" s="26">
        <v>0</v>
      </c>
      <c r="Z291" s="26">
        <v>0</v>
      </c>
      <c r="AA291" s="26">
        <v>0</v>
      </c>
      <c r="AB291" s="26">
        <v>0</v>
      </c>
      <c r="AC291" s="26">
        <v>0</v>
      </c>
      <c r="AD291" s="26">
        <v>0</v>
      </c>
      <c r="AE291" s="26">
        <v>0</v>
      </c>
      <c r="AF291" s="26">
        <v>0</v>
      </c>
      <c r="AG291" s="26">
        <v>0</v>
      </c>
      <c r="AH291" s="26">
        <v>0</v>
      </c>
      <c r="AI291" s="26">
        <v>0</v>
      </c>
      <c r="AJ291" s="26">
        <v>0</v>
      </c>
      <c r="AK291" s="26">
        <v>0</v>
      </c>
      <c r="AL291" s="27">
        <f t="shared" si="8"/>
        <v>5.1783102228290199</v>
      </c>
      <c r="AM291" s="26">
        <f t="shared" si="9"/>
        <v>5178.3102228290199</v>
      </c>
    </row>
    <row r="292" spans="1:39" x14ac:dyDescent="0.25">
      <c r="A292" s="25" t="s">
        <v>103</v>
      </c>
      <c r="B292" s="26">
        <v>0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0</v>
      </c>
      <c r="V292" s="26">
        <v>0</v>
      </c>
      <c r="W292" s="26">
        <v>15.207773096453399</v>
      </c>
      <c r="X292" s="26">
        <v>0</v>
      </c>
      <c r="Y292" s="26">
        <v>0</v>
      </c>
      <c r="Z292" s="26">
        <v>0</v>
      </c>
      <c r="AA292" s="26">
        <v>0</v>
      </c>
      <c r="AB292" s="26">
        <v>0</v>
      </c>
      <c r="AC292" s="26">
        <v>0</v>
      </c>
      <c r="AD292" s="26">
        <v>0</v>
      </c>
      <c r="AE292" s="26">
        <v>0</v>
      </c>
      <c r="AF292" s="26">
        <v>0</v>
      </c>
      <c r="AG292" s="26">
        <v>0</v>
      </c>
      <c r="AH292" s="26">
        <v>0</v>
      </c>
      <c r="AI292" s="26">
        <v>0</v>
      </c>
      <c r="AJ292" s="26">
        <v>0</v>
      </c>
      <c r="AK292" s="26">
        <v>0</v>
      </c>
      <c r="AL292" s="27">
        <f t="shared" si="8"/>
        <v>15.207773096453399</v>
      </c>
      <c r="AM292" s="26">
        <f t="shared" si="9"/>
        <v>15207.7730964534</v>
      </c>
    </row>
    <row r="293" spans="1:39" x14ac:dyDescent="0.25">
      <c r="A293" s="25" t="s">
        <v>104</v>
      </c>
      <c r="B293" s="26">
        <v>0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0</v>
      </c>
      <c r="V293" s="26">
        <v>0</v>
      </c>
      <c r="W293" s="26">
        <v>0</v>
      </c>
      <c r="X293" s="26">
        <v>0</v>
      </c>
      <c r="Y293" s="26">
        <v>0</v>
      </c>
      <c r="Z293" s="26">
        <v>0</v>
      </c>
      <c r="AA293" s="26">
        <v>0</v>
      </c>
      <c r="AB293" s="26">
        <v>0</v>
      </c>
      <c r="AC293" s="26">
        <v>0</v>
      </c>
      <c r="AD293" s="26">
        <v>0</v>
      </c>
      <c r="AE293" s="26">
        <v>0</v>
      </c>
      <c r="AF293" s="26">
        <v>0</v>
      </c>
      <c r="AG293" s="26">
        <v>0</v>
      </c>
      <c r="AH293" s="26">
        <v>0</v>
      </c>
      <c r="AI293" s="26">
        <v>33.138469275433799</v>
      </c>
      <c r="AJ293" s="26">
        <v>0</v>
      </c>
      <c r="AK293" s="26">
        <v>0</v>
      </c>
      <c r="AL293" s="27">
        <f t="shared" si="8"/>
        <v>33.138469275433799</v>
      </c>
      <c r="AM293" s="26">
        <f t="shared" si="9"/>
        <v>33138.469275433796</v>
      </c>
    </row>
    <row r="294" spans="1:39" x14ac:dyDescent="0.25">
      <c r="A294" s="25" t="s">
        <v>105</v>
      </c>
      <c r="B294" s="26">
        <v>0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0</v>
      </c>
      <c r="X294" s="26">
        <v>0</v>
      </c>
      <c r="Y294" s="26">
        <v>0</v>
      </c>
      <c r="Z294" s="26">
        <v>0</v>
      </c>
      <c r="AA294" s="26">
        <v>0</v>
      </c>
      <c r="AB294" s="26">
        <v>0</v>
      </c>
      <c r="AC294" s="26">
        <v>0</v>
      </c>
      <c r="AD294" s="26">
        <v>0</v>
      </c>
      <c r="AE294" s="26">
        <v>0</v>
      </c>
      <c r="AF294" s="26">
        <v>0</v>
      </c>
      <c r="AG294" s="26">
        <v>0</v>
      </c>
      <c r="AH294" s="26">
        <v>0</v>
      </c>
      <c r="AI294" s="26">
        <v>0</v>
      </c>
      <c r="AJ294" s="26">
        <v>0</v>
      </c>
      <c r="AK294" s="26">
        <v>0</v>
      </c>
      <c r="AL294" s="27">
        <f t="shared" si="8"/>
        <v>0</v>
      </c>
      <c r="AM294" s="26">
        <f t="shared" si="9"/>
        <v>0</v>
      </c>
    </row>
    <row r="295" spans="1:39" x14ac:dyDescent="0.25">
      <c r="A295" s="25" t="s">
        <v>106</v>
      </c>
      <c r="B295" s="26">
        <v>0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26">
        <v>0</v>
      </c>
      <c r="U295" s="26">
        <v>0</v>
      </c>
      <c r="V295" s="26">
        <v>0</v>
      </c>
      <c r="W295" s="26">
        <v>4.3148608194109297</v>
      </c>
      <c r="X295" s="26">
        <v>0</v>
      </c>
      <c r="Y295" s="26">
        <v>0</v>
      </c>
      <c r="Z295" s="26">
        <v>0</v>
      </c>
      <c r="AA295" s="26">
        <v>0</v>
      </c>
      <c r="AB295" s="26">
        <v>0</v>
      </c>
      <c r="AC295" s="26">
        <v>0</v>
      </c>
      <c r="AD295" s="26">
        <v>0</v>
      </c>
      <c r="AE295" s="26">
        <v>0</v>
      </c>
      <c r="AF295" s="26">
        <v>0</v>
      </c>
      <c r="AG295" s="26">
        <v>0</v>
      </c>
      <c r="AH295" s="26">
        <v>0</v>
      </c>
      <c r="AI295" s="26">
        <v>0</v>
      </c>
      <c r="AJ295" s="26">
        <v>0</v>
      </c>
      <c r="AK295" s="26">
        <v>0</v>
      </c>
      <c r="AL295" s="27">
        <f t="shared" si="8"/>
        <v>4.3148608194109297</v>
      </c>
      <c r="AM295" s="26">
        <f t="shared" si="9"/>
        <v>4314.8608194109293</v>
      </c>
    </row>
    <row r="296" spans="1:39" x14ac:dyDescent="0.25">
      <c r="A296" s="25" t="s">
        <v>107</v>
      </c>
      <c r="B296" s="26">
        <v>0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0</v>
      </c>
      <c r="V296" s="26">
        <v>0</v>
      </c>
      <c r="W296" s="26">
        <v>0</v>
      </c>
      <c r="X296" s="26">
        <v>0</v>
      </c>
      <c r="Y296" s="26">
        <v>0</v>
      </c>
      <c r="Z296" s="26">
        <v>0</v>
      </c>
      <c r="AA296" s="26">
        <v>0</v>
      </c>
      <c r="AB296" s="26">
        <v>0</v>
      </c>
      <c r="AC296" s="26">
        <v>0</v>
      </c>
      <c r="AD296" s="26">
        <v>0</v>
      </c>
      <c r="AE296" s="26">
        <v>0</v>
      </c>
      <c r="AF296" s="26">
        <v>0</v>
      </c>
      <c r="AG296" s="26">
        <v>0</v>
      </c>
      <c r="AH296" s="26">
        <v>0</v>
      </c>
      <c r="AI296" s="26">
        <v>6.1948478395034101</v>
      </c>
      <c r="AJ296" s="26">
        <v>0</v>
      </c>
      <c r="AK296" s="26">
        <v>0</v>
      </c>
      <c r="AL296" s="27">
        <f t="shared" si="8"/>
        <v>6.1948478395034101</v>
      </c>
      <c r="AM296" s="26">
        <f t="shared" si="9"/>
        <v>6194.8478395034099</v>
      </c>
    </row>
    <row r="297" spans="1:39" x14ac:dyDescent="0.25">
      <c r="A297" s="25" t="s">
        <v>108</v>
      </c>
      <c r="B297" s="26">
        <v>0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0</v>
      </c>
      <c r="V297" s="26">
        <v>0</v>
      </c>
      <c r="W297" s="26">
        <v>0</v>
      </c>
      <c r="X297" s="26">
        <v>0</v>
      </c>
      <c r="Y297" s="26">
        <v>0</v>
      </c>
      <c r="Z297" s="26">
        <v>3.0503901307069601</v>
      </c>
      <c r="AA297" s="26">
        <v>0</v>
      </c>
      <c r="AB297" s="26">
        <v>0</v>
      </c>
      <c r="AC297" s="26">
        <v>0</v>
      </c>
      <c r="AD297" s="26">
        <v>0</v>
      </c>
      <c r="AE297" s="26">
        <v>0</v>
      </c>
      <c r="AF297" s="26">
        <v>0</v>
      </c>
      <c r="AG297" s="26">
        <v>0</v>
      </c>
      <c r="AH297" s="26">
        <v>0</v>
      </c>
      <c r="AI297" s="26">
        <v>0</v>
      </c>
      <c r="AJ297" s="26">
        <v>0</v>
      </c>
      <c r="AK297" s="26">
        <v>0</v>
      </c>
      <c r="AL297" s="27">
        <f t="shared" si="8"/>
        <v>3.0503901307069601</v>
      </c>
      <c r="AM297" s="26">
        <f t="shared" si="9"/>
        <v>3050.39013070696</v>
      </c>
    </row>
    <row r="298" spans="1:39" x14ac:dyDescent="0.25">
      <c r="A298" s="25" t="s">
        <v>109</v>
      </c>
      <c r="B298" s="26">
        <v>0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0</v>
      </c>
      <c r="V298" s="26">
        <v>0</v>
      </c>
      <c r="W298" s="26">
        <v>0</v>
      </c>
      <c r="X298" s="26">
        <v>0</v>
      </c>
      <c r="Y298" s="26">
        <v>0</v>
      </c>
      <c r="Z298" s="26">
        <v>0</v>
      </c>
      <c r="AA298" s="26">
        <v>0</v>
      </c>
      <c r="AB298" s="26">
        <v>0</v>
      </c>
      <c r="AC298" s="26">
        <v>0</v>
      </c>
      <c r="AD298" s="26">
        <v>0</v>
      </c>
      <c r="AE298" s="26">
        <v>0</v>
      </c>
      <c r="AF298" s="26">
        <v>0</v>
      </c>
      <c r="AG298" s="26">
        <v>0</v>
      </c>
      <c r="AH298" s="26">
        <v>0</v>
      </c>
      <c r="AI298" s="26">
        <v>0</v>
      </c>
      <c r="AJ298" s="26">
        <v>0</v>
      </c>
      <c r="AK298" s="26">
        <v>0</v>
      </c>
      <c r="AL298" s="27">
        <f t="shared" si="8"/>
        <v>0</v>
      </c>
      <c r="AM298" s="26">
        <f t="shared" si="9"/>
        <v>0</v>
      </c>
    </row>
    <row r="299" spans="1:39" x14ac:dyDescent="0.25">
      <c r="A299" s="25" t="s">
        <v>110</v>
      </c>
      <c r="B299" s="26">
        <v>0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0</v>
      </c>
      <c r="X299" s="26">
        <v>0</v>
      </c>
      <c r="Y299" s="26">
        <v>0.14148826377830101</v>
      </c>
      <c r="Z299" s="26">
        <v>0</v>
      </c>
      <c r="AA299" s="26">
        <v>0</v>
      </c>
      <c r="AB299" s="26">
        <v>0</v>
      </c>
      <c r="AC299" s="26">
        <v>0</v>
      </c>
      <c r="AD299" s="26">
        <v>0</v>
      </c>
      <c r="AE299" s="26">
        <v>0</v>
      </c>
      <c r="AF299" s="26">
        <v>0</v>
      </c>
      <c r="AG299" s="26">
        <v>0</v>
      </c>
      <c r="AH299" s="26">
        <v>0</v>
      </c>
      <c r="AI299" s="26">
        <v>0</v>
      </c>
      <c r="AJ299" s="26">
        <v>0</v>
      </c>
      <c r="AK299" s="26">
        <v>0</v>
      </c>
      <c r="AL299" s="27">
        <f t="shared" si="8"/>
        <v>0.14148826377830101</v>
      </c>
      <c r="AM299" s="26">
        <f t="shared" si="9"/>
        <v>141.48826377830102</v>
      </c>
    </row>
    <row r="300" spans="1:39" x14ac:dyDescent="0.25">
      <c r="A300" s="25" t="s">
        <v>111</v>
      </c>
      <c r="B300" s="26">
        <v>0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  <c r="V300" s="26">
        <v>0</v>
      </c>
      <c r="W300" s="26">
        <v>0</v>
      </c>
      <c r="X300" s="26">
        <v>0</v>
      </c>
      <c r="Y300" s="26">
        <v>0</v>
      </c>
      <c r="Z300" s="26">
        <v>0</v>
      </c>
      <c r="AA300" s="26">
        <v>0.99359055451450096</v>
      </c>
      <c r="AB300" s="26">
        <v>0</v>
      </c>
      <c r="AC300" s="26">
        <v>0</v>
      </c>
      <c r="AD300" s="26">
        <v>0</v>
      </c>
      <c r="AE300" s="26">
        <v>0</v>
      </c>
      <c r="AF300" s="26">
        <v>0</v>
      </c>
      <c r="AG300" s="26">
        <v>0</v>
      </c>
      <c r="AH300" s="26">
        <v>0</v>
      </c>
      <c r="AI300" s="26">
        <v>0</v>
      </c>
      <c r="AJ300" s="26">
        <v>0</v>
      </c>
      <c r="AK300" s="26">
        <v>0</v>
      </c>
      <c r="AL300" s="27">
        <f t="shared" si="8"/>
        <v>0.99359055451450096</v>
      </c>
      <c r="AM300" s="26">
        <f t="shared" si="9"/>
        <v>993.59055451450092</v>
      </c>
    </row>
    <row r="301" spans="1:39" x14ac:dyDescent="0.25">
      <c r="A301" s="25" t="s">
        <v>112</v>
      </c>
      <c r="B301" s="26">
        <v>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  <c r="V301" s="26">
        <v>0</v>
      </c>
      <c r="W301" s="26">
        <v>0</v>
      </c>
      <c r="X301" s="26">
        <v>0</v>
      </c>
      <c r="Y301" s="26">
        <v>2.8229288761770102</v>
      </c>
      <c r="Z301" s="26">
        <v>0</v>
      </c>
      <c r="AA301" s="26">
        <v>0</v>
      </c>
      <c r="AB301" s="26">
        <v>0</v>
      </c>
      <c r="AC301" s="26">
        <v>0</v>
      </c>
      <c r="AD301" s="26">
        <v>0</v>
      </c>
      <c r="AE301" s="26">
        <v>0</v>
      </c>
      <c r="AF301" s="26">
        <v>0</v>
      </c>
      <c r="AG301" s="26">
        <v>0</v>
      </c>
      <c r="AH301" s="26">
        <v>0</v>
      </c>
      <c r="AI301" s="26">
        <v>0</v>
      </c>
      <c r="AJ301" s="26">
        <v>0</v>
      </c>
      <c r="AK301" s="26">
        <v>0</v>
      </c>
      <c r="AL301" s="27">
        <f t="shared" si="8"/>
        <v>2.8229288761770102</v>
      </c>
      <c r="AM301" s="26">
        <f t="shared" si="9"/>
        <v>2822.9288761770104</v>
      </c>
    </row>
    <row r="302" spans="1:39" x14ac:dyDescent="0.25">
      <c r="A302" s="25" t="s">
        <v>113</v>
      </c>
      <c r="B302" s="26">
        <v>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  <c r="V302" s="26">
        <v>0</v>
      </c>
      <c r="W302" s="26">
        <v>5.6702976395442903E-3</v>
      </c>
      <c r="X302" s="26">
        <v>0</v>
      </c>
      <c r="Y302" s="26">
        <v>0</v>
      </c>
      <c r="Z302" s="26">
        <v>0</v>
      </c>
      <c r="AA302" s="26">
        <v>0</v>
      </c>
      <c r="AB302" s="26">
        <v>0</v>
      </c>
      <c r="AC302" s="26">
        <v>0</v>
      </c>
      <c r="AD302" s="26">
        <v>0</v>
      </c>
      <c r="AE302" s="26">
        <v>0</v>
      </c>
      <c r="AF302" s="26">
        <v>0</v>
      </c>
      <c r="AG302" s="26">
        <v>0</v>
      </c>
      <c r="AH302" s="26">
        <v>0</v>
      </c>
      <c r="AI302" s="26">
        <v>0</v>
      </c>
      <c r="AJ302" s="26">
        <v>0</v>
      </c>
      <c r="AK302" s="26">
        <v>0</v>
      </c>
      <c r="AL302" s="27">
        <f t="shared" si="8"/>
        <v>5.6702976395442903E-3</v>
      </c>
      <c r="AM302" s="26">
        <f t="shared" si="9"/>
        <v>5.6702976395442901</v>
      </c>
    </row>
    <row r="303" spans="1:39" x14ac:dyDescent="0.25">
      <c r="A303" s="25" t="s">
        <v>114</v>
      </c>
      <c r="B303" s="26">
        <v>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0</v>
      </c>
      <c r="V303" s="26">
        <v>0</v>
      </c>
      <c r="W303" s="26">
        <v>0</v>
      </c>
      <c r="X303" s="26">
        <v>0</v>
      </c>
      <c r="Y303" s="26">
        <v>0</v>
      </c>
      <c r="Z303" s="26">
        <v>0</v>
      </c>
      <c r="AA303" s="26">
        <v>0</v>
      </c>
      <c r="AB303" s="26">
        <v>0</v>
      </c>
      <c r="AC303" s="26">
        <v>0</v>
      </c>
      <c r="AD303" s="26">
        <v>0</v>
      </c>
      <c r="AE303" s="26">
        <v>0</v>
      </c>
      <c r="AF303" s="26">
        <v>0</v>
      </c>
      <c r="AG303" s="26">
        <v>0</v>
      </c>
      <c r="AH303" s="26">
        <v>0</v>
      </c>
      <c r="AI303" s="26">
        <v>9.1082354156076306</v>
      </c>
      <c r="AJ303" s="26">
        <v>0</v>
      </c>
      <c r="AK303" s="26">
        <v>0</v>
      </c>
      <c r="AL303" s="27">
        <f t="shared" si="8"/>
        <v>9.1082354156076306</v>
      </c>
      <c r="AM303" s="26">
        <f t="shared" si="9"/>
        <v>9108.2354156076308</v>
      </c>
    </row>
    <row r="304" spans="1:39" x14ac:dyDescent="0.25">
      <c r="A304" s="25" t="s">
        <v>115</v>
      </c>
      <c r="B304" s="26">
        <v>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26">
        <v>0</v>
      </c>
      <c r="AB304" s="26">
        <v>0</v>
      </c>
      <c r="AC304" s="26">
        <v>0</v>
      </c>
      <c r="AD304" s="26">
        <v>0</v>
      </c>
      <c r="AE304" s="26">
        <v>0</v>
      </c>
      <c r="AF304" s="26">
        <v>0</v>
      </c>
      <c r="AG304" s="26">
        <v>0</v>
      </c>
      <c r="AH304" s="26">
        <v>0</v>
      </c>
      <c r="AI304" s="26">
        <v>3.2374447410840701</v>
      </c>
      <c r="AJ304" s="26">
        <v>0</v>
      </c>
      <c r="AK304" s="26">
        <v>0</v>
      </c>
      <c r="AL304" s="27">
        <f t="shared" si="8"/>
        <v>3.2374447410840701</v>
      </c>
      <c r="AM304" s="26">
        <f t="shared" si="9"/>
        <v>3237.4447410840703</v>
      </c>
    </row>
    <row r="305" spans="1:39" x14ac:dyDescent="0.25">
      <c r="A305" s="25" t="s">
        <v>116</v>
      </c>
      <c r="B305" s="26">
        <v>0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26">
        <v>0</v>
      </c>
      <c r="AB305" s="26">
        <v>0</v>
      </c>
      <c r="AC305" s="26">
        <v>0</v>
      </c>
      <c r="AD305" s="26">
        <v>0</v>
      </c>
      <c r="AE305" s="26">
        <v>0</v>
      </c>
      <c r="AF305" s="26">
        <v>0</v>
      </c>
      <c r="AG305" s="26">
        <v>0</v>
      </c>
      <c r="AH305" s="26">
        <v>0</v>
      </c>
      <c r="AI305" s="26">
        <v>0</v>
      </c>
      <c r="AJ305" s="26">
        <v>0</v>
      </c>
      <c r="AK305" s="26">
        <v>3.4098468388744099</v>
      </c>
      <c r="AL305" s="27">
        <f t="shared" si="8"/>
        <v>0</v>
      </c>
      <c r="AM305" s="26">
        <f t="shared" si="9"/>
        <v>0</v>
      </c>
    </row>
    <row r="306" spans="1:39" x14ac:dyDescent="0.25">
      <c r="A306" s="25" t="s">
        <v>117</v>
      </c>
      <c r="B306" s="26">
        <v>0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5.05665412456288</v>
      </c>
      <c r="AL306" s="27">
        <f t="shared" si="8"/>
        <v>0</v>
      </c>
      <c r="AM306" s="26">
        <f t="shared" si="9"/>
        <v>0</v>
      </c>
    </row>
    <row r="307" spans="1:39" x14ac:dyDescent="0.25">
      <c r="A307" s="25" t="s">
        <v>118</v>
      </c>
      <c r="B307" s="26">
        <v>0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1.2132604852287401</v>
      </c>
      <c r="Z307" s="26">
        <v>0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26">
        <v>0</v>
      </c>
      <c r="AG307" s="26">
        <v>0</v>
      </c>
      <c r="AH307" s="26">
        <v>0</v>
      </c>
      <c r="AI307" s="26">
        <v>0</v>
      </c>
      <c r="AJ307" s="26">
        <v>0</v>
      </c>
      <c r="AK307" s="26">
        <v>0</v>
      </c>
      <c r="AL307" s="27">
        <f t="shared" si="8"/>
        <v>1.2132604852287401</v>
      </c>
      <c r="AM307" s="26">
        <f t="shared" si="9"/>
        <v>1213.26048522874</v>
      </c>
    </row>
    <row r="308" spans="1:39" x14ac:dyDescent="0.25">
      <c r="A308" s="25" t="s">
        <v>119</v>
      </c>
      <c r="B308" s="26">
        <v>0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0</v>
      </c>
      <c r="V308" s="26">
        <v>0</v>
      </c>
      <c r="W308" s="26">
        <v>0</v>
      </c>
      <c r="X308" s="26">
        <v>0</v>
      </c>
      <c r="Y308" s="26">
        <v>0</v>
      </c>
      <c r="Z308" s="26">
        <v>0</v>
      </c>
      <c r="AA308" s="26">
        <v>0</v>
      </c>
      <c r="AB308" s="26">
        <v>0</v>
      </c>
      <c r="AC308" s="26">
        <v>0</v>
      </c>
      <c r="AD308" s="26">
        <v>0</v>
      </c>
      <c r="AE308" s="26">
        <v>0</v>
      </c>
      <c r="AF308" s="26">
        <v>0</v>
      </c>
      <c r="AG308" s="26">
        <v>0</v>
      </c>
      <c r="AH308" s="26">
        <v>0</v>
      </c>
      <c r="AI308" s="26">
        <v>0</v>
      </c>
      <c r="AJ308" s="26">
        <v>0</v>
      </c>
      <c r="AK308" s="26">
        <v>0</v>
      </c>
      <c r="AL308" s="27">
        <f t="shared" si="8"/>
        <v>0</v>
      </c>
      <c r="AM308" s="26">
        <f t="shared" si="9"/>
        <v>0</v>
      </c>
    </row>
    <row r="309" spans="1:39" x14ac:dyDescent="0.25">
      <c r="A309" s="25" t="s">
        <v>120</v>
      </c>
      <c r="B309" s="26">
        <v>0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>
        <v>0</v>
      </c>
      <c r="T309" s="26">
        <v>0</v>
      </c>
      <c r="U309" s="26">
        <v>0</v>
      </c>
      <c r="V309" s="26">
        <v>0</v>
      </c>
      <c r="W309" s="26">
        <v>0</v>
      </c>
      <c r="X309" s="26">
        <v>0</v>
      </c>
      <c r="Y309" s="26">
        <v>0</v>
      </c>
      <c r="Z309" s="26">
        <v>0</v>
      </c>
      <c r="AA309" s="26">
        <v>0</v>
      </c>
      <c r="AB309" s="26">
        <v>0</v>
      </c>
      <c r="AC309" s="26">
        <v>0</v>
      </c>
      <c r="AD309" s="26">
        <v>0</v>
      </c>
      <c r="AE309" s="26">
        <v>0</v>
      </c>
      <c r="AF309" s="26">
        <v>0</v>
      </c>
      <c r="AG309" s="26">
        <v>0</v>
      </c>
      <c r="AH309" s="26">
        <v>0</v>
      </c>
      <c r="AI309" s="26">
        <v>0</v>
      </c>
      <c r="AJ309" s="26">
        <v>0</v>
      </c>
      <c r="AK309" s="26">
        <v>0</v>
      </c>
      <c r="AL309" s="27">
        <f t="shared" si="8"/>
        <v>0</v>
      </c>
      <c r="AM309" s="26">
        <f t="shared" si="9"/>
        <v>0</v>
      </c>
    </row>
    <row r="310" spans="1:39" x14ac:dyDescent="0.25">
      <c r="AL310" s="27">
        <f t="shared" si="8"/>
        <v>0</v>
      </c>
      <c r="AM310" s="26">
        <f t="shared" si="9"/>
        <v>0</v>
      </c>
    </row>
    <row r="311" spans="1:39" x14ac:dyDescent="0.25">
      <c r="A311" s="25" t="s">
        <v>129</v>
      </c>
      <c r="AL311" s="27">
        <f t="shared" si="8"/>
        <v>0</v>
      </c>
      <c r="AM311" s="26">
        <f t="shared" si="9"/>
        <v>0</v>
      </c>
    </row>
    <row r="312" spans="1:39" x14ac:dyDescent="0.25">
      <c r="A312" s="25" t="s">
        <v>89</v>
      </c>
      <c r="B312" s="26">
        <v>0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0</v>
      </c>
      <c r="Y312" s="26">
        <v>713.02727091546399</v>
      </c>
      <c r="Z312" s="26">
        <v>0</v>
      </c>
      <c r="AA312" s="26">
        <v>0</v>
      </c>
      <c r="AB312" s="26">
        <v>0</v>
      </c>
      <c r="AC312" s="26">
        <v>0</v>
      </c>
      <c r="AD312" s="26">
        <v>0</v>
      </c>
      <c r="AE312" s="26">
        <v>0</v>
      </c>
      <c r="AF312" s="26">
        <v>0</v>
      </c>
      <c r="AG312" s="26">
        <v>0</v>
      </c>
      <c r="AH312" s="26">
        <v>0</v>
      </c>
      <c r="AI312" s="26">
        <v>0</v>
      </c>
      <c r="AJ312" s="26">
        <v>0</v>
      </c>
      <c r="AK312" s="26">
        <v>0</v>
      </c>
      <c r="AL312" s="27">
        <f t="shared" si="8"/>
        <v>713.02727091546399</v>
      </c>
      <c r="AM312" s="26">
        <f t="shared" si="9"/>
        <v>713027.27091546403</v>
      </c>
    </row>
    <row r="313" spans="1:39" x14ac:dyDescent="0.25">
      <c r="A313" s="25" t="s">
        <v>90</v>
      </c>
      <c r="B313" s="26">
        <v>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712.818136885081</v>
      </c>
      <c r="J313" s="26">
        <v>716.48757489661398</v>
      </c>
      <c r="K313" s="26">
        <v>719.82042991803598</v>
      </c>
      <c r="L313" s="26">
        <v>0</v>
      </c>
      <c r="M313" s="26">
        <v>14.7944461143565</v>
      </c>
      <c r="N313" s="26">
        <v>19.441385153141699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9.0702798856612796E-2</v>
      </c>
      <c r="W313" s="26">
        <v>1.68119072052098</v>
      </c>
      <c r="X313" s="26">
        <v>1.8283396413199799</v>
      </c>
      <c r="Y313" s="26">
        <v>1.89893662267028</v>
      </c>
      <c r="Z313" s="26">
        <v>2.9214442844963502</v>
      </c>
      <c r="AA313" s="26">
        <v>3.1077836820548299</v>
      </c>
      <c r="AB313" s="26">
        <v>3.07713082646548</v>
      </c>
      <c r="AC313" s="26">
        <v>3.0590625340915798</v>
      </c>
      <c r="AD313" s="26">
        <v>3.0743912332733099</v>
      </c>
      <c r="AE313" s="26">
        <v>53.677268000836101</v>
      </c>
      <c r="AF313" s="26">
        <v>35.559263397799903</v>
      </c>
      <c r="AG313" s="26">
        <v>35.591560423242399</v>
      </c>
      <c r="AH313" s="26">
        <v>0</v>
      </c>
      <c r="AI313" s="26">
        <v>0</v>
      </c>
      <c r="AJ313" s="26">
        <v>0</v>
      </c>
      <c r="AK313" s="26">
        <v>0</v>
      </c>
      <c r="AL313" s="27">
        <f t="shared" si="8"/>
        <v>145.56707416562779</v>
      </c>
      <c r="AM313" s="26">
        <f t="shared" si="9"/>
        <v>145567.0741656278</v>
      </c>
    </row>
    <row r="314" spans="1:39" x14ac:dyDescent="0.25">
      <c r="A314" s="25" t="s">
        <v>91</v>
      </c>
      <c r="B314" s="26">
        <v>0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0</v>
      </c>
      <c r="V314" s="26">
        <v>0</v>
      </c>
      <c r="W314" s="26">
        <v>0</v>
      </c>
      <c r="X314" s="26">
        <v>0</v>
      </c>
      <c r="Y314" s="26">
        <v>88.617042391280094</v>
      </c>
      <c r="Z314" s="26">
        <v>0</v>
      </c>
      <c r="AA314" s="26">
        <v>0</v>
      </c>
      <c r="AB314" s="26">
        <v>0</v>
      </c>
      <c r="AC314" s="26">
        <v>0</v>
      </c>
      <c r="AD314" s="26">
        <v>0</v>
      </c>
      <c r="AE314" s="26">
        <v>0</v>
      </c>
      <c r="AF314" s="26">
        <v>0</v>
      </c>
      <c r="AG314" s="26">
        <v>0</v>
      </c>
      <c r="AH314" s="26">
        <v>0</v>
      </c>
      <c r="AI314" s="26">
        <v>0</v>
      </c>
      <c r="AJ314" s="26">
        <v>0</v>
      </c>
      <c r="AK314" s="26">
        <v>0</v>
      </c>
      <c r="AL314" s="27">
        <f t="shared" si="8"/>
        <v>88.617042391280094</v>
      </c>
      <c r="AM314" s="26">
        <f t="shared" si="9"/>
        <v>88617.042391280091</v>
      </c>
    </row>
    <row r="315" spans="1:39" x14ac:dyDescent="0.25">
      <c r="A315" s="25" t="s">
        <v>92</v>
      </c>
      <c r="B315" s="26">
        <v>0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>
        <v>0</v>
      </c>
      <c r="T315" s="26">
        <v>0</v>
      </c>
      <c r="U315" s="26">
        <v>0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26">
        <v>0</v>
      </c>
      <c r="AB315" s="26">
        <v>0</v>
      </c>
      <c r="AC315" s="26">
        <v>0</v>
      </c>
      <c r="AD315" s="26">
        <v>0</v>
      </c>
      <c r="AE315" s="26">
        <v>0</v>
      </c>
      <c r="AF315" s="26">
        <v>0</v>
      </c>
      <c r="AG315" s="26">
        <v>0</v>
      </c>
      <c r="AH315" s="26">
        <v>0</v>
      </c>
      <c r="AI315" s="26">
        <v>2682.41979125126</v>
      </c>
      <c r="AJ315" s="26">
        <v>0</v>
      </c>
      <c r="AK315" s="26">
        <v>0</v>
      </c>
      <c r="AL315" s="27">
        <f t="shared" si="8"/>
        <v>2682.41979125126</v>
      </c>
      <c r="AM315" s="26">
        <f t="shared" si="9"/>
        <v>2682419.7912512599</v>
      </c>
    </row>
    <row r="316" spans="1:39" x14ac:dyDescent="0.25">
      <c r="A316" s="25" t="s">
        <v>93</v>
      </c>
      <c r="B316" s="26">
        <v>0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0</v>
      </c>
      <c r="V316" s="26">
        <v>0</v>
      </c>
      <c r="W316" s="26">
        <v>24612.120170634698</v>
      </c>
      <c r="X316" s="26">
        <v>33.911258297466297</v>
      </c>
      <c r="Y316" s="26">
        <v>2.0319154968937099</v>
      </c>
      <c r="Z316" s="26">
        <v>0</v>
      </c>
      <c r="AA316" s="26">
        <v>129.10475146685101</v>
      </c>
      <c r="AB316" s="26">
        <v>4.9042616529309697</v>
      </c>
      <c r="AC316" s="26">
        <v>4.8681250681831596</v>
      </c>
      <c r="AD316" s="26">
        <v>4.8987824665466304</v>
      </c>
      <c r="AE316" s="26">
        <v>0</v>
      </c>
      <c r="AF316" s="26">
        <v>0</v>
      </c>
      <c r="AG316" s="26">
        <v>0</v>
      </c>
      <c r="AH316" s="26">
        <v>0</v>
      </c>
      <c r="AI316" s="26">
        <v>0</v>
      </c>
      <c r="AJ316" s="26">
        <v>0</v>
      </c>
      <c r="AK316" s="26">
        <v>0</v>
      </c>
      <c r="AL316" s="27">
        <f t="shared" si="8"/>
        <v>24791.839265083567</v>
      </c>
      <c r="AM316" s="26">
        <f t="shared" si="9"/>
        <v>24791839.265083566</v>
      </c>
    </row>
    <row r="317" spans="1:39" x14ac:dyDescent="0.25">
      <c r="A317" s="25" t="s">
        <v>94</v>
      </c>
      <c r="B317" s="26">
        <v>0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1434.61486658338</v>
      </c>
      <c r="X317" s="26">
        <v>6.09446547106662</v>
      </c>
      <c r="Y317" s="26">
        <v>6.3297887422342898</v>
      </c>
      <c r="Z317" s="26">
        <v>2.9214442844963502</v>
      </c>
      <c r="AA317" s="26">
        <v>3.1077836820548299</v>
      </c>
      <c r="AB317" s="26">
        <v>3.07713082646548</v>
      </c>
      <c r="AC317" s="26">
        <v>3.0590625340915798</v>
      </c>
      <c r="AD317" s="26">
        <v>0</v>
      </c>
      <c r="AE317" s="26">
        <v>0</v>
      </c>
      <c r="AF317" s="26">
        <v>0</v>
      </c>
      <c r="AG317" s="26">
        <v>0</v>
      </c>
      <c r="AH317" s="26">
        <v>0</v>
      </c>
      <c r="AI317" s="26">
        <v>0</v>
      </c>
      <c r="AJ317" s="26">
        <v>0</v>
      </c>
      <c r="AK317" s="26">
        <v>0</v>
      </c>
      <c r="AL317" s="27">
        <f t="shared" si="8"/>
        <v>1459.204542123789</v>
      </c>
      <c r="AM317" s="26">
        <f t="shared" si="9"/>
        <v>1459204.542123789</v>
      </c>
    </row>
    <row r="318" spans="1:39" x14ac:dyDescent="0.25">
      <c r="A318" s="25" t="s">
        <v>95</v>
      </c>
      <c r="B318" s="26">
        <v>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13.8933601143854</v>
      </c>
      <c r="X318" s="26">
        <v>0</v>
      </c>
      <c r="Y318" s="26">
        <v>0</v>
      </c>
      <c r="Z318" s="26">
        <v>0</v>
      </c>
      <c r="AA318" s="26">
        <v>0</v>
      </c>
      <c r="AB318" s="26">
        <v>0</v>
      </c>
      <c r="AC318" s="26">
        <v>0</v>
      </c>
      <c r="AD318" s="26">
        <v>0</v>
      </c>
      <c r="AE318" s="26">
        <v>0</v>
      </c>
      <c r="AF318" s="26">
        <v>0</v>
      </c>
      <c r="AG318" s="26">
        <v>0</v>
      </c>
      <c r="AH318" s="26">
        <v>0</v>
      </c>
      <c r="AI318" s="26">
        <v>0</v>
      </c>
      <c r="AJ318" s="26">
        <v>0</v>
      </c>
      <c r="AK318" s="26">
        <v>0</v>
      </c>
      <c r="AL318" s="27">
        <f t="shared" si="8"/>
        <v>13.8933601143854</v>
      </c>
      <c r="AM318" s="26">
        <f t="shared" si="9"/>
        <v>13893.360114385399</v>
      </c>
    </row>
    <row r="319" spans="1:39" x14ac:dyDescent="0.25">
      <c r="A319" s="25" t="s">
        <v>96</v>
      </c>
      <c r="B319" s="26">
        <v>0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12.9254235684436</v>
      </c>
      <c r="X319" s="26">
        <v>0.60944654710666202</v>
      </c>
      <c r="Y319" s="26">
        <v>0.63297887422342902</v>
      </c>
      <c r="Z319" s="26">
        <v>0</v>
      </c>
      <c r="AA319" s="26">
        <v>0</v>
      </c>
      <c r="AB319" s="26">
        <v>0</v>
      </c>
      <c r="AC319" s="26">
        <v>0</v>
      </c>
      <c r="AD319" s="26">
        <v>0</v>
      </c>
      <c r="AE319" s="26">
        <v>0</v>
      </c>
      <c r="AF319" s="26">
        <v>0</v>
      </c>
      <c r="AG319" s="26">
        <v>0</v>
      </c>
      <c r="AH319" s="26">
        <v>0</v>
      </c>
      <c r="AI319" s="26">
        <v>0</v>
      </c>
      <c r="AJ319" s="26">
        <v>0</v>
      </c>
      <c r="AK319" s="26">
        <v>0</v>
      </c>
      <c r="AL319" s="27">
        <f t="shared" si="8"/>
        <v>14.167848989773692</v>
      </c>
      <c r="AM319" s="26">
        <f t="shared" si="9"/>
        <v>14167.848989773691</v>
      </c>
    </row>
    <row r="320" spans="1:39" x14ac:dyDescent="0.25">
      <c r="A320" s="25" t="s">
        <v>97</v>
      </c>
      <c r="B320" s="26">
        <v>0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0</v>
      </c>
      <c r="X320" s="26">
        <v>0</v>
      </c>
      <c r="Y320" s="26">
        <v>0</v>
      </c>
      <c r="Z320" s="26">
        <v>0</v>
      </c>
      <c r="AA320" s="26">
        <v>0</v>
      </c>
      <c r="AB320" s="26">
        <v>0</v>
      </c>
      <c r="AC320" s="26">
        <v>0</v>
      </c>
      <c r="AD320" s="26">
        <v>0</v>
      </c>
      <c r="AE320" s="26">
        <v>0</v>
      </c>
      <c r="AF320" s="26">
        <v>0</v>
      </c>
      <c r="AG320" s="26">
        <v>0</v>
      </c>
      <c r="AH320" s="26">
        <v>0</v>
      </c>
      <c r="AI320" s="26">
        <v>3215.6676478077602</v>
      </c>
      <c r="AJ320" s="26">
        <v>0</v>
      </c>
      <c r="AK320" s="26">
        <v>0</v>
      </c>
      <c r="AL320" s="27">
        <f t="shared" si="8"/>
        <v>3215.6676478077602</v>
      </c>
      <c r="AM320" s="26">
        <f t="shared" si="9"/>
        <v>3215667.6478077602</v>
      </c>
    </row>
    <row r="321" spans="1:39" x14ac:dyDescent="0.25">
      <c r="A321" s="25" t="s">
        <v>98</v>
      </c>
      <c r="B321" s="26">
        <v>0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953.79152251100095</v>
      </c>
      <c r="X321" s="26">
        <v>73.133585652799397</v>
      </c>
      <c r="Y321" s="26">
        <v>0</v>
      </c>
      <c r="Z321" s="26">
        <v>0</v>
      </c>
      <c r="AA321" s="26">
        <v>0</v>
      </c>
      <c r="AB321" s="26">
        <v>0</v>
      </c>
      <c r="AC321" s="26">
        <v>0</v>
      </c>
      <c r="AD321" s="26">
        <v>0</v>
      </c>
      <c r="AE321" s="26">
        <v>0</v>
      </c>
      <c r="AF321" s="26">
        <v>0</v>
      </c>
      <c r="AG321" s="26">
        <v>0</v>
      </c>
      <c r="AH321" s="26">
        <v>0</v>
      </c>
      <c r="AI321" s="26">
        <v>0</v>
      </c>
      <c r="AJ321" s="26">
        <v>0</v>
      </c>
      <c r="AK321" s="26">
        <v>0</v>
      </c>
      <c r="AL321" s="27">
        <f t="shared" si="8"/>
        <v>1026.9251081638004</v>
      </c>
      <c r="AM321" s="26">
        <f t="shared" si="9"/>
        <v>1026925.1081638003</v>
      </c>
    </row>
    <row r="322" spans="1:39" x14ac:dyDescent="0.25">
      <c r="A322" s="25" t="s">
        <v>99</v>
      </c>
      <c r="B322" s="26">
        <v>0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1816.9442836813901</v>
      </c>
      <c r="X322" s="26">
        <v>0</v>
      </c>
      <c r="Y322" s="26">
        <v>0</v>
      </c>
      <c r="Z322" s="26">
        <v>0</v>
      </c>
      <c r="AA322" s="26">
        <v>0</v>
      </c>
      <c r="AB322" s="26">
        <v>0</v>
      </c>
      <c r="AC322" s="26">
        <v>0</v>
      </c>
      <c r="AD322" s="26">
        <v>0</v>
      </c>
      <c r="AE322" s="26">
        <v>0</v>
      </c>
      <c r="AF322" s="26">
        <v>0</v>
      </c>
      <c r="AG322" s="26">
        <v>0</v>
      </c>
      <c r="AH322" s="26">
        <v>0</v>
      </c>
      <c r="AI322" s="26">
        <v>0</v>
      </c>
      <c r="AJ322" s="26">
        <v>0</v>
      </c>
      <c r="AK322" s="26">
        <v>0</v>
      </c>
      <c r="AL322" s="27">
        <f t="shared" si="8"/>
        <v>1816.9442836813901</v>
      </c>
      <c r="AM322" s="26">
        <f t="shared" si="9"/>
        <v>1816944.2836813901</v>
      </c>
    </row>
    <row r="323" spans="1:39" x14ac:dyDescent="0.25">
      <c r="A323" s="25" t="s">
        <v>100</v>
      </c>
      <c r="B323" s="26">
        <v>0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2825.1335376543202</v>
      </c>
      <c r="X323" s="26">
        <v>12.188930942133201</v>
      </c>
      <c r="Y323" s="26">
        <v>9.4946831133514404</v>
      </c>
      <c r="Z323" s="26">
        <v>0</v>
      </c>
      <c r="AA323" s="26">
        <v>0</v>
      </c>
      <c r="AB323" s="26">
        <v>0</v>
      </c>
      <c r="AC323" s="26">
        <v>0</v>
      </c>
      <c r="AD323" s="26">
        <v>0</v>
      </c>
      <c r="AE323" s="26">
        <v>0</v>
      </c>
      <c r="AF323" s="26">
        <v>0</v>
      </c>
      <c r="AG323" s="26">
        <v>0</v>
      </c>
      <c r="AH323" s="26">
        <v>0</v>
      </c>
      <c r="AI323" s="26">
        <v>0</v>
      </c>
      <c r="AJ323" s="26">
        <v>0</v>
      </c>
      <c r="AK323" s="26">
        <v>0</v>
      </c>
      <c r="AL323" s="27">
        <f t="shared" si="8"/>
        <v>2846.8171517098049</v>
      </c>
      <c r="AM323" s="26">
        <f t="shared" si="9"/>
        <v>2846817.1517098048</v>
      </c>
    </row>
    <row r="324" spans="1:39" x14ac:dyDescent="0.25">
      <c r="A324" s="25" t="s">
        <v>101</v>
      </c>
      <c r="B324" s="26">
        <v>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0</v>
      </c>
      <c r="Y324" s="26">
        <v>11133.874032658599</v>
      </c>
      <c r="Z324" s="26">
        <v>0</v>
      </c>
      <c r="AA324" s="26">
        <v>0</v>
      </c>
      <c r="AB324" s="26">
        <v>0</v>
      </c>
      <c r="AC324" s="26">
        <v>0</v>
      </c>
      <c r="AD324" s="26">
        <v>0</v>
      </c>
      <c r="AE324" s="26">
        <v>0</v>
      </c>
      <c r="AF324" s="26">
        <v>0</v>
      </c>
      <c r="AG324" s="26">
        <v>0</v>
      </c>
      <c r="AH324" s="26">
        <v>0</v>
      </c>
      <c r="AI324" s="26">
        <v>0</v>
      </c>
      <c r="AJ324" s="26">
        <v>0</v>
      </c>
      <c r="AK324" s="26">
        <v>0</v>
      </c>
      <c r="AL324" s="27">
        <f t="shared" si="8"/>
        <v>11133.874032658599</v>
      </c>
      <c r="AM324" s="26">
        <f t="shared" si="9"/>
        <v>11133874.032658599</v>
      </c>
    </row>
    <row r="325" spans="1:39" x14ac:dyDescent="0.25">
      <c r="A325" s="25" t="s">
        <v>102</v>
      </c>
      <c r="B325" s="26">
        <v>0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4593.3726524903796</v>
      </c>
      <c r="X325" s="26">
        <v>197.437436241038</v>
      </c>
      <c r="Y325" s="26">
        <v>168.89366226702799</v>
      </c>
      <c r="Z325" s="26">
        <v>20.571554275970801</v>
      </c>
      <c r="AA325" s="26">
        <v>0</v>
      </c>
      <c r="AB325" s="26">
        <v>0</v>
      </c>
      <c r="AC325" s="26">
        <v>0</v>
      </c>
      <c r="AD325" s="26">
        <v>0</v>
      </c>
      <c r="AE325" s="26">
        <v>0</v>
      </c>
      <c r="AF325" s="26">
        <v>0</v>
      </c>
      <c r="AG325" s="26">
        <v>0</v>
      </c>
      <c r="AH325" s="26">
        <v>0</v>
      </c>
      <c r="AI325" s="26">
        <v>0</v>
      </c>
      <c r="AJ325" s="26">
        <v>0</v>
      </c>
      <c r="AK325" s="26">
        <v>0</v>
      </c>
      <c r="AL325" s="27">
        <f t="shared" si="8"/>
        <v>4980.2753052744165</v>
      </c>
      <c r="AM325" s="26">
        <f t="shared" si="9"/>
        <v>4980275.3052744167</v>
      </c>
    </row>
    <row r="326" spans="1:39" x14ac:dyDescent="0.25">
      <c r="A326" s="25" t="s">
        <v>103</v>
      </c>
      <c r="B326" s="26">
        <v>0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  <c r="V326" s="26">
        <v>0</v>
      </c>
      <c r="W326" s="26">
        <v>12261.20883736</v>
      </c>
      <c r="X326" s="26">
        <v>0</v>
      </c>
      <c r="Y326" s="26">
        <v>0</v>
      </c>
      <c r="Z326" s="26">
        <v>0</v>
      </c>
      <c r="AA326" s="26">
        <v>0</v>
      </c>
      <c r="AB326" s="26">
        <v>0</v>
      </c>
      <c r="AC326" s="26">
        <v>0</v>
      </c>
      <c r="AD326" s="26">
        <v>0</v>
      </c>
      <c r="AE326" s="26">
        <v>0</v>
      </c>
      <c r="AF326" s="26">
        <v>0</v>
      </c>
      <c r="AG326" s="26">
        <v>0</v>
      </c>
      <c r="AH326" s="26">
        <v>0</v>
      </c>
      <c r="AI326" s="26">
        <v>0</v>
      </c>
      <c r="AJ326" s="26">
        <v>0</v>
      </c>
      <c r="AK326" s="26">
        <v>0</v>
      </c>
      <c r="AL326" s="27">
        <f t="shared" si="8"/>
        <v>12261.20883736</v>
      </c>
      <c r="AM326" s="26">
        <f t="shared" si="9"/>
        <v>12261208.83736</v>
      </c>
    </row>
    <row r="327" spans="1:39" x14ac:dyDescent="0.25">
      <c r="A327" s="25" t="s">
        <v>104</v>
      </c>
      <c r="B327" s="26">
        <v>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  <c r="V327" s="26">
        <v>0</v>
      </c>
      <c r="W327" s="26">
        <v>0</v>
      </c>
      <c r="X327" s="26">
        <v>0</v>
      </c>
      <c r="Y327" s="26">
        <v>0</v>
      </c>
      <c r="Z327" s="26">
        <v>0</v>
      </c>
      <c r="AA327" s="26">
        <v>0</v>
      </c>
      <c r="AB327" s="26">
        <v>0</v>
      </c>
      <c r="AC327" s="26">
        <v>0</v>
      </c>
      <c r="AD327" s="26">
        <v>0</v>
      </c>
      <c r="AE327" s="26">
        <v>0</v>
      </c>
      <c r="AF327" s="26">
        <v>0</v>
      </c>
      <c r="AG327" s="26">
        <v>0</v>
      </c>
      <c r="AH327" s="26">
        <v>0</v>
      </c>
      <c r="AI327" s="26">
        <v>4452.3408028817103</v>
      </c>
      <c r="AJ327" s="26">
        <v>0</v>
      </c>
      <c r="AK327" s="26">
        <v>0</v>
      </c>
      <c r="AL327" s="27">
        <f t="shared" ref="AL327:AL380" si="10">SUM(V327:AI327)</f>
        <v>4452.3408028817103</v>
      </c>
      <c r="AM327" s="26">
        <f t="shared" ref="AM327:AM380" si="11">AL327*1000</f>
        <v>4452340.8028817102</v>
      </c>
    </row>
    <row r="328" spans="1:39" x14ac:dyDescent="0.25">
      <c r="A328" s="25" t="s">
        <v>105</v>
      </c>
      <c r="B328" s="26">
        <v>0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v>0</v>
      </c>
      <c r="R328" s="26">
        <v>0</v>
      </c>
      <c r="S328" s="26">
        <v>0</v>
      </c>
      <c r="T328" s="26">
        <v>0</v>
      </c>
      <c r="U328" s="26">
        <v>0</v>
      </c>
      <c r="V328" s="26">
        <v>0</v>
      </c>
      <c r="W328" s="26">
        <v>0</v>
      </c>
      <c r="X328" s="26">
        <v>0</v>
      </c>
      <c r="Y328" s="26">
        <v>0</v>
      </c>
      <c r="Z328" s="26">
        <v>0</v>
      </c>
      <c r="AA328" s="26">
        <v>0</v>
      </c>
      <c r="AB328" s="26">
        <v>0</v>
      </c>
      <c r="AC328" s="26">
        <v>0</v>
      </c>
      <c r="AD328" s="26">
        <v>0</v>
      </c>
      <c r="AE328" s="26">
        <v>0</v>
      </c>
      <c r="AF328" s="26">
        <v>0</v>
      </c>
      <c r="AG328" s="26">
        <v>0</v>
      </c>
      <c r="AH328" s="26">
        <v>0</v>
      </c>
      <c r="AI328" s="26">
        <v>0</v>
      </c>
      <c r="AJ328" s="26">
        <v>0</v>
      </c>
      <c r="AK328" s="26">
        <v>0</v>
      </c>
      <c r="AL328" s="27">
        <f t="shared" si="10"/>
        <v>0</v>
      </c>
      <c r="AM328" s="26">
        <f t="shared" si="11"/>
        <v>0</v>
      </c>
    </row>
    <row r="329" spans="1:39" x14ac:dyDescent="0.25">
      <c r="A329" s="25" t="s">
        <v>106</v>
      </c>
      <c r="B329" s="26">
        <v>0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>
        <v>0</v>
      </c>
      <c r="T329" s="26">
        <v>0</v>
      </c>
      <c r="U329" s="26">
        <v>0</v>
      </c>
      <c r="V329" s="26">
        <v>0</v>
      </c>
      <c r="W329" s="26">
        <v>4052.8898211276801</v>
      </c>
      <c r="X329" s="26">
        <v>6.09446547106662</v>
      </c>
      <c r="Y329" s="26">
        <v>6.3297887422342898</v>
      </c>
      <c r="Z329" s="26">
        <v>2.3371554275970801</v>
      </c>
      <c r="AA329" s="26">
        <v>1.24311347282193</v>
      </c>
      <c r="AB329" s="26">
        <v>1.23085233058619</v>
      </c>
      <c r="AC329" s="26">
        <v>0</v>
      </c>
      <c r="AD329" s="26">
        <v>0</v>
      </c>
      <c r="AE329" s="26">
        <v>0</v>
      </c>
      <c r="AF329" s="26">
        <v>0</v>
      </c>
      <c r="AG329" s="26">
        <v>0</v>
      </c>
      <c r="AH329" s="26">
        <v>0</v>
      </c>
      <c r="AI329" s="26">
        <v>0</v>
      </c>
      <c r="AJ329" s="26">
        <v>0</v>
      </c>
      <c r="AK329" s="26">
        <v>0</v>
      </c>
      <c r="AL329" s="27">
        <f t="shared" si="10"/>
        <v>4070.1251965719857</v>
      </c>
      <c r="AM329" s="26">
        <f t="shared" si="11"/>
        <v>4070125.1965719857</v>
      </c>
    </row>
    <row r="330" spans="1:39" x14ac:dyDescent="0.25">
      <c r="A330" s="25" t="s">
        <v>107</v>
      </c>
      <c r="B330" s="26">
        <v>0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26">
        <v>0</v>
      </c>
      <c r="AE330" s="26">
        <v>0</v>
      </c>
      <c r="AF330" s="26">
        <v>0</v>
      </c>
      <c r="AG330" s="26">
        <v>0</v>
      </c>
      <c r="AH330" s="26">
        <v>0</v>
      </c>
      <c r="AI330" s="26">
        <v>3386.7213694206598</v>
      </c>
      <c r="AJ330" s="26">
        <v>62.012704507805402</v>
      </c>
      <c r="AK330" s="26">
        <v>12.3976964959194</v>
      </c>
      <c r="AL330" s="27">
        <f t="shared" si="10"/>
        <v>3386.7213694206598</v>
      </c>
      <c r="AM330" s="26">
        <f t="shared" si="11"/>
        <v>3386721.3694206597</v>
      </c>
    </row>
    <row r="331" spans="1:39" x14ac:dyDescent="0.25">
      <c r="A331" s="25" t="s">
        <v>108</v>
      </c>
      <c r="B331" s="26">
        <v>0</v>
      </c>
      <c r="C331" s="26">
        <v>0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0</v>
      </c>
      <c r="W331" s="26">
        <v>0</v>
      </c>
      <c r="X331" s="26">
        <v>0</v>
      </c>
      <c r="Y331" s="26">
        <v>0</v>
      </c>
      <c r="Z331" s="26">
        <v>2529.1249624530201</v>
      </c>
      <c r="AA331" s="26">
        <v>78.655673641096698</v>
      </c>
      <c r="AB331" s="26">
        <v>0</v>
      </c>
      <c r="AC331" s="26">
        <v>0</v>
      </c>
      <c r="AD331" s="26">
        <v>0</v>
      </c>
      <c r="AE331" s="26">
        <v>0</v>
      </c>
      <c r="AF331" s="26">
        <v>0</v>
      </c>
      <c r="AG331" s="26">
        <v>0</v>
      </c>
      <c r="AH331" s="26">
        <v>0</v>
      </c>
      <c r="AI331" s="26">
        <v>0</v>
      </c>
      <c r="AJ331" s="26">
        <v>0</v>
      </c>
      <c r="AK331" s="26">
        <v>0</v>
      </c>
      <c r="AL331" s="27">
        <f t="shared" si="10"/>
        <v>2607.7806360941167</v>
      </c>
      <c r="AM331" s="26">
        <f t="shared" si="11"/>
        <v>2607780.6360941166</v>
      </c>
    </row>
    <row r="332" spans="1:39" x14ac:dyDescent="0.25">
      <c r="A332" s="25" t="s">
        <v>109</v>
      </c>
      <c r="B332" s="26">
        <v>0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26">
        <v>0</v>
      </c>
      <c r="Z332" s="26">
        <v>0</v>
      </c>
      <c r="AA332" s="26">
        <v>0</v>
      </c>
      <c r="AB332" s="26">
        <v>0</v>
      </c>
      <c r="AC332" s="26">
        <v>0</v>
      </c>
      <c r="AD332" s="26">
        <v>0</v>
      </c>
      <c r="AE332" s="26">
        <v>0</v>
      </c>
      <c r="AF332" s="26">
        <v>0</v>
      </c>
      <c r="AG332" s="26">
        <v>0</v>
      </c>
      <c r="AH332" s="26">
        <v>0</v>
      </c>
      <c r="AI332" s="26">
        <v>0</v>
      </c>
      <c r="AJ332" s="26">
        <v>0</v>
      </c>
      <c r="AK332" s="26">
        <v>0</v>
      </c>
      <c r="AL332" s="27">
        <f t="shared" si="10"/>
        <v>0</v>
      </c>
      <c r="AM332" s="26">
        <f t="shared" si="11"/>
        <v>0</v>
      </c>
    </row>
    <row r="333" spans="1:39" x14ac:dyDescent="0.25">
      <c r="A333" s="25" t="s">
        <v>110</v>
      </c>
      <c r="B333" s="26">
        <v>0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180.65526612145399</v>
      </c>
      <c r="Z333" s="26">
        <v>0</v>
      </c>
      <c r="AA333" s="26">
        <v>0</v>
      </c>
      <c r="AB333" s="26">
        <v>0</v>
      </c>
      <c r="AC333" s="26">
        <v>0</v>
      </c>
      <c r="AD333" s="26">
        <v>0</v>
      </c>
      <c r="AE333" s="26">
        <v>0</v>
      </c>
      <c r="AF333" s="26">
        <v>0</v>
      </c>
      <c r="AG333" s="26">
        <v>0</v>
      </c>
      <c r="AH333" s="26">
        <v>0</v>
      </c>
      <c r="AI333" s="26">
        <v>0</v>
      </c>
      <c r="AJ333" s="26">
        <v>0</v>
      </c>
      <c r="AK333" s="26">
        <v>0</v>
      </c>
      <c r="AL333" s="27">
        <f t="shared" si="10"/>
        <v>180.65526612145399</v>
      </c>
      <c r="AM333" s="26">
        <f t="shared" si="11"/>
        <v>180655.26612145398</v>
      </c>
    </row>
    <row r="334" spans="1:39" x14ac:dyDescent="0.25">
      <c r="A334" s="25" t="s">
        <v>111</v>
      </c>
      <c r="B334" s="26">
        <v>0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0</v>
      </c>
      <c r="Z334" s="26">
        <v>0</v>
      </c>
      <c r="AA334" s="26">
        <v>1043.3011612221901</v>
      </c>
      <c r="AB334" s="26">
        <v>153.93780833533199</v>
      </c>
      <c r="AC334" s="26">
        <v>50.972637016453497</v>
      </c>
      <c r="AD334" s="26">
        <v>0</v>
      </c>
      <c r="AE334" s="26">
        <v>0</v>
      </c>
      <c r="AF334" s="26">
        <v>0</v>
      </c>
      <c r="AG334" s="26">
        <v>0</v>
      </c>
      <c r="AH334" s="26">
        <v>0</v>
      </c>
      <c r="AI334" s="26">
        <v>0</v>
      </c>
      <c r="AJ334" s="26">
        <v>0</v>
      </c>
      <c r="AK334" s="26">
        <v>0</v>
      </c>
      <c r="AL334" s="27">
        <f t="shared" si="10"/>
        <v>1248.2116065739756</v>
      </c>
      <c r="AM334" s="26">
        <f t="shared" si="11"/>
        <v>1248211.6065739756</v>
      </c>
    </row>
    <row r="335" spans="1:39" x14ac:dyDescent="0.25">
      <c r="A335" s="25" t="s">
        <v>112</v>
      </c>
      <c r="B335" s="26">
        <v>0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1656.7685520500499</v>
      </c>
      <c r="Z335" s="26">
        <v>0</v>
      </c>
      <c r="AA335" s="26">
        <v>0</v>
      </c>
      <c r="AB335" s="26">
        <v>0</v>
      </c>
      <c r="AC335" s="26">
        <v>0</v>
      </c>
      <c r="AD335" s="26">
        <v>0</v>
      </c>
      <c r="AE335" s="26">
        <v>0</v>
      </c>
      <c r="AF335" s="26">
        <v>0</v>
      </c>
      <c r="AG335" s="26">
        <v>0</v>
      </c>
      <c r="AH335" s="26">
        <v>0</v>
      </c>
      <c r="AI335" s="26">
        <v>0</v>
      </c>
      <c r="AJ335" s="26">
        <v>0</v>
      </c>
      <c r="AK335" s="26">
        <v>0</v>
      </c>
      <c r="AL335" s="27">
        <f t="shared" si="10"/>
        <v>1656.7685520500499</v>
      </c>
      <c r="AM335" s="26">
        <f t="shared" si="11"/>
        <v>1656768.5520500499</v>
      </c>
    </row>
    <row r="336" spans="1:39" x14ac:dyDescent="0.25">
      <c r="A336" s="25" t="s">
        <v>113</v>
      </c>
      <c r="B336" s="26">
        <v>0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0</v>
      </c>
      <c r="V336" s="26">
        <v>0</v>
      </c>
      <c r="W336" s="26">
        <v>12.5585498894807</v>
      </c>
      <c r="X336" s="26">
        <v>0</v>
      </c>
      <c r="Y336" s="26">
        <v>0</v>
      </c>
      <c r="Z336" s="26">
        <v>0</v>
      </c>
      <c r="AA336" s="26">
        <v>0</v>
      </c>
      <c r="AB336" s="26">
        <v>0</v>
      </c>
      <c r="AC336" s="26">
        <v>0</v>
      </c>
      <c r="AD336" s="26">
        <v>0</v>
      </c>
      <c r="AE336" s="26">
        <v>0</v>
      </c>
      <c r="AF336" s="26">
        <v>0</v>
      </c>
      <c r="AG336" s="26">
        <v>0</v>
      </c>
      <c r="AH336" s="26">
        <v>0</v>
      </c>
      <c r="AI336" s="26">
        <v>0</v>
      </c>
      <c r="AJ336" s="26">
        <v>0</v>
      </c>
      <c r="AK336" s="26">
        <v>0</v>
      </c>
      <c r="AL336" s="27">
        <f t="shared" si="10"/>
        <v>12.5585498894807</v>
      </c>
      <c r="AM336" s="26">
        <f t="shared" si="11"/>
        <v>12558.549889480701</v>
      </c>
    </row>
    <row r="337" spans="1:39" x14ac:dyDescent="0.25">
      <c r="A337" s="25" t="s">
        <v>114</v>
      </c>
      <c r="B337" s="26">
        <v>0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0</v>
      </c>
      <c r="Z337" s="26">
        <v>0</v>
      </c>
      <c r="AA337" s="26">
        <v>0</v>
      </c>
      <c r="AB337" s="26">
        <v>0</v>
      </c>
      <c r="AC337" s="26">
        <v>0</v>
      </c>
      <c r="AD337" s="26">
        <v>0</v>
      </c>
      <c r="AE337" s="26">
        <v>0</v>
      </c>
      <c r="AF337" s="26">
        <v>0</v>
      </c>
      <c r="AG337" s="26">
        <v>0</v>
      </c>
      <c r="AH337" s="26">
        <v>0</v>
      </c>
      <c r="AI337" s="26">
        <v>2159.2407092202202</v>
      </c>
      <c r="AJ337" s="26">
        <v>0</v>
      </c>
      <c r="AK337" s="26">
        <v>0</v>
      </c>
      <c r="AL337" s="27">
        <f t="shared" si="10"/>
        <v>2159.2407092202202</v>
      </c>
      <c r="AM337" s="26">
        <f t="shared" si="11"/>
        <v>2159240.7092202203</v>
      </c>
    </row>
    <row r="338" spans="1:39" x14ac:dyDescent="0.25">
      <c r="A338" s="25" t="s">
        <v>115</v>
      </c>
      <c r="B338" s="26">
        <v>0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0</v>
      </c>
      <c r="Z338" s="26">
        <v>0</v>
      </c>
      <c r="AA338" s="26">
        <v>0</v>
      </c>
      <c r="AB338" s="26">
        <v>0</v>
      </c>
      <c r="AC338" s="26">
        <v>0</v>
      </c>
      <c r="AD338" s="26">
        <v>0</v>
      </c>
      <c r="AE338" s="26">
        <v>0</v>
      </c>
      <c r="AF338" s="26">
        <v>0</v>
      </c>
      <c r="AG338" s="26">
        <v>0</v>
      </c>
      <c r="AH338" s="26">
        <v>0</v>
      </c>
      <c r="AI338" s="26">
        <v>2289.93305707643</v>
      </c>
      <c r="AJ338" s="26">
        <v>0</v>
      </c>
      <c r="AK338" s="26">
        <v>0</v>
      </c>
      <c r="AL338" s="27">
        <f t="shared" si="10"/>
        <v>2289.93305707643</v>
      </c>
      <c r="AM338" s="26">
        <f t="shared" si="11"/>
        <v>2289933.0570764299</v>
      </c>
    </row>
    <row r="339" spans="1:39" x14ac:dyDescent="0.25">
      <c r="A339" s="25" t="s">
        <v>116</v>
      </c>
      <c r="B339" s="26">
        <v>0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0</v>
      </c>
      <c r="Y339" s="26">
        <v>0</v>
      </c>
      <c r="Z339" s="26">
        <v>0</v>
      </c>
      <c r="AA339" s="26">
        <v>0</v>
      </c>
      <c r="AB339" s="26">
        <v>0</v>
      </c>
      <c r="AC339" s="26">
        <v>0</v>
      </c>
      <c r="AD339" s="26">
        <v>0</v>
      </c>
      <c r="AE339" s="26">
        <v>0</v>
      </c>
      <c r="AF339" s="26">
        <v>0</v>
      </c>
      <c r="AG339" s="26">
        <v>0</v>
      </c>
      <c r="AH339" s="26">
        <v>0</v>
      </c>
      <c r="AI339" s="26">
        <v>0</v>
      </c>
      <c r="AJ339" s="26">
        <v>0</v>
      </c>
      <c r="AK339" s="26">
        <v>1428.7517977488901</v>
      </c>
      <c r="AL339" s="27">
        <f t="shared" si="10"/>
        <v>0</v>
      </c>
      <c r="AM339" s="26">
        <f t="shared" si="11"/>
        <v>0</v>
      </c>
    </row>
    <row r="340" spans="1:39" x14ac:dyDescent="0.25">
      <c r="A340" s="25" t="s">
        <v>117</v>
      </c>
      <c r="B340" s="26">
        <v>0</v>
      </c>
      <c r="C340" s="26">
        <v>0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  <c r="V340" s="26">
        <v>0</v>
      </c>
      <c r="W340" s="26">
        <v>0</v>
      </c>
      <c r="X340" s="26">
        <v>0</v>
      </c>
      <c r="Y340" s="26">
        <v>0</v>
      </c>
      <c r="Z340" s="26">
        <v>0</v>
      </c>
      <c r="AA340" s="26">
        <v>0</v>
      </c>
      <c r="AB340" s="26">
        <v>0</v>
      </c>
      <c r="AC340" s="26">
        <v>0</v>
      </c>
      <c r="AD340" s="26">
        <v>0</v>
      </c>
      <c r="AE340" s="26">
        <v>0</v>
      </c>
      <c r="AF340" s="26">
        <v>0</v>
      </c>
      <c r="AG340" s="26">
        <v>0</v>
      </c>
      <c r="AH340" s="26">
        <v>0</v>
      </c>
      <c r="AI340" s="26">
        <v>0</v>
      </c>
      <c r="AJ340" s="26">
        <v>0</v>
      </c>
      <c r="AK340" s="26">
        <v>1788.8531166853199</v>
      </c>
      <c r="AL340" s="27">
        <f t="shared" si="10"/>
        <v>0</v>
      </c>
      <c r="AM340" s="26">
        <f t="shared" si="11"/>
        <v>0</v>
      </c>
    </row>
    <row r="341" spans="1:39" x14ac:dyDescent="0.25">
      <c r="A341" s="25" t="s">
        <v>118</v>
      </c>
      <c r="B341" s="26">
        <v>0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0</v>
      </c>
      <c r="Y341" s="26">
        <v>1850.5053965508</v>
      </c>
      <c r="Z341" s="26">
        <v>584.28885689927097</v>
      </c>
      <c r="AA341" s="26">
        <v>0</v>
      </c>
      <c r="AB341" s="26">
        <v>0</v>
      </c>
      <c r="AC341" s="26">
        <v>0</v>
      </c>
      <c r="AD341" s="26">
        <v>0</v>
      </c>
      <c r="AE341" s="26">
        <v>0</v>
      </c>
      <c r="AF341" s="26">
        <v>0</v>
      </c>
      <c r="AG341" s="26">
        <v>0</v>
      </c>
      <c r="AH341" s="26">
        <v>0</v>
      </c>
      <c r="AI341" s="26">
        <v>0</v>
      </c>
      <c r="AJ341" s="26">
        <v>0</v>
      </c>
      <c r="AK341" s="26">
        <v>0</v>
      </c>
      <c r="AL341" s="27">
        <f t="shared" si="10"/>
        <v>2434.7942534500708</v>
      </c>
      <c r="AM341" s="26">
        <f t="shared" si="11"/>
        <v>2434794.253450071</v>
      </c>
    </row>
    <row r="342" spans="1:39" x14ac:dyDescent="0.25">
      <c r="A342" s="25" t="s">
        <v>119</v>
      </c>
      <c r="B342" s="26">
        <v>0</v>
      </c>
      <c r="C342" s="26">
        <v>0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6">
        <v>0</v>
      </c>
      <c r="X342" s="26">
        <v>0</v>
      </c>
      <c r="Y342" s="26">
        <v>88.617042391280094</v>
      </c>
      <c r="Z342" s="26">
        <v>0</v>
      </c>
      <c r="AA342" s="26">
        <v>0</v>
      </c>
      <c r="AB342" s="26">
        <v>0</v>
      </c>
      <c r="AC342" s="26">
        <v>0</v>
      </c>
      <c r="AD342" s="26">
        <v>0</v>
      </c>
      <c r="AE342" s="26">
        <v>0</v>
      </c>
      <c r="AF342" s="26">
        <v>0</v>
      </c>
      <c r="AG342" s="26">
        <v>0</v>
      </c>
      <c r="AH342" s="26">
        <v>0</v>
      </c>
      <c r="AI342" s="26">
        <v>0</v>
      </c>
      <c r="AJ342" s="26">
        <v>0</v>
      </c>
      <c r="AK342" s="26">
        <v>0</v>
      </c>
      <c r="AL342" s="27">
        <f t="shared" si="10"/>
        <v>88.617042391280094</v>
      </c>
      <c r="AM342" s="26">
        <f t="shared" si="11"/>
        <v>88617.042391280091</v>
      </c>
    </row>
    <row r="343" spans="1:39" x14ac:dyDescent="0.25">
      <c r="A343" s="25" t="s">
        <v>120</v>
      </c>
      <c r="B343" s="26">
        <v>0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0</v>
      </c>
      <c r="Z343" s="26">
        <v>0</v>
      </c>
      <c r="AA343" s="26">
        <v>0</v>
      </c>
      <c r="AB343" s="26">
        <v>0</v>
      </c>
      <c r="AC343" s="26">
        <v>0</v>
      </c>
      <c r="AD343" s="26">
        <v>0</v>
      </c>
      <c r="AE343" s="26">
        <v>0</v>
      </c>
      <c r="AF343" s="26">
        <v>0</v>
      </c>
      <c r="AG343" s="26">
        <v>0</v>
      </c>
      <c r="AH343" s="26">
        <v>0</v>
      </c>
      <c r="AI343" s="26">
        <v>0</v>
      </c>
      <c r="AJ343" s="26">
        <v>0</v>
      </c>
      <c r="AK343" s="26">
        <v>0</v>
      </c>
      <c r="AL343" s="27">
        <f t="shared" si="10"/>
        <v>0</v>
      </c>
      <c r="AM343" s="26">
        <f t="shared" si="11"/>
        <v>0</v>
      </c>
    </row>
    <row r="344" spans="1:39" x14ac:dyDescent="0.25">
      <c r="AL344" s="27">
        <f t="shared" si="10"/>
        <v>0</v>
      </c>
      <c r="AM344" s="26">
        <f t="shared" si="11"/>
        <v>0</v>
      </c>
    </row>
    <row r="345" spans="1:39" x14ac:dyDescent="0.25">
      <c r="A345" s="25" t="s">
        <v>130</v>
      </c>
      <c r="AL345" s="27">
        <f t="shared" si="10"/>
        <v>0</v>
      </c>
      <c r="AM345" s="26">
        <f t="shared" si="11"/>
        <v>0</v>
      </c>
    </row>
    <row r="346" spans="1:39" x14ac:dyDescent="0.25">
      <c r="A346" s="25" t="s">
        <v>89</v>
      </c>
      <c r="B346" s="26">
        <v>0.30429372541666599</v>
      </c>
      <c r="C346" s="26">
        <v>0.30690532041666602</v>
      </c>
      <c r="D346" s="26">
        <v>0.33924837999999902</v>
      </c>
      <c r="E346" s="26">
        <v>0.34538140875000001</v>
      </c>
      <c r="F346" s="26">
        <v>0.34792412874999901</v>
      </c>
      <c r="G346" s="26">
        <v>0.35092718749999902</v>
      </c>
      <c r="H346" s="26">
        <v>0.35313953708333301</v>
      </c>
      <c r="I346" s="26">
        <v>0.35668969291666602</v>
      </c>
      <c r="J346" s="26">
        <v>0.35861236874999902</v>
      </c>
      <c r="K346" s="26">
        <v>0.36091744583333302</v>
      </c>
      <c r="L346" s="26">
        <v>0.363096989166666</v>
      </c>
      <c r="M346" s="26">
        <v>0.36485602041666598</v>
      </c>
      <c r="N346" s="26">
        <v>0.368023883749999</v>
      </c>
      <c r="O346" s="26">
        <v>0.36923170958333301</v>
      </c>
      <c r="P346" s="26">
        <v>0.37084981291666602</v>
      </c>
      <c r="Q346" s="26">
        <v>0.37807389416666598</v>
      </c>
      <c r="R346" s="26">
        <v>0.39017291166666601</v>
      </c>
      <c r="S346" s="26">
        <v>0.40416530291666602</v>
      </c>
      <c r="T346" s="26">
        <v>0.40522573624999902</v>
      </c>
      <c r="U346" s="26">
        <v>0.438726149583333</v>
      </c>
      <c r="V346" s="26">
        <v>0.445770322083333</v>
      </c>
      <c r="W346" s="26">
        <v>0.45524250653978099</v>
      </c>
      <c r="X346" s="26">
        <v>0.45608293902221198</v>
      </c>
      <c r="Y346" s="26">
        <v>0.70730316589509801</v>
      </c>
      <c r="Z346" s="26">
        <v>0</v>
      </c>
      <c r="AA346" s="26">
        <v>0</v>
      </c>
      <c r="AB346" s="26">
        <v>0</v>
      </c>
      <c r="AC346" s="26">
        <v>0</v>
      </c>
      <c r="AD346" s="26">
        <v>0</v>
      </c>
      <c r="AE346" s="26">
        <v>0</v>
      </c>
      <c r="AF346" s="26">
        <v>0</v>
      </c>
      <c r="AG346" s="26">
        <v>0</v>
      </c>
      <c r="AH346" s="26">
        <v>0</v>
      </c>
      <c r="AI346" s="26">
        <v>0</v>
      </c>
      <c r="AJ346" s="26">
        <v>0</v>
      </c>
      <c r="AK346" s="26">
        <v>0</v>
      </c>
      <c r="AL346" s="27">
        <f t="shared" si="10"/>
        <v>2.0643989335404243</v>
      </c>
      <c r="AM346" s="26">
        <f t="shared" si="11"/>
        <v>2064.3989335404244</v>
      </c>
    </row>
    <row r="347" spans="1:39" x14ac:dyDescent="0.25">
      <c r="A347" s="25" t="s">
        <v>90</v>
      </c>
      <c r="B347" s="26">
        <v>0.35929413458333298</v>
      </c>
      <c r="C347" s="26">
        <v>0.43017396499999899</v>
      </c>
      <c r="D347" s="26">
        <v>0.54819015374999902</v>
      </c>
      <c r="E347" s="26">
        <v>0.62522723999999996</v>
      </c>
      <c r="F347" s="26">
        <v>0.68240609291666599</v>
      </c>
      <c r="G347" s="26">
        <v>0.71885647083333304</v>
      </c>
      <c r="H347" s="26">
        <v>0.72583794291666603</v>
      </c>
      <c r="I347" s="26">
        <v>0.84715495999999901</v>
      </c>
      <c r="J347" s="26">
        <v>0.85754871708333302</v>
      </c>
      <c r="K347" s="26">
        <v>0.86142529208333296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0</v>
      </c>
      <c r="X347" s="26">
        <v>0</v>
      </c>
      <c r="Y347" s="26">
        <v>0</v>
      </c>
      <c r="Z347" s="26">
        <v>0</v>
      </c>
      <c r="AA347" s="26">
        <v>0</v>
      </c>
      <c r="AB347" s="26">
        <v>0</v>
      </c>
      <c r="AC347" s="26">
        <v>0</v>
      </c>
      <c r="AD347" s="26">
        <v>0</v>
      </c>
      <c r="AE347" s="26">
        <v>0</v>
      </c>
      <c r="AF347" s="26">
        <v>0</v>
      </c>
      <c r="AG347" s="26">
        <v>0</v>
      </c>
      <c r="AH347" s="26">
        <v>0</v>
      </c>
      <c r="AI347" s="26">
        <v>0</v>
      </c>
      <c r="AJ347" s="26">
        <v>0</v>
      </c>
      <c r="AK347" s="26">
        <v>0</v>
      </c>
      <c r="AL347" s="27">
        <f t="shared" si="10"/>
        <v>0</v>
      </c>
      <c r="AM347" s="26">
        <f t="shared" si="11"/>
        <v>0</v>
      </c>
    </row>
    <row r="348" spans="1:39" x14ac:dyDescent="0.25">
      <c r="A348" s="25" t="s">
        <v>91</v>
      </c>
      <c r="B348" s="26">
        <v>0</v>
      </c>
      <c r="C348" s="26">
        <v>0</v>
      </c>
      <c r="D348" s="26">
        <v>0</v>
      </c>
      <c r="E348" s="26">
        <v>0</v>
      </c>
      <c r="F348" s="26">
        <v>0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26">
        <v>0</v>
      </c>
      <c r="AA348" s="26">
        <v>0</v>
      </c>
      <c r="AB348" s="26">
        <v>0</v>
      </c>
      <c r="AC348" s="26">
        <v>0</v>
      </c>
      <c r="AD348" s="26">
        <v>0</v>
      </c>
      <c r="AE348" s="26">
        <v>0</v>
      </c>
      <c r="AF348" s="26">
        <v>0</v>
      </c>
      <c r="AG348" s="26">
        <v>0</v>
      </c>
      <c r="AH348" s="26">
        <v>0</v>
      </c>
      <c r="AI348" s="26">
        <v>0</v>
      </c>
      <c r="AJ348" s="26">
        <v>0</v>
      </c>
      <c r="AK348" s="26">
        <v>0</v>
      </c>
      <c r="AL348" s="27">
        <f t="shared" si="10"/>
        <v>0</v>
      </c>
      <c r="AM348" s="26">
        <f t="shared" si="11"/>
        <v>0</v>
      </c>
    </row>
    <row r="349" spans="1:39" x14ac:dyDescent="0.25">
      <c r="A349" s="25" t="s">
        <v>92</v>
      </c>
      <c r="B349" s="26">
        <v>0</v>
      </c>
      <c r="C349" s="26">
        <v>0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7.6269999999999897E-4</v>
      </c>
      <c r="N349" s="26">
        <v>8.4138304166666601E-3</v>
      </c>
      <c r="O349" s="26">
        <v>2.6515884166666601E-2</v>
      </c>
      <c r="P349" s="26">
        <v>2.75357295833333E-2</v>
      </c>
      <c r="Q349" s="26">
        <v>2.86956087499999E-2</v>
      </c>
      <c r="R349" s="26">
        <v>4.0178907916666597E-2</v>
      </c>
      <c r="S349" s="26">
        <v>4.0295947083333297E-2</v>
      </c>
      <c r="T349" s="26">
        <v>4.0407222499999999E-2</v>
      </c>
      <c r="U349" s="26">
        <v>4.0520467499999997E-2</v>
      </c>
      <c r="V349" s="26">
        <v>4.0632322916666602E-2</v>
      </c>
      <c r="W349" s="26">
        <v>4.0855650747463203E-2</v>
      </c>
      <c r="X349" s="26">
        <v>4.0930832116695202E-2</v>
      </c>
      <c r="Y349" s="26">
        <v>5.0364047610014701E-2</v>
      </c>
      <c r="Z349" s="26">
        <v>6.0098970782244097E-2</v>
      </c>
      <c r="AA349" s="26">
        <v>0.105475068403438</v>
      </c>
      <c r="AB349" s="26">
        <v>0.15318322421616501</v>
      </c>
      <c r="AC349" s="26">
        <v>0.20060558350730401</v>
      </c>
      <c r="AD349" s="26">
        <v>0.247893702998324</v>
      </c>
      <c r="AE349" s="26">
        <v>0.295450891647627</v>
      </c>
      <c r="AF349" s="26">
        <v>0.66399157032997902</v>
      </c>
      <c r="AG349" s="26">
        <v>1.3975681488138401</v>
      </c>
      <c r="AH349" s="26">
        <v>2.1329657854884099</v>
      </c>
      <c r="AI349" s="26">
        <v>2.8689397629868001</v>
      </c>
      <c r="AJ349" s="26">
        <v>0</v>
      </c>
      <c r="AK349" s="26">
        <v>0</v>
      </c>
      <c r="AL349" s="27">
        <f t="shared" si="10"/>
        <v>8.29895556256497</v>
      </c>
      <c r="AM349" s="26">
        <f t="shared" si="11"/>
        <v>8298.95556256497</v>
      </c>
    </row>
    <row r="350" spans="1:39" x14ac:dyDescent="0.25">
      <c r="A350" s="25" t="s">
        <v>93</v>
      </c>
      <c r="B350" s="26">
        <v>1.10564271416666</v>
      </c>
      <c r="C350" s="26">
        <v>1.1228257699999999</v>
      </c>
      <c r="D350" s="26">
        <v>1.1421605049999899</v>
      </c>
      <c r="E350" s="26">
        <v>1.44712500041666</v>
      </c>
      <c r="F350" s="26">
        <v>1.5475998020833299</v>
      </c>
      <c r="G350" s="26">
        <v>2.0702526524999998</v>
      </c>
      <c r="H350" s="26">
        <v>2.2782261524999998</v>
      </c>
      <c r="I350" s="26">
        <v>2.6724764158333301</v>
      </c>
      <c r="J350" s="26">
        <v>2.7208906108333299</v>
      </c>
      <c r="K350" s="26">
        <v>4.6447952829166601</v>
      </c>
      <c r="L350" s="26">
        <v>5.2002110404166597</v>
      </c>
      <c r="M350" s="26">
        <v>6.8422701499999903</v>
      </c>
      <c r="N350" s="26">
        <v>7.78641944041666</v>
      </c>
      <c r="O350" s="26">
        <v>9.8721325124999897</v>
      </c>
      <c r="P350" s="26">
        <v>10.025522248749899</v>
      </c>
      <c r="Q350" s="26">
        <v>16.547538088333301</v>
      </c>
      <c r="R350" s="26">
        <v>22.981420426666599</v>
      </c>
      <c r="S350" s="26">
        <v>23.157940176249902</v>
      </c>
      <c r="T350" s="26">
        <v>23.1847077562499</v>
      </c>
      <c r="U350" s="26">
        <v>26.727285345833302</v>
      </c>
      <c r="V350" s="26">
        <v>29.6292037562499</v>
      </c>
      <c r="W350" s="26">
        <v>29.683969427791901</v>
      </c>
      <c r="X350" s="26">
        <v>0</v>
      </c>
      <c r="Y350" s="26">
        <v>0</v>
      </c>
      <c r="Z350" s="26">
        <v>0</v>
      </c>
      <c r="AA350" s="26">
        <v>0</v>
      </c>
      <c r="AB350" s="26">
        <v>0</v>
      </c>
      <c r="AC350" s="26">
        <v>0</v>
      </c>
      <c r="AD350" s="26">
        <v>0</v>
      </c>
      <c r="AE350" s="26">
        <v>0</v>
      </c>
      <c r="AF350" s="26">
        <v>0</v>
      </c>
      <c r="AG350" s="26">
        <v>0</v>
      </c>
      <c r="AH350" s="26">
        <v>0</v>
      </c>
      <c r="AI350" s="26">
        <v>0</v>
      </c>
      <c r="AJ350" s="26">
        <v>0</v>
      </c>
      <c r="AK350" s="26">
        <v>0</v>
      </c>
      <c r="AL350" s="27">
        <f t="shared" si="10"/>
        <v>59.313173184041801</v>
      </c>
      <c r="AM350" s="26">
        <f t="shared" si="11"/>
        <v>59313.1731840418</v>
      </c>
    </row>
    <row r="351" spans="1:39" x14ac:dyDescent="0.25">
      <c r="A351" s="25" t="s">
        <v>94</v>
      </c>
      <c r="B351" s="26">
        <v>0.20685358041666599</v>
      </c>
      <c r="C351" s="26">
        <v>0.21447937208333301</v>
      </c>
      <c r="D351" s="26">
        <v>0.21923131208333299</v>
      </c>
      <c r="E351" s="26">
        <v>0.22030739333333299</v>
      </c>
      <c r="F351" s="26">
        <v>0.223925795833333</v>
      </c>
      <c r="G351" s="26">
        <v>0.225583713749999</v>
      </c>
      <c r="H351" s="26">
        <v>0.22912220916666601</v>
      </c>
      <c r="I351" s="26">
        <v>0</v>
      </c>
      <c r="J351" s="26">
        <v>0</v>
      </c>
      <c r="K351" s="26">
        <v>0.23381223416666599</v>
      </c>
      <c r="L351" s="26">
        <v>0.23535914249999901</v>
      </c>
      <c r="M351" s="26">
        <v>0.23767672583333299</v>
      </c>
      <c r="N351" s="26">
        <v>0.24805460541666599</v>
      </c>
      <c r="O351" s="26">
        <v>0.254091269583333</v>
      </c>
      <c r="P351" s="26">
        <v>0.259326313333333</v>
      </c>
      <c r="Q351" s="26">
        <v>0.27624673791666599</v>
      </c>
      <c r="R351" s="26">
        <v>0.32135797791666598</v>
      </c>
      <c r="S351" s="26">
        <v>0.55938147124999904</v>
      </c>
      <c r="T351" s="26">
        <v>1.01121650291666</v>
      </c>
      <c r="U351" s="26">
        <v>1.40207119249999</v>
      </c>
      <c r="V351" s="26">
        <v>1.4819394641666599</v>
      </c>
      <c r="W351" s="26">
        <v>1.5473069501121699</v>
      </c>
      <c r="X351" s="26">
        <v>0</v>
      </c>
      <c r="Y351" s="26">
        <v>0</v>
      </c>
      <c r="Z351" s="26">
        <v>0</v>
      </c>
      <c r="AA351" s="26">
        <v>0</v>
      </c>
      <c r="AB351" s="26">
        <v>0</v>
      </c>
      <c r="AC351" s="26">
        <v>0</v>
      </c>
      <c r="AD351" s="26">
        <v>0</v>
      </c>
      <c r="AE351" s="26">
        <v>0</v>
      </c>
      <c r="AF351" s="26">
        <v>0</v>
      </c>
      <c r="AG351" s="26">
        <v>0</v>
      </c>
      <c r="AH351" s="26">
        <v>0</v>
      </c>
      <c r="AI351" s="26">
        <v>0</v>
      </c>
      <c r="AJ351" s="26">
        <v>0</v>
      </c>
      <c r="AK351" s="26">
        <v>0</v>
      </c>
      <c r="AL351" s="27">
        <f t="shared" si="10"/>
        <v>3.0292464142788296</v>
      </c>
      <c r="AM351" s="26">
        <f t="shared" si="11"/>
        <v>3029.2464142788294</v>
      </c>
    </row>
    <row r="352" spans="1:39" x14ac:dyDescent="0.25">
      <c r="A352" s="25" t="s">
        <v>95</v>
      </c>
      <c r="B352" s="26">
        <v>0.23601404708333301</v>
      </c>
      <c r="C352" s="26">
        <v>0.26252253624999999</v>
      </c>
      <c r="D352" s="26">
        <v>0.401640647499999</v>
      </c>
      <c r="E352" s="26">
        <v>0.42926033208333297</v>
      </c>
      <c r="F352" s="26">
        <v>0.53354822291666604</v>
      </c>
      <c r="G352" s="26">
        <v>0.94605617333333303</v>
      </c>
      <c r="H352" s="26">
        <v>0.96584323583333298</v>
      </c>
      <c r="I352" s="26">
        <v>1.13480795375</v>
      </c>
      <c r="J352" s="26">
        <v>1.41565543291666</v>
      </c>
      <c r="K352" s="26">
        <v>1.46092508541666</v>
      </c>
      <c r="L352" s="26">
        <v>1.69635571291666</v>
      </c>
      <c r="M352" s="26">
        <v>1.7151720366666601</v>
      </c>
      <c r="N352" s="26">
        <v>2.27456272749999</v>
      </c>
      <c r="O352" s="26">
        <v>2.28620342416666</v>
      </c>
      <c r="P352" s="26">
        <v>2.6666831462499898</v>
      </c>
      <c r="Q352" s="26">
        <v>2.6219032916666598</v>
      </c>
      <c r="R352" s="26">
        <v>2.6047530662499998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0</v>
      </c>
      <c r="Z352" s="26">
        <v>0</v>
      </c>
      <c r="AA352" s="26">
        <v>0</v>
      </c>
      <c r="AB352" s="26">
        <v>0</v>
      </c>
      <c r="AC352" s="26">
        <v>0</v>
      </c>
      <c r="AD352" s="26">
        <v>0</v>
      </c>
      <c r="AE352" s="26">
        <v>0</v>
      </c>
      <c r="AF352" s="26">
        <v>0</v>
      </c>
      <c r="AG352" s="26">
        <v>0</v>
      </c>
      <c r="AH352" s="26">
        <v>0</v>
      </c>
      <c r="AI352" s="26">
        <v>0</v>
      </c>
      <c r="AJ352" s="26">
        <v>0</v>
      </c>
      <c r="AK352" s="26">
        <v>0</v>
      </c>
      <c r="AL352" s="27">
        <f t="shared" si="10"/>
        <v>0</v>
      </c>
      <c r="AM352" s="26">
        <f t="shared" si="11"/>
        <v>0</v>
      </c>
    </row>
    <row r="353" spans="1:39" x14ac:dyDescent="0.25">
      <c r="A353" s="25" t="s">
        <v>96</v>
      </c>
      <c r="B353" s="26">
        <v>0</v>
      </c>
      <c r="C353" s="26">
        <v>0</v>
      </c>
      <c r="D353" s="26">
        <v>0</v>
      </c>
      <c r="E353" s="26">
        <v>0</v>
      </c>
      <c r="F353" s="26">
        <v>0.30357505708333299</v>
      </c>
      <c r="G353" s="26">
        <v>0.38384230833333299</v>
      </c>
      <c r="H353" s="26">
        <v>0.43981965499999898</v>
      </c>
      <c r="I353" s="26">
        <v>0.514844104999999</v>
      </c>
      <c r="J353" s="26">
        <v>1.2031008029166601</v>
      </c>
      <c r="K353" s="26">
        <v>1.2992467866666599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1.2159470416666599E-2</v>
      </c>
      <c r="R353" s="26">
        <v>1.2509875E-3</v>
      </c>
      <c r="S353" s="26">
        <v>1.21560145833333E-2</v>
      </c>
      <c r="T353" s="26">
        <v>1.2159470416666599E-2</v>
      </c>
      <c r="U353" s="26">
        <v>1.21629987499999E-2</v>
      </c>
      <c r="V353" s="26">
        <v>1.21664787499999E-2</v>
      </c>
      <c r="W353" s="26">
        <v>1.42377277716263E-2</v>
      </c>
      <c r="X353" s="26">
        <v>0</v>
      </c>
      <c r="Y353" s="26">
        <v>0</v>
      </c>
      <c r="Z353" s="26">
        <v>0</v>
      </c>
      <c r="AA353" s="26">
        <v>0</v>
      </c>
      <c r="AB353" s="26">
        <v>0</v>
      </c>
      <c r="AC353" s="26">
        <v>0</v>
      </c>
      <c r="AD353" s="26">
        <v>0</v>
      </c>
      <c r="AE353" s="26">
        <v>0</v>
      </c>
      <c r="AF353" s="26">
        <v>0</v>
      </c>
      <c r="AG353" s="26">
        <v>0</v>
      </c>
      <c r="AH353" s="26">
        <v>0</v>
      </c>
      <c r="AI353" s="26">
        <v>0</v>
      </c>
      <c r="AJ353" s="26">
        <v>0</v>
      </c>
      <c r="AK353" s="26">
        <v>0</v>
      </c>
      <c r="AL353" s="27">
        <f t="shared" si="10"/>
        <v>2.64042065216262E-2</v>
      </c>
      <c r="AM353" s="26">
        <f t="shared" si="11"/>
        <v>26.4042065216262</v>
      </c>
    </row>
    <row r="354" spans="1:39" x14ac:dyDescent="0.25">
      <c r="A354" s="25" t="s">
        <v>97</v>
      </c>
      <c r="B354" s="26">
        <v>0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8.32942470833333E-2</v>
      </c>
      <c r="V354" s="26">
        <v>8.5266561249999998E-2</v>
      </c>
      <c r="W354" s="26">
        <v>8.7213156988582896E-2</v>
      </c>
      <c r="X354" s="26">
        <v>8.8727936604889299E-2</v>
      </c>
      <c r="Y354" s="26">
        <v>9.0364040304824506E-2</v>
      </c>
      <c r="Z354" s="26">
        <v>9.2060024505294394E-2</v>
      </c>
      <c r="AA354" s="26">
        <v>9.3635289119389106E-2</v>
      </c>
      <c r="AB354" s="26">
        <v>9.5303410904368099E-2</v>
      </c>
      <c r="AC354" s="26">
        <v>9.6959674917853997E-2</v>
      </c>
      <c r="AD354" s="26">
        <v>0.54069566322531704</v>
      </c>
      <c r="AE354" s="26">
        <v>0.98744110881298497</v>
      </c>
      <c r="AF354" s="26">
        <v>1.7098589816805401</v>
      </c>
      <c r="AG354" s="26">
        <v>2.42901481653456</v>
      </c>
      <c r="AH354" s="26">
        <v>3.15009622515253</v>
      </c>
      <c r="AI354" s="26">
        <v>3.8715466889068502</v>
      </c>
      <c r="AJ354" s="26">
        <v>0</v>
      </c>
      <c r="AK354" s="26">
        <v>0</v>
      </c>
      <c r="AL354" s="27">
        <f t="shared" si="10"/>
        <v>13.418183578907986</v>
      </c>
      <c r="AM354" s="26">
        <f t="shared" si="11"/>
        <v>13418.183578907985</v>
      </c>
    </row>
    <row r="355" spans="1:39" x14ac:dyDescent="0.25">
      <c r="A355" s="25" t="s">
        <v>98</v>
      </c>
      <c r="B355" s="26">
        <v>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3.6749673987499998</v>
      </c>
      <c r="L355" s="26">
        <v>4.8852262595833302</v>
      </c>
      <c r="M355" s="26">
        <v>7.36940078166666</v>
      </c>
      <c r="N355" s="26">
        <v>5.9486904433333301</v>
      </c>
      <c r="O355" s="26">
        <v>7.0824429420833299</v>
      </c>
      <c r="P355" s="26">
        <v>7.7510956641666597</v>
      </c>
      <c r="Q355" s="26">
        <v>0.18009277916666599</v>
      </c>
      <c r="R355" s="26">
        <v>0.18442643041666601</v>
      </c>
      <c r="S355" s="26">
        <v>0.65889936958333295</v>
      </c>
      <c r="T355" s="26">
        <v>0.93238336208333294</v>
      </c>
      <c r="U355" s="26">
        <v>0.98082278708333304</v>
      </c>
      <c r="V355" s="26">
        <v>1.02988457624999</v>
      </c>
      <c r="W355" s="26">
        <v>1.04223679415679</v>
      </c>
      <c r="X355" s="26">
        <v>0</v>
      </c>
      <c r="Y355" s="26">
        <v>0</v>
      </c>
      <c r="Z355" s="26">
        <v>0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26">
        <v>0</v>
      </c>
      <c r="AG355" s="26">
        <v>0</v>
      </c>
      <c r="AH355" s="26">
        <v>0</v>
      </c>
      <c r="AI355" s="26">
        <v>0</v>
      </c>
      <c r="AJ355" s="26">
        <v>0</v>
      </c>
      <c r="AK355" s="26">
        <v>0</v>
      </c>
      <c r="AL355" s="27">
        <f t="shared" si="10"/>
        <v>2.07212137040678</v>
      </c>
      <c r="AM355" s="26">
        <f t="shared" si="11"/>
        <v>2072.12137040678</v>
      </c>
    </row>
    <row r="356" spans="1:39" x14ac:dyDescent="0.25">
      <c r="A356" s="25" t="s">
        <v>99</v>
      </c>
      <c r="B356" s="26">
        <v>0</v>
      </c>
      <c r="C356" s="26">
        <v>0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9.8404733333333303E-3</v>
      </c>
      <c r="L356" s="26">
        <v>2.0081436666666602E-2</v>
      </c>
      <c r="M356" s="26">
        <v>5.3403306666666601E-2</v>
      </c>
      <c r="N356" s="26">
        <v>0.16272374875000001</v>
      </c>
      <c r="O356" s="26">
        <v>0.164100934583333</v>
      </c>
      <c r="P356" s="26">
        <v>0.186213325833333</v>
      </c>
      <c r="Q356" s="26">
        <v>0.199991660833333</v>
      </c>
      <c r="R356" s="26">
        <v>0.23820144458333301</v>
      </c>
      <c r="S356" s="26">
        <v>0.35366501708333298</v>
      </c>
      <c r="T356" s="26">
        <v>0.37340184916666602</v>
      </c>
      <c r="U356" s="26">
        <v>0.55941244083333297</v>
      </c>
      <c r="V356" s="26">
        <v>1.17349934291666</v>
      </c>
      <c r="W356" s="26">
        <v>1.92108072145648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26">
        <v>0</v>
      </c>
      <c r="AE356" s="26">
        <v>0</v>
      </c>
      <c r="AF356" s="26">
        <v>0</v>
      </c>
      <c r="AG356" s="26">
        <v>0</v>
      </c>
      <c r="AH356" s="26">
        <v>0</v>
      </c>
      <c r="AI356" s="26">
        <v>0</v>
      </c>
      <c r="AJ356" s="26">
        <v>0</v>
      </c>
      <c r="AK356" s="26">
        <v>0</v>
      </c>
      <c r="AL356" s="27">
        <f t="shared" si="10"/>
        <v>3.0945800643731403</v>
      </c>
      <c r="AM356" s="26">
        <f t="shared" si="11"/>
        <v>3094.5800643731404</v>
      </c>
    </row>
    <row r="357" spans="1:39" x14ac:dyDescent="0.25">
      <c r="A357" s="25" t="s">
        <v>100</v>
      </c>
      <c r="B357" s="26">
        <v>0</v>
      </c>
      <c r="C357" s="26">
        <v>0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0.27828766124999998</v>
      </c>
      <c r="L357" s="26">
        <v>0.28435616499999899</v>
      </c>
      <c r="M357" s="26">
        <v>0.28566030708333301</v>
      </c>
      <c r="N357" s="26">
        <v>0.72055417916666598</v>
      </c>
      <c r="O357" s="26">
        <v>0.89342425458333297</v>
      </c>
      <c r="P357" s="26">
        <v>1.1054398108333301</v>
      </c>
      <c r="Q357" s="26">
        <v>1.2840784212499901</v>
      </c>
      <c r="R357" s="26">
        <v>1.6638235854166601</v>
      </c>
      <c r="S357" s="26">
        <v>2.09059266041666</v>
      </c>
      <c r="T357" s="26">
        <v>2.4220249724999898</v>
      </c>
      <c r="U357" s="26">
        <v>2.8763852516666599</v>
      </c>
      <c r="V357" s="26">
        <v>3.2571678424999901</v>
      </c>
      <c r="W357" s="26">
        <v>3.3871556923139798</v>
      </c>
      <c r="X357" s="26">
        <v>0</v>
      </c>
      <c r="Y357" s="26">
        <v>0</v>
      </c>
      <c r="Z357" s="26">
        <v>0</v>
      </c>
      <c r="AA357" s="26">
        <v>0</v>
      </c>
      <c r="AB357" s="26">
        <v>0</v>
      </c>
      <c r="AC357" s="26">
        <v>0</v>
      </c>
      <c r="AD357" s="26">
        <v>0</v>
      </c>
      <c r="AE357" s="26">
        <v>0</v>
      </c>
      <c r="AF357" s="26">
        <v>0</v>
      </c>
      <c r="AG357" s="26">
        <v>0</v>
      </c>
      <c r="AH357" s="26">
        <v>0</v>
      </c>
      <c r="AI357" s="26">
        <v>0</v>
      </c>
      <c r="AJ357" s="26">
        <v>0</v>
      </c>
      <c r="AK357" s="26">
        <v>0</v>
      </c>
      <c r="AL357" s="27">
        <f t="shared" si="10"/>
        <v>6.64432353481397</v>
      </c>
      <c r="AM357" s="26">
        <f t="shared" si="11"/>
        <v>6644.3235348139697</v>
      </c>
    </row>
    <row r="358" spans="1:39" x14ac:dyDescent="0.25">
      <c r="A358" s="25" t="s">
        <v>101</v>
      </c>
      <c r="B358" s="26">
        <v>0</v>
      </c>
      <c r="C358" s="26">
        <v>0</v>
      </c>
      <c r="D358" s="26">
        <v>0</v>
      </c>
      <c r="E358" s="26">
        <v>5.7712223333333298E-2</v>
      </c>
      <c r="F358" s="26">
        <v>0.10388916499999901</v>
      </c>
      <c r="G358" s="26">
        <v>0.12684410291666601</v>
      </c>
      <c r="H358" s="26">
        <v>0.13100804375</v>
      </c>
      <c r="I358" s="26">
        <v>0</v>
      </c>
      <c r="J358" s="26">
        <v>0</v>
      </c>
      <c r="K358" s="26">
        <v>0.284458305416666</v>
      </c>
      <c r="L358" s="26">
        <v>0.37501133708333301</v>
      </c>
      <c r="M358" s="26">
        <v>0.51763455749999998</v>
      </c>
      <c r="N358" s="26">
        <v>0.749855452916666</v>
      </c>
      <c r="O358" s="26">
        <v>1.1427502924999999</v>
      </c>
      <c r="P358" s="26">
        <v>1.3734062874999999</v>
      </c>
      <c r="Q358" s="26">
        <v>1.61728930333333</v>
      </c>
      <c r="R358" s="26">
        <v>2.0900370083333302</v>
      </c>
      <c r="S358" s="26">
        <v>3.3582221729166601</v>
      </c>
      <c r="T358" s="26">
        <v>4.5950367566666603</v>
      </c>
      <c r="U358" s="26">
        <v>6.1664445316666603</v>
      </c>
      <c r="V358" s="26">
        <v>7.87049065791666</v>
      </c>
      <c r="W358" s="26">
        <v>8.6431553903090403</v>
      </c>
      <c r="X358" s="26">
        <v>10.6593729520769</v>
      </c>
      <c r="Y358" s="26">
        <v>12.524043910520099</v>
      </c>
      <c r="Z358" s="26">
        <v>0</v>
      </c>
      <c r="AA358" s="26">
        <v>0</v>
      </c>
      <c r="AB358" s="26">
        <v>0</v>
      </c>
      <c r="AC358" s="26">
        <v>0</v>
      </c>
      <c r="AD358" s="26">
        <v>0</v>
      </c>
      <c r="AE358" s="26">
        <v>0</v>
      </c>
      <c r="AF358" s="26">
        <v>0</v>
      </c>
      <c r="AG358" s="26">
        <v>0</v>
      </c>
      <c r="AH358" s="26">
        <v>0</v>
      </c>
      <c r="AI358" s="26">
        <v>0</v>
      </c>
      <c r="AJ358" s="26">
        <v>0</v>
      </c>
      <c r="AK358" s="26">
        <v>0</v>
      </c>
      <c r="AL358" s="27">
        <f t="shared" si="10"/>
        <v>39.697062910822702</v>
      </c>
      <c r="AM358" s="26">
        <f t="shared" si="11"/>
        <v>39697.0629108227</v>
      </c>
    </row>
    <row r="359" spans="1:39" x14ac:dyDescent="0.25">
      <c r="A359" s="25" t="s">
        <v>102</v>
      </c>
      <c r="B359" s="26">
        <v>0.25246587999999998</v>
      </c>
      <c r="C359" s="26">
        <v>0.96651033249999996</v>
      </c>
      <c r="D359" s="26">
        <v>0.98706988249999905</v>
      </c>
      <c r="E359" s="26">
        <v>1.0790778804166601</v>
      </c>
      <c r="F359" s="26">
        <v>1.1195610224999999</v>
      </c>
      <c r="G359" s="26">
        <v>1.2887692074999999</v>
      </c>
      <c r="H359" s="26">
        <v>1.40283121</v>
      </c>
      <c r="I359" s="26">
        <v>1.6742382949999901</v>
      </c>
      <c r="J359" s="26">
        <v>1.7322376666666599</v>
      </c>
      <c r="K359" s="26">
        <v>1.7999341549999901</v>
      </c>
      <c r="L359" s="26">
        <v>1.8790778858333299</v>
      </c>
      <c r="M359" s="26">
        <v>1.9768736795833299</v>
      </c>
      <c r="N359" s="26">
        <v>2.9457696124999901</v>
      </c>
      <c r="O359" s="26">
        <v>3.1225244191666599</v>
      </c>
      <c r="P359" s="26">
        <v>3.1748403949999902</v>
      </c>
      <c r="Q359" s="26">
        <v>3.3290929779166598</v>
      </c>
      <c r="R359" s="26">
        <v>3.7369482891666599</v>
      </c>
      <c r="S359" s="26">
        <v>4.1086876649999997</v>
      </c>
      <c r="T359" s="26">
        <v>4.5286416916666603</v>
      </c>
      <c r="U359" s="26">
        <v>4.6693982666666596</v>
      </c>
      <c r="V359" s="26">
        <v>4.76454864416666</v>
      </c>
      <c r="W359" s="26">
        <v>5.1385145753783403</v>
      </c>
      <c r="X359" s="26">
        <v>0</v>
      </c>
      <c r="Y359" s="26">
        <v>0</v>
      </c>
      <c r="Z359" s="26">
        <v>0</v>
      </c>
      <c r="AA359" s="26">
        <v>0</v>
      </c>
      <c r="AB359" s="26">
        <v>0</v>
      </c>
      <c r="AC359" s="26">
        <v>0</v>
      </c>
      <c r="AD359" s="26">
        <v>0</v>
      </c>
      <c r="AE359" s="26">
        <v>0</v>
      </c>
      <c r="AF359" s="26">
        <v>0</v>
      </c>
      <c r="AG359" s="26">
        <v>0</v>
      </c>
      <c r="AH359" s="26">
        <v>0</v>
      </c>
      <c r="AI359" s="26">
        <v>0</v>
      </c>
      <c r="AJ359" s="26">
        <v>0</v>
      </c>
      <c r="AK359" s="26">
        <v>0</v>
      </c>
      <c r="AL359" s="27">
        <f t="shared" si="10"/>
        <v>9.9030632195450004</v>
      </c>
      <c r="AM359" s="26">
        <f t="shared" si="11"/>
        <v>9903.0632195449998</v>
      </c>
    </row>
    <row r="360" spans="1:39" x14ac:dyDescent="0.25">
      <c r="A360" s="25" t="s">
        <v>103</v>
      </c>
      <c r="B360" s="26">
        <v>5.93499976083333</v>
      </c>
      <c r="C360" s="26">
        <v>6.54634921999999</v>
      </c>
      <c r="D360" s="26">
        <v>7.27073531416666</v>
      </c>
      <c r="E360" s="26">
        <v>7.9313578033333298</v>
      </c>
      <c r="F360" s="26">
        <v>7.7912492937499902</v>
      </c>
      <c r="G360" s="26">
        <v>8.36308922541666</v>
      </c>
      <c r="H360" s="26">
        <v>8.7435547737499899</v>
      </c>
      <c r="I360" s="26">
        <v>9.2487342299999895</v>
      </c>
      <c r="J360" s="26">
        <v>9.7174515029166599</v>
      </c>
      <c r="K360" s="26">
        <v>10.258292065833301</v>
      </c>
      <c r="L360" s="26">
        <v>10.747162731666601</v>
      </c>
      <c r="M360" s="26">
        <v>10.980963414166601</v>
      </c>
      <c r="N360" s="26">
        <v>11.239229632499899</v>
      </c>
      <c r="O360" s="26">
        <v>11.628395688333301</v>
      </c>
      <c r="P360" s="26">
        <v>12.0718958299999</v>
      </c>
      <c r="Q360" s="26">
        <v>12.724764214583301</v>
      </c>
      <c r="R360" s="26">
        <v>13.1321456899999</v>
      </c>
      <c r="S360" s="26">
        <v>13.6653565824999</v>
      </c>
      <c r="T360" s="26">
        <v>13.792141102499899</v>
      </c>
      <c r="U360" s="26">
        <v>14.207084859583301</v>
      </c>
      <c r="V360" s="26">
        <v>14.398389703333301</v>
      </c>
      <c r="W360" s="26">
        <v>14.685139850134901</v>
      </c>
      <c r="X360" s="26">
        <v>0</v>
      </c>
      <c r="Y360" s="26">
        <v>0</v>
      </c>
      <c r="Z360" s="26">
        <v>0</v>
      </c>
      <c r="AA360" s="26">
        <v>0</v>
      </c>
      <c r="AB360" s="26">
        <v>0</v>
      </c>
      <c r="AC360" s="26">
        <v>0</v>
      </c>
      <c r="AD360" s="26">
        <v>0</v>
      </c>
      <c r="AE360" s="26">
        <v>0</v>
      </c>
      <c r="AF360" s="26">
        <v>0</v>
      </c>
      <c r="AG360" s="26">
        <v>0</v>
      </c>
      <c r="AH360" s="26">
        <v>0</v>
      </c>
      <c r="AI360" s="26">
        <v>0</v>
      </c>
      <c r="AJ360" s="26">
        <v>0</v>
      </c>
      <c r="AK360" s="26">
        <v>0</v>
      </c>
      <c r="AL360" s="27">
        <f t="shared" si="10"/>
        <v>29.083529553468203</v>
      </c>
      <c r="AM360" s="26">
        <f t="shared" si="11"/>
        <v>29083.529553468205</v>
      </c>
    </row>
    <row r="361" spans="1:39" x14ac:dyDescent="0.25">
      <c r="A361" s="25" t="s">
        <v>104</v>
      </c>
      <c r="B361" s="26">
        <v>0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0.252771249999999</v>
      </c>
      <c r="I361" s="26">
        <v>0.56513794708333298</v>
      </c>
      <c r="J361" s="26">
        <v>0.69210732999999902</v>
      </c>
      <c r="K361" s="26">
        <v>0.98270500791666604</v>
      </c>
      <c r="L361" s="26">
        <v>1.3151013524999999</v>
      </c>
      <c r="M361" s="26">
        <v>1.6957037324999999</v>
      </c>
      <c r="N361" s="26">
        <v>2.2272471733333301</v>
      </c>
      <c r="O361" s="26">
        <v>2.4496033320833299</v>
      </c>
      <c r="P361" s="26">
        <v>2.8460380566666599</v>
      </c>
      <c r="Q361" s="26">
        <v>2.9978878929166601</v>
      </c>
      <c r="R361" s="26">
        <v>3.0539745816666599</v>
      </c>
      <c r="S361" s="26">
        <v>3.4314904312499999</v>
      </c>
      <c r="T361" s="26">
        <v>3.8782430074999898</v>
      </c>
      <c r="U361" s="26">
        <v>4.1511793349999904</v>
      </c>
      <c r="V361" s="26">
        <v>4.3985546999999903</v>
      </c>
      <c r="W361" s="26">
        <v>4.4762866855299297</v>
      </c>
      <c r="X361" s="26">
        <v>4.5467429244474404</v>
      </c>
      <c r="Y361" s="26">
        <v>4.6219224098653804</v>
      </c>
      <c r="Z361" s="26">
        <v>4.7212430654606399</v>
      </c>
      <c r="AA361" s="26">
        <v>4.7945540651282403</v>
      </c>
      <c r="AB361" s="26">
        <v>4.8727008999904404</v>
      </c>
      <c r="AC361" s="26">
        <v>4.9686657712823701</v>
      </c>
      <c r="AD361" s="26">
        <v>5.0449088794404204</v>
      </c>
      <c r="AE361" s="26">
        <v>5.12232712698097</v>
      </c>
      <c r="AF361" s="26">
        <v>5.2147365766375797</v>
      </c>
      <c r="AG361" s="26">
        <v>5.2738746325625998</v>
      </c>
      <c r="AH361" s="26">
        <v>5.3293757839757001</v>
      </c>
      <c r="AI361" s="26">
        <v>5.3703894737082898</v>
      </c>
      <c r="AJ361" s="26">
        <v>0</v>
      </c>
      <c r="AK361" s="26">
        <v>0</v>
      </c>
      <c r="AL361" s="27">
        <f t="shared" si="10"/>
        <v>68.756282995009983</v>
      </c>
      <c r="AM361" s="26">
        <f t="shared" si="11"/>
        <v>68756.282995009984</v>
      </c>
    </row>
    <row r="362" spans="1:39" x14ac:dyDescent="0.25">
      <c r="A362" s="25" t="s">
        <v>105</v>
      </c>
      <c r="B362" s="26">
        <v>0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0</v>
      </c>
      <c r="Z362" s="26">
        <v>0</v>
      </c>
      <c r="AA362" s="26">
        <v>6.4628966350341798E-3</v>
      </c>
      <c r="AB362" s="26">
        <v>1.34055857622428E-2</v>
      </c>
      <c r="AC362" s="26">
        <v>2.0283544247019301E-2</v>
      </c>
      <c r="AD362" s="26">
        <v>2.7128286516565001E-2</v>
      </c>
      <c r="AE362" s="26">
        <v>1.1068117680248299</v>
      </c>
      <c r="AF362" s="26">
        <v>2.1518243110673501</v>
      </c>
      <c r="AG362" s="26">
        <v>3.1912402223285601</v>
      </c>
      <c r="AH362" s="26">
        <v>4.2335657086804996</v>
      </c>
      <c r="AI362" s="26">
        <v>5.2762479511786697</v>
      </c>
      <c r="AJ362" s="26">
        <v>6.3254299922978596</v>
      </c>
      <c r="AK362" s="26">
        <v>7.4266812011049099</v>
      </c>
      <c r="AL362" s="27">
        <f t="shared" si="10"/>
        <v>16.026970274440771</v>
      </c>
      <c r="AM362" s="26">
        <f t="shared" si="11"/>
        <v>16026.970274440771</v>
      </c>
    </row>
    <row r="363" spans="1:39" x14ac:dyDescent="0.25">
      <c r="A363" s="25" t="s">
        <v>106</v>
      </c>
      <c r="B363" s="26">
        <v>0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0.55031556374999901</v>
      </c>
      <c r="R363" s="26">
        <v>7.3344020833333301E-3</v>
      </c>
      <c r="S363" s="26">
        <v>9.4114666666666597E-3</v>
      </c>
      <c r="T363" s="26">
        <v>0.55031556374999901</v>
      </c>
      <c r="U363" s="26">
        <v>1.91998326791666</v>
      </c>
      <c r="V363" s="26">
        <v>3.5663162041666601</v>
      </c>
      <c r="W363" s="26">
        <v>4.6854759132278998</v>
      </c>
      <c r="X363" s="26">
        <v>0</v>
      </c>
      <c r="Y363" s="26">
        <v>0</v>
      </c>
      <c r="Z363" s="26">
        <v>0</v>
      </c>
      <c r="AA363" s="26">
        <v>0</v>
      </c>
      <c r="AB363" s="26">
        <v>0</v>
      </c>
      <c r="AC363" s="26">
        <v>0</v>
      </c>
      <c r="AD363" s="26">
        <v>0</v>
      </c>
      <c r="AE363" s="26">
        <v>0</v>
      </c>
      <c r="AF363" s="26">
        <v>0</v>
      </c>
      <c r="AG363" s="26">
        <v>0</v>
      </c>
      <c r="AH363" s="26">
        <v>0</v>
      </c>
      <c r="AI363" s="26">
        <v>0</v>
      </c>
      <c r="AJ363" s="26">
        <v>0</v>
      </c>
      <c r="AK363" s="26">
        <v>0</v>
      </c>
      <c r="AL363" s="27">
        <f t="shared" si="10"/>
        <v>8.2517921173945599</v>
      </c>
      <c r="AM363" s="26">
        <f t="shared" si="11"/>
        <v>8251.7921173945597</v>
      </c>
    </row>
    <row r="364" spans="1:39" x14ac:dyDescent="0.25">
      <c r="A364" s="25" t="s">
        <v>107</v>
      </c>
      <c r="B364" s="26">
        <v>0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0</v>
      </c>
      <c r="X364" s="26">
        <v>0</v>
      </c>
      <c r="Y364" s="26">
        <v>0</v>
      </c>
      <c r="Z364" s="26">
        <v>0</v>
      </c>
      <c r="AA364" s="26">
        <v>0</v>
      </c>
      <c r="AB364" s="26">
        <v>0</v>
      </c>
      <c r="AC364" s="26">
        <v>1.4872798994583099E-2</v>
      </c>
      <c r="AD364" s="26">
        <v>0.38453589307921299</v>
      </c>
      <c r="AE364" s="26">
        <v>1.1281956016472601</v>
      </c>
      <c r="AF364" s="26">
        <v>1.85086304872251</v>
      </c>
      <c r="AG364" s="26">
        <v>2.5702689003085402</v>
      </c>
      <c r="AH364" s="26">
        <v>3.29160076896747</v>
      </c>
      <c r="AI364" s="26">
        <v>4.0133021368577602</v>
      </c>
      <c r="AJ364" s="26">
        <v>0</v>
      </c>
      <c r="AK364" s="26">
        <v>0</v>
      </c>
      <c r="AL364" s="27">
        <f t="shared" si="10"/>
        <v>13.253639148577337</v>
      </c>
      <c r="AM364" s="26">
        <f t="shared" si="11"/>
        <v>13253.639148577337</v>
      </c>
    </row>
    <row r="365" spans="1:39" x14ac:dyDescent="0.25">
      <c r="A365" s="25" t="s">
        <v>108</v>
      </c>
      <c r="B365" s="26">
        <v>0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1.9448463333333301E-2</v>
      </c>
      <c r="P365" s="26">
        <v>3.9016889999999901E-2</v>
      </c>
      <c r="Q365" s="26">
        <v>0.105558525833333</v>
      </c>
      <c r="R365" s="26">
        <v>0.124078662916666</v>
      </c>
      <c r="S365" s="26">
        <v>0.15002061291666599</v>
      </c>
      <c r="T365" s="26">
        <v>0.181344491666666</v>
      </c>
      <c r="U365" s="26">
        <v>0.21214065499999901</v>
      </c>
      <c r="V365" s="26">
        <v>0.264178750416666</v>
      </c>
      <c r="W365" s="26">
        <v>0.27489002428946202</v>
      </c>
      <c r="X365" s="26">
        <v>0.97661287878870895</v>
      </c>
      <c r="Y365" s="26">
        <v>1.91419959089472</v>
      </c>
      <c r="Z365" s="26">
        <v>2.6891016232085998</v>
      </c>
      <c r="AA365" s="26">
        <v>0</v>
      </c>
      <c r="AB365" s="26">
        <v>0</v>
      </c>
      <c r="AC365" s="26">
        <v>0</v>
      </c>
      <c r="AD365" s="26">
        <v>0</v>
      </c>
      <c r="AE365" s="26">
        <v>0</v>
      </c>
      <c r="AF365" s="26">
        <v>0</v>
      </c>
      <c r="AG365" s="26">
        <v>0</v>
      </c>
      <c r="AH365" s="26">
        <v>0</v>
      </c>
      <c r="AI365" s="26">
        <v>0</v>
      </c>
      <c r="AJ365" s="26">
        <v>0</v>
      </c>
      <c r="AK365" s="26">
        <v>0</v>
      </c>
      <c r="AL365" s="27">
        <f t="shared" si="10"/>
        <v>6.1189828675981568</v>
      </c>
      <c r="AM365" s="26">
        <f t="shared" si="11"/>
        <v>6118.9828675981571</v>
      </c>
    </row>
    <row r="366" spans="1:39" x14ac:dyDescent="0.25">
      <c r="A366" s="25" t="s">
        <v>109</v>
      </c>
      <c r="B366" s="26">
        <v>0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0</v>
      </c>
      <c r="Z366" s="26">
        <v>0</v>
      </c>
      <c r="AA366" s="26">
        <v>0</v>
      </c>
      <c r="AB366" s="26">
        <v>0</v>
      </c>
      <c r="AC366" s="26">
        <v>0</v>
      </c>
      <c r="AD366" s="26">
        <v>0</v>
      </c>
      <c r="AE366" s="26">
        <v>0</v>
      </c>
      <c r="AF366" s="26">
        <v>0</v>
      </c>
      <c r="AG366" s="26">
        <v>0</v>
      </c>
      <c r="AH366" s="26">
        <v>0</v>
      </c>
      <c r="AI366" s="26">
        <v>0</v>
      </c>
      <c r="AJ366" s="26">
        <v>0</v>
      </c>
      <c r="AK366" s="26">
        <v>0</v>
      </c>
      <c r="AL366" s="27">
        <f t="shared" si="10"/>
        <v>0</v>
      </c>
      <c r="AM366" s="26">
        <f t="shared" si="11"/>
        <v>0</v>
      </c>
    </row>
    <row r="367" spans="1:39" x14ac:dyDescent="0.25">
      <c r="A367" s="25" t="s">
        <v>110</v>
      </c>
      <c r="B367" s="26">
        <v>0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3.05244109266362E-2</v>
      </c>
      <c r="X367" s="26">
        <v>8.8236954052918704E-2</v>
      </c>
      <c r="Y367" s="26">
        <v>0.15182250518778501</v>
      </c>
      <c r="Z367" s="26">
        <v>0</v>
      </c>
      <c r="AA367" s="26">
        <v>0</v>
      </c>
      <c r="AB367" s="26">
        <v>0</v>
      </c>
      <c r="AC367" s="26">
        <v>0</v>
      </c>
      <c r="AD367" s="26">
        <v>0</v>
      </c>
      <c r="AE367" s="26">
        <v>0</v>
      </c>
      <c r="AF367" s="26">
        <v>0</v>
      </c>
      <c r="AG367" s="26">
        <v>0</v>
      </c>
      <c r="AH367" s="26">
        <v>0</v>
      </c>
      <c r="AI367" s="26">
        <v>0</v>
      </c>
      <c r="AJ367" s="26">
        <v>0</v>
      </c>
      <c r="AK367" s="26">
        <v>0</v>
      </c>
      <c r="AL367" s="27">
        <f t="shared" si="10"/>
        <v>0.27058387016733992</v>
      </c>
      <c r="AM367" s="26">
        <f t="shared" si="11"/>
        <v>270.58387016733991</v>
      </c>
    </row>
    <row r="368" spans="1:39" x14ac:dyDescent="0.25">
      <c r="A368" s="25" t="s">
        <v>111</v>
      </c>
      <c r="B368" s="26">
        <v>0</v>
      </c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  <c r="I368" s="26">
        <v>0</v>
      </c>
      <c r="J368" s="26">
        <v>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0.17152426490093201</v>
      </c>
      <c r="X368" s="26">
        <v>0.241854764268882</v>
      </c>
      <c r="Y368" s="26">
        <v>0.31931759082245798</v>
      </c>
      <c r="Z368" s="26">
        <v>0.40028271568068202</v>
      </c>
      <c r="AA368" s="26">
        <v>0.90578073410939897</v>
      </c>
      <c r="AB368" s="26">
        <v>0</v>
      </c>
      <c r="AC368" s="26">
        <v>0</v>
      </c>
      <c r="AD368" s="26">
        <v>0</v>
      </c>
      <c r="AE368" s="26">
        <v>0</v>
      </c>
      <c r="AF368" s="26">
        <v>0</v>
      </c>
      <c r="AG368" s="26">
        <v>0</v>
      </c>
      <c r="AH368" s="26">
        <v>0</v>
      </c>
      <c r="AI368" s="26">
        <v>0</v>
      </c>
      <c r="AJ368" s="26">
        <v>0</v>
      </c>
      <c r="AK368" s="26">
        <v>0</v>
      </c>
      <c r="AL368" s="27">
        <f t="shared" si="10"/>
        <v>2.0387600697823531</v>
      </c>
      <c r="AM368" s="26">
        <f t="shared" si="11"/>
        <v>2038.7600697823532</v>
      </c>
    </row>
    <row r="369" spans="1:39" x14ac:dyDescent="0.25">
      <c r="A369" s="25" t="s">
        <v>112</v>
      </c>
      <c r="B369" s="26">
        <v>0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  <c r="I369" s="26">
        <v>0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0.154075417083333</v>
      </c>
      <c r="R369" s="26">
        <v>0.210375231666666</v>
      </c>
      <c r="S369" s="26">
        <v>0.48468299333333298</v>
      </c>
      <c r="T369" s="26">
        <v>0.56019623833333299</v>
      </c>
      <c r="U369" s="26">
        <v>0.68779621416666603</v>
      </c>
      <c r="V369" s="26">
        <v>0.93180522291666601</v>
      </c>
      <c r="W369" s="26">
        <v>1.1496113744793</v>
      </c>
      <c r="X369" s="26">
        <v>1.4950246331807899</v>
      </c>
      <c r="Y369" s="26">
        <v>1.8221621597367901</v>
      </c>
      <c r="Z369" s="26">
        <v>0</v>
      </c>
      <c r="AA369" s="26">
        <v>0</v>
      </c>
      <c r="AB369" s="26">
        <v>0</v>
      </c>
      <c r="AC369" s="26">
        <v>0</v>
      </c>
      <c r="AD369" s="26">
        <v>0</v>
      </c>
      <c r="AE369" s="26">
        <v>0</v>
      </c>
      <c r="AF369" s="26">
        <v>0</v>
      </c>
      <c r="AG369" s="26">
        <v>0</v>
      </c>
      <c r="AH369" s="26">
        <v>0</v>
      </c>
      <c r="AI369" s="26">
        <v>0</v>
      </c>
      <c r="AJ369" s="26">
        <v>0</v>
      </c>
      <c r="AK369" s="26">
        <v>0</v>
      </c>
      <c r="AL369" s="27">
        <f t="shared" si="10"/>
        <v>5.3986033903135464</v>
      </c>
      <c r="AM369" s="26">
        <f t="shared" si="11"/>
        <v>5398.6033903135467</v>
      </c>
    </row>
    <row r="370" spans="1:39" x14ac:dyDescent="0.25">
      <c r="A370" s="25" t="s">
        <v>113</v>
      </c>
      <c r="B370" s="26">
        <v>0</v>
      </c>
      <c r="C370" s="26"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1.08439459170459E-2</v>
      </c>
      <c r="X370" s="26">
        <v>0</v>
      </c>
      <c r="Y370" s="26">
        <v>0</v>
      </c>
      <c r="Z370" s="26">
        <v>0</v>
      </c>
      <c r="AA370" s="26">
        <v>0</v>
      </c>
      <c r="AB370" s="26">
        <v>0</v>
      </c>
      <c r="AC370" s="26">
        <v>0</v>
      </c>
      <c r="AD370" s="26">
        <v>0</v>
      </c>
      <c r="AE370" s="26">
        <v>0</v>
      </c>
      <c r="AF370" s="26">
        <v>0</v>
      </c>
      <c r="AG370" s="26">
        <v>0</v>
      </c>
      <c r="AH370" s="26">
        <v>0</v>
      </c>
      <c r="AI370" s="26">
        <v>0</v>
      </c>
      <c r="AJ370" s="26">
        <v>0</v>
      </c>
      <c r="AK370" s="26">
        <v>0</v>
      </c>
      <c r="AL370" s="27">
        <f t="shared" si="10"/>
        <v>1.08439459170459E-2</v>
      </c>
      <c r="AM370" s="26">
        <f t="shared" si="11"/>
        <v>10.8439459170459</v>
      </c>
    </row>
    <row r="371" spans="1:39" x14ac:dyDescent="0.25">
      <c r="A371" s="25" t="s">
        <v>114</v>
      </c>
      <c r="B371" s="26">
        <v>0</v>
      </c>
      <c r="C371" s="26"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0</v>
      </c>
      <c r="V371" s="26">
        <v>0</v>
      </c>
      <c r="W371" s="26">
        <v>0.208913570833891</v>
      </c>
      <c r="X371" s="26">
        <v>0.39595533012060702</v>
      </c>
      <c r="Y371" s="26">
        <v>0.59712206315557304</v>
      </c>
      <c r="Z371" s="26">
        <v>0.87066745859281802</v>
      </c>
      <c r="AA371" s="26">
        <v>1.06703030161527</v>
      </c>
      <c r="AB371" s="26">
        <v>1.2778588575733401</v>
      </c>
      <c r="AC371" s="26">
        <v>1.54209965606912</v>
      </c>
      <c r="AD371" s="26">
        <v>1.74713322417709</v>
      </c>
      <c r="AE371" s="26">
        <v>1.9556501950801799</v>
      </c>
      <c r="AF371" s="26">
        <v>2.20909868248087</v>
      </c>
      <c r="AG371" s="26">
        <v>2.3626908242059601</v>
      </c>
      <c r="AH371" s="26">
        <v>2.5053300131519798</v>
      </c>
      <c r="AI371" s="26">
        <v>2.60446450291797</v>
      </c>
      <c r="AJ371" s="26">
        <v>0</v>
      </c>
      <c r="AK371" s="26">
        <v>0</v>
      </c>
      <c r="AL371" s="27">
        <f t="shared" si="10"/>
        <v>19.34401467997467</v>
      </c>
      <c r="AM371" s="26">
        <f t="shared" si="11"/>
        <v>19344.014679974669</v>
      </c>
    </row>
    <row r="372" spans="1:39" x14ac:dyDescent="0.25">
      <c r="A372" s="25" t="s">
        <v>115</v>
      </c>
      <c r="B372" s="26">
        <v>0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6">
        <v>9.0738198636149594E-3</v>
      </c>
      <c r="X372" s="26">
        <v>5.2916580362178903E-2</v>
      </c>
      <c r="Y372" s="26">
        <v>6.23718516775911E-2</v>
      </c>
      <c r="Z372" s="26">
        <v>7.2128871258389501E-2</v>
      </c>
      <c r="AA372" s="26">
        <v>0.11752629930264499</v>
      </c>
      <c r="AB372" s="26">
        <v>0.16525582335977301</v>
      </c>
      <c r="AC372" s="26">
        <v>0.22212973828100599</v>
      </c>
      <c r="AD372" s="26">
        <v>0.29761547599254201</v>
      </c>
      <c r="AE372" s="26">
        <v>0.37353141361238801</v>
      </c>
      <c r="AF372" s="26">
        <v>0.55820213339164804</v>
      </c>
      <c r="AG372" s="26">
        <v>1.1084913239009</v>
      </c>
      <c r="AH372" s="26">
        <v>1.66014649734521</v>
      </c>
      <c r="AI372" s="26">
        <v>2.2122341160350798</v>
      </c>
      <c r="AJ372" s="26">
        <v>0</v>
      </c>
      <c r="AK372" s="26">
        <v>0</v>
      </c>
      <c r="AL372" s="27">
        <f t="shared" si="10"/>
        <v>6.9116239443829661</v>
      </c>
      <c r="AM372" s="26">
        <f t="shared" si="11"/>
        <v>6911.6239443829663</v>
      </c>
    </row>
    <row r="373" spans="1:39" x14ac:dyDescent="0.25">
      <c r="A373" s="25" t="s">
        <v>116</v>
      </c>
      <c r="B373" s="26">
        <v>0</v>
      </c>
      <c r="C373" s="26">
        <v>0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3.6820728887694098E-3</v>
      </c>
      <c r="Z373" s="26">
        <v>7.5130958963159303E-3</v>
      </c>
      <c r="AA373" s="26">
        <v>1.1056496006066299E-2</v>
      </c>
      <c r="AB373" s="26">
        <v>1.4831339084767E-2</v>
      </c>
      <c r="AC373" s="26">
        <v>1.8575836535365899E-2</v>
      </c>
      <c r="AD373" s="26">
        <v>2.23051408987276E-2</v>
      </c>
      <c r="AE373" s="26">
        <v>5.9493584595705397E-2</v>
      </c>
      <c r="AF373" s="26">
        <v>0.239765829713252</v>
      </c>
      <c r="AG373" s="26">
        <v>0.74147780079949499</v>
      </c>
      <c r="AH373" s="26">
        <v>1.17285721626517</v>
      </c>
      <c r="AI373" s="26">
        <v>1.60445581396505</v>
      </c>
      <c r="AJ373" s="26">
        <v>1.6791708317208001</v>
      </c>
      <c r="AK373" s="26">
        <v>1.71961420732371</v>
      </c>
      <c r="AL373" s="27">
        <f t="shared" si="10"/>
        <v>3.8960142266486848</v>
      </c>
      <c r="AM373" s="26">
        <f t="shared" si="11"/>
        <v>3896.0142266486846</v>
      </c>
    </row>
    <row r="374" spans="1:39" x14ac:dyDescent="0.25">
      <c r="A374" s="25" t="s">
        <v>117</v>
      </c>
      <c r="B374" s="26">
        <v>0</v>
      </c>
      <c r="C374" s="26">
        <v>0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1.47282915550776E-3</v>
      </c>
      <c r="Z374" s="26">
        <v>3.00523835852637E-3</v>
      </c>
      <c r="AA374" s="26">
        <v>6.5406455086863997E-3</v>
      </c>
      <c r="AB374" s="26">
        <v>4.4104628997689098E-2</v>
      </c>
      <c r="AC374" s="26">
        <v>0.341638811564209</v>
      </c>
      <c r="AD374" s="26">
        <v>0.41617192178007201</v>
      </c>
      <c r="AE374" s="26">
        <v>0.49120763149678798</v>
      </c>
      <c r="AF374" s="26">
        <v>0.85241211222381497</v>
      </c>
      <c r="AG374" s="26">
        <v>1.2119855660435801</v>
      </c>
      <c r="AH374" s="26">
        <v>1.57252179883082</v>
      </c>
      <c r="AI374" s="26">
        <v>1.7900695564462701</v>
      </c>
      <c r="AJ374" s="26">
        <v>1.93698381872238</v>
      </c>
      <c r="AK374" s="26">
        <v>2.1502279682365701</v>
      </c>
      <c r="AL374" s="27">
        <f t="shared" si="10"/>
        <v>6.7311307404059644</v>
      </c>
      <c r="AM374" s="26">
        <f t="shared" si="11"/>
        <v>6731.1307404059644</v>
      </c>
    </row>
    <row r="375" spans="1:39" x14ac:dyDescent="0.25">
      <c r="A375" s="25" t="s">
        <v>118</v>
      </c>
      <c r="B375" s="26">
        <v>0</v>
      </c>
      <c r="C375" s="26">
        <v>0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  <c r="I375" s="26">
        <v>0</v>
      </c>
      <c r="J375" s="26">
        <v>0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0.12106200380135899</v>
      </c>
      <c r="X375" s="26">
        <v>0.73071641473596705</v>
      </c>
      <c r="Y375" s="26">
        <v>1.46847563538685</v>
      </c>
      <c r="Z375" s="26">
        <v>0</v>
      </c>
      <c r="AA375" s="26">
        <v>0</v>
      </c>
      <c r="AB375" s="26">
        <v>0</v>
      </c>
      <c r="AC375" s="26">
        <v>0</v>
      </c>
      <c r="AD375" s="26">
        <v>0</v>
      </c>
      <c r="AE375" s="26">
        <v>0</v>
      </c>
      <c r="AF375" s="26">
        <v>0</v>
      </c>
      <c r="AG375" s="26">
        <v>0</v>
      </c>
      <c r="AH375" s="26">
        <v>0</v>
      </c>
      <c r="AI375" s="26">
        <v>0</v>
      </c>
      <c r="AJ375" s="26">
        <v>0</v>
      </c>
      <c r="AK375" s="26">
        <v>0</v>
      </c>
      <c r="AL375" s="27">
        <f t="shared" si="10"/>
        <v>2.3202540539241761</v>
      </c>
      <c r="AM375" s="26">
        <f t="shared" si="11"/>
        <v>2320.2540539241759</v>
      </c>
    </row>
    <row r="376" spans="1:39" x14ac:dyDescent="0.25">
      <c r="A376" s="25" t="s">
        <v>119</v>
      </c>
      <c r="B376" s="26">
        <v>0</v>
      </c>
      <c r="C376" s="26">
        <v>0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0</v>
      </c>
      <c r="Y376" s="26">
        <v>0</v>
      </c>
      <c r="Z376" s="26">
        <v>0</v>
      </c>
      <c r="AA376" s="26">
        <v>0</v>
      </c>
      <c r="AB376" s="26">
        <v>0</v>
      </c>
      <c r="AC376" s="26">
        <v>0</v>
      </c>
      <c r="AD376" s="26">
        <v>0</v>
      </c>
      <c r="AE376" s="26">
        <v>0</v>
      </c>
      <c r="AF376" s="26">
        <v>0</v>
      </c>
      <c r="AG376" s="26">
        <v>0</v>
      </c>
      <c r="AH376" s="26">
        <v>0</v>
      </c>
      <c r="AI376" s="26">
        <v>0</v>
      </c>
      <c r="AJ376" s="26">
        <v>0</v>
      </c>
      <c r="AK376" s="26">
        <v>0</v>
      </c>
      <c r="AL376" s="27">
        <f t="shared" si="10"/>
        <v>0</v>
      </c>
      <c r="AM376" s="26">
        <f t="shared" si="11"/>
        <v>0</v>
      </c>
    </row>
    <row r="377" spans="1:39" x14ac:dyDescent="0.25">
      <c r="A377" s="25" t="s">
        <v>120</v>
      </c>
      <c r="B377" s="26">
        <v>0</v>
      </c>
      <c r="C377" s="26">
        <v>0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>
        <v>0</v>
      </c>
      <c r="T377" s="26">
        <v>0</v>
      </c>
      <c r="U377" s="26">
        <v>0</v>
      </c>
      <c r="V377" s="26">
        <v>0</v>
      </c>
      <c r="W377" s="26">
        <v>0</v>
      </c>
      <c r="X377" s="26">
        <v>0</v>
      </c>
      <c r="Y377" s="26">
        <v>0</v>
      </c>
      <c r="Z377" s="26">
        <v>0</v>
      </c>
      <c r="AA377" s="26">
        <v>2.5851586540136699E-2</v>
      </c>
      <c r="AB377" s="26">
        <v>5.3622343048971302E-2</v>
      </c>
      <c r="AC377" s="26">
        <v>8.1134176988077206E-2</v>
      </c>
      <c r="AD377" s="26">
        <v>0.10851314606626</v>
      </c>
      <c r="AE377" s="26">
        <v>4.42724707209935</v>
      </c>
      <c r="AF377" s="26">
        <v>8.6072972442694198</v>
      </c>
      <c r="AG377" s="26">
        <v>12.764960889314199</v>
      </c>
      <c r="AH377" s="26">
        <v>16.934262834721999</v>
      </c>
      <c r="AI377" s="26">
        <v>21.104991804714601</v>
      </c>
      <c r="AJ377" s="26">
        <v>25.301719969191399</v>
      </c>
      <c r="AK377" s="26">
        <v>29.706724804419601</v>
      </c>
      <c r="AL377" s="27">
        <f t="shared" si="10"/>
        <v>64.107881097763013</v>
      </c>
      <c r="AM377" s="26">
        <f t="shared" si="11"/>
        <v>64107.881097763013</v>
      </c>
    </row>
    <row r="378" spans="1:39" x14ac:dyDescent="0.25">
      <c r="AL378" s="27">
        <f t="shared" si="10"/>
        <v>0</v>
      </c>
      <c r="AM378" s="26">
        <f t="shared" si="11"/>
        <v>0</v>
      </c>
    </row>
    <row r="379" spans="1:39" x14ac:dyDescent="0.25">
      <c r="AL379" s="27">
        <f t="shared" si="10"/>
        <v>0</v>
      </c>
      <c r="AM379" s="26">
        <f t="shared" si="11"/>
        <v>0</v>
      </c>
    </row>
    <row r="380" spans="1:39" x14ac:dyDescent="0.25">
      <c r="AL380" s="27">
        <f t="shared" si="10"/>
        <v>0</v>
      </c>
      <c r="AM380" s="26">
        <f t="shared" si="11"/>
        <v>0</v>
      </c>
    </row>
  </sheetData>
  <pageMargins left="0.75" right="0.75" top="1" bottom="1" header="0.5" footer="0.5"/>
  <pageSetup orientation="portrait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DF48-7BD3-45B9-A1C7-5A7D3886BFF8}">
  <dimension ref="A1:G113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4" sqref="A34"/>
    </sheetView>
  </sheetViews>
  <sheetFormatPr defaultColWidth="9.1796875" defaultRowHeight="14.5" x14ac:dyDescent="0.35"/>
  <cols>
    <col min="1" max="1" width="41.7265625" style="61" bestFit="1" customWidth="1"/>
    <col min="2" max="2" width="11.81640625" style="61" customWidth="1"/>
    <col min="3" max="3" width="8" style="61" customWidth="1"/>
    <col min="4" max="4" width="56.7265625" style="61" bestFit="1" customWidth="1"/>
    <col min="5" max="5" width="18.453125" style="61" customWidth="1"/>
    <col min="6" max="6" width="17" style="61" customWidth="1"/>
    <col min="7" max="7" width="11" style="61" customWidth="1"/>
    <col min="8" max="16384" width="9.1796875" style="61"/>
  </cols>
  <sheetData>
    <row r="1" spans="1:7" x14ac:dyDescent="0.35">
      <c r="A1" s="85" t="s">
        <v>343</v>
      </c>
      <c r="B1" s="85"/>
      <c r="C1" s="85"/>
      <c r="G1" s="85"/>
    </row>
    <row r="2" spans="1:7" x14ac:dyDescent="0.35">
      <c r="A2" s="85" t="s">
        <v>350</v>
      </c>
      <c r="B2" s="85"/>
      <c r="C2" s="85"/>
      <c r="G2" s="242"/>
    </row>
    <row r="3" spans="1:7" x14ac:dyDescent="0.35">
      <c r="A3" s="85" t="s">
        <v>344</v>
      </c>
      <c r="B3" s="85"/>
      <c r="C3" s="85"/>
    </row>
    <row r="6" spans="1:7" ht="29" x14ac:dyDescent="0.35">
      <c r="A6" s="262" t="s">
        <v>176</v>
      </c>
      <c r="B6" s="262" t="s">
        <v>366</v>
      </c>
      <c r="C6" s="262" t="s">
        <v>365</v>
      </c>
      <c r="D6" s="262" t="s">
        <v>364</v>
      </c>
      <c r="E6" s="261" t="s">
        <v>351</v>
      </c>
      <c r="F6" s="261" t="s">
        <v>363</v>
      </c>
      <c r="G6" s="356" t="s">
        <v>342</v>
      </c>
    </row>
    <row r="7" spans="1:7" x14ac:dyDescent="0.35">
      <c r="A7" s="254" t="s">
        <v>355</v>
      </c>
      <c r="B7" s="254">
        <f>Projects!S7</f>
        <v>354</v>
      </c>
      <c r="C7" s="2">
        <v>1</v>
      </c>
      <c r="D7" s="61" t="str">
        <f>Projects!C7</f>
        <v>Mist Fiber Network</v>
      </c>
      <c r="E7" s="260">
        <f>SUM(Projects!V7:W7)</f>
        <v>155105.00801448038</v>
      </c>
      <c r="F7" s="260">
        <f>Projects!Y7</f>
        <v>2813.0273582587993</v>
      </c>
      <c r="G7" s="2" t="s">
        <v>345</v>
      </c>
    </row>
    <row r="8" spans="1:7" x14ac:dyDescent="0.35">
      <c r="A8" s="258" t="s">
        <v>360</v>
      </c>
      <c r="B8" s="254">
        <f>Projects!S8</f>
        <v>367</v>
      </c>
      <c r="C8" s="2">
        <v>1</v>
      </c>
      <c r="D8" s="61" t="str">
        <f>Projects!C8</f>
        <v>SE 1st Grading Project (Phase 1)</v>
      </c>
      <c r="E8" s="260">
        <f>SUM(Projects!V8:W8)</f>
        <v>477946.81614990003</v>
      </c>
      <c r="F8" s="260">
        <f>Projects!Y8</f>
        <v>9135.6821143999987</v>
      </c>
      <c r="G8" s="2" t="s">
        <v>345</v>
      </c>
    </row>
    <row r="9" spans="1:7" x14ac:dyDescent="0.35">
      <c r="A9" s="258" t="s">
        <v>359</v>
      </c>
      <c r="B9" s="254">
        <f>Projects!S9</f>
        <v>376.11</v>
      </c>
      <c r="C9" s="2">
        <v>1</v>
      </c>
      <c r="E9" s="260">
        <f>SUM(Projects!V9:W9)</f>
        <v>997795.07004019502</v>
      </c>
      <c r="F9" s="260">
        <f>Projects!Y9</f>
        <v>25920.068296919999</v>
      </c>
      <c r="G9" s="2" t="s">
        <v>345</v>
      </c>
    </row>
    <row r="10" spans="1:7" x14ac:dyDescent="0.35">
      <c r="A10" s="258" t="s">
        <v>359</v>
      </c>
      <c r="B10" s="254">
        <f>Projects!S10</f>
        <v>376.12</v>
      </c>
      <c r="C10" s="2">
        <v>1</v>
      </c>
      <c r="E10" s="260">
        <f>SUM(Projects!V10:W10)</f>
        <v>904544.29564934003</v>
      </c>
      <c r="F10" s="260">
        <f>Projects!Y10</f>
        <v>21420.258915039998</v>
      </c>
      <c r="G10" s="2" t="s">
        <v>345</v>
      </c>
    </row>
    <row r="11" spans="1:7" x14ac:dyDescent="0.35">
      <c r="A11" s="61" t="s">
        <v>355</v>
      </c>
      <c r="B11" s="254">
        <f>Projects!S11</f>
        <v>351.1</v>
      </c>
      <c r="C11" s="2">
        <v>1</v>
      </c>
      <c r="D11" s="61" t="str">
        <f>Projects!C11</f>
        <v>Mist Large Dehydration System</v>
      </c>
      <c r="E11" s="260">
        <f>SUM(Projects!V11:W11)</f>
        <v>268328.50703578821</v>
      </c>
      <c r="F11" s="260">
        <f>Projects!Y11</f>
        <v>4088.8153453072491</v>
      </c>
      <c r="G11" s="2" t="s">
        <v>345</v>
      </c>
    </row>
    <row r="12" spans="1:7" x14ac:dyDescent="0.35">
      <c r="A12" s="61" t="s">
        <v>355</v>
      </c>
      <c r="B12" s="254">
        <f>Projects!S12</f>
        <v>352</v>
      </c>
      <c r="C12" s="2">
        <v>1</v>
      </c>
      <c r="E12" s="260">
        <f>SUM(Projects!V12:W12)</f>
        <v>685728.40686923661</v>
      </c>
      <c r="F12" s="260">
        <f>Projects!Y12</f>
        <v>10449.194771340748</v>
      </c>
      <c r="G12" s="2" t="s">
        <v>345</v>
      </c>
    </row>
    <row r="13" spans="1:7" x14ac:dyDescent="0.35">
      <c r="A13" s="258" t="s">
        <v>355</v>
      </c>
      <c r="B13" s="254">
        <f>Projects!S13</f>
        <v>354</v>
      </c>
      <c r="C13" s="2">
        <v>1</v>
      </c>
      <c r="E13" s="260">
        <f>SUM(Projects!V13:W13)</f>
        <v>683696.61899703147</v>
      </c>
      <c r="F13" s="260">
        <f>Projects!Y13</f>
        <v>12399.711128657689</v>
      </c>
      <c r="G13" s="2" t="s">
        <v>345</v>
      </c>
    </row>
    <row r="14" spans="1:7" x14ac:dyDescent="0.35">
      <c r="A14" s="61" t="s">
        <v>355</v>
      </c>
      <c r="B14" s="254">
        <f>Projects!S14</f>
        <v>355</v>
      </c>
      <c r="C14" s="2">
        <v>1</v>
      </c>
      <c r="E14" s="260">
        <f>SUM(Projects!V14:W14)</f>
        <v>1330710.6330404459</v>
      </c>
      <c r="F14" s="260">
        <f>Projects!Y14</f>
        <v>30938.702779491519</v>
      </c>
      <c r="G14" s="2" t="s">
        <v>345</v>
      </c>
    </row>
    <row r="15" spans="1:7" x14ac:dyDescent="0.35">
      <c r="A15" s="61" t="s">
        <v>355</v>
      </c>
      <c r="B15" s="254">
        <f>Projects!S15</f>
        <v>351.1</v>
      </c>
      <c r="C15" s="2">
        <v>1</v>
      </c>
      <c r="D15" s="61" t="str">
        <f>Projects!C15</f>
        <v>Mist Instrument and Controls Project (Phase 2)</v>
      </c>
      <c r="E15" s="260">
        <f>SUM(Projects!V15:W15)</f>
        <v>9856.5104037389028</v>
      </c>
      <c r="F15" s="260">
        <f>Projects!Y15</f>
        <v>150.19444424744995</v>
      </c>
      <c r="G15" s="2" t="s">
        <v>345</v>
      </c>
    </row>
    <row r="16" spans="1:7" x14ac:dyDescent="0.35">
      <c r="A16" s="61" t="s">
        <v>355</v>
      </c>
      <c r="B16" s="254">
        <f>Projects!S16</f>
        <v>352</v>
      </c>
      <c r="C16" s="2">
        <v>1</v>
      </c>
      <c r="E16" s="260">
        <f>SUM(Projects!V16:W16)</f>
        <v>25188.859920666087</v>
      </c>
      <c r="F16" s="260">
        <f>Projects!Y16</f>
        <v>383.83024641014987</v>
      </c>
      <c r="G16" s="2" t="s">
        <v>345</v>
      </c>
    </row>
    <row r="17" spans="1:7" x14ac:dyDescent="0.35">
      <c r="A17" s="61" t="s">
        <v>355</v>
      </c>
      <c r="B17" s="254">
        <f>Projects!S17</f>
        <v>354</v>
      </c>
      <c r="C17" s="2">
        <v>1</v>
      </c>
      <c r="E17" s="260">
        <f>SUM(Projects!V17:W17)</f>
        <v>25114.226261641892</v>
      </c>
      <c r="F17" s="260">
        <f>Projects!Y17</f>
        <v>455.47855907337788</v>
      </c>
      <c r="G17" s="2" t="s">
        <v>345</v>
      </c>
    </row>
    <row r="18" spans="1:7" x14ac:dyDescent="0.35">
      <c r="A18" s="61" t="s">
        <v>355</v>
      </c>
      <c r="B18" s="254">
        <f>Projects!S18</f>
        <v>355</v>
      </c>
      <c r="C18" s="2">
        <v>1</v>
      </c>
      <c r="E18" s="260">
        <f>SUM(Projects!V18:W18)</f>
        <v>48880.990483727372</v>
      </c>
      <c r="F18" s="260">
        <f>Projects!Y18</f>
        <v>1136.4712948057047</v>
      </c>
      <c r="G18" s="2" t="s">
        <v>345</v>
      </c>
    </row>
    <row r="19" spans="1:7" x14ac:dyDescent="0.35">
      <c r="A19" s="61" t="s">
        <v>355</v>
      </c>
      <c r="B19" s="254">
        <f>Projects!S19</f>
        <v>351.1</v>
      </c>
      <c r="C19" s="2">
        <v>1</v>
      </c>
      <c r="D19" s="61" t="str">
        <f>Projects!C19</f>
        <v>Mist 300 and 400 Compressor Controls Upgrade</v>
      </c>
      <c r="E19" s="260">
        <f>SUM(Projects!V19:W19)</f>
        <v>23321.048346264368</v>
      </c>
      <c r="F19" s="260">
        <f>Projects!Y19</f>
        <v>352.6812604349999</v>
      </c>
      <c r="G19" s="2" t="s">
        <v>345</v>
      </c>
    </row>
    <row r="20" spans="1:7" x14ac:dyDescent="0.35">
      <c r="A20" s="61" t="s">
        <v>355</v>
      </c>
      <c r="B20" s="254">
        <f>Projects!S20</f>
        <v>352</v>
      </c>
      <c r="C20" s="2">
        <v>1</v>
      </c>
      <c r="E20" s="260">
        <f>SUM(Projects!V20:W20)</f>
        <v>59598.234662675619</v>
      </c>
      <c r="F20" s="260">
        <f>Projects!Y20</f>
        <v>901.29655444499986</v>
      </c>
      <c r="G20" s="2" t="s">
        <v>345</v>
      </c>
    </row>
    <row r="21" spans="1:7" x14ac:dyDescent="0.35">
      <c r="A21" s="61" t="s">
        <v>355</v>
      </c>
      <c r="B21" s="254">
        <f>Projects!S21</f>
        <v>354</v>
      </c>
      <c r="C21" s="2">
        <v>1</v>
      </c>
      <c r="E21" s="260">
        <f>SUM(Projects!V21:W21)</f>
        <v>59507.103566615071</v>
      </c>
      <c r="F21" s="260">
        <f>Projects!Y21</f>
        <v>1069.5385779413998</v>
      </c>
      <c r="G21" s="2" t="s">
        <v>345</v>
      </c>
    </row>
    <row r="22" spans="1:7" x14ac:dyDescent="0.35">
      <c r="A22" s="61" t="s">
        <v>355</v>
      </c>
      <c r="B22" s="254">
        <f>Projects!S22</f>
        <v>355</v>
      </c>
      <c r="C22" s="2">
        <v>1</v>
      </c>
      <c r="E22" s="260">
        <f>SUM(Projects!V22:W22)</f>
        <v>116114.91681230042</v>
      </c>
      <c r="F22" s="260">
        <f>Projects!Y22</f>
        <v>2668.6215372914999</v>
      </c>
      <c r="G22" s="2" t="s">
        <v>345</v>
      </c>
    </row>
    <row r="23" spans="1:7" x14ac:dyDescent="0.35">
      <c r="A23" s="61" t="s">
        <v>355</v>
      </c>
      <c r="B23" s="254">
        <f>Projects!S23</f>
        <v>352</v>
      </c>
      <c r="C23" s="2">
        <v>1</v>
      </c>
      <c r="D23" s="61" t="str">
        <f>Projects!C23</f>
        <v>Mist Well Rework Program (2020)</v>
      </c>
      <c r="E23" s="260">
        <f>SUM(Projects!V23:W23)</f>
        <v>433874.96588953113</v>
      </c>
      <c r="F23" s="260">
        <f>Projects!Y23</f>
        <v>6611.4280516499985</v>
      </c>
      <c r="G23" s="2" t="s">
        <v>345</v>
      </c>
    </row>
    <row r="24" spans="1:7" x14ac:dyDescent="0.35">
      <c r="A24" s="61" t="s">
        <v>355</v>
      </c>
      <c r="B24" s="254">
        <f>Projects!S24</f>
        <v>353</v>
      </c>
      <c r="C24" s="2">
        <v>1</v>
      </c>
      <c r="D24" s="61" t="str">
        <f>Projects!C24</f>
        <v>Mist Corrosion Abatement (Phase 3)</v>
      </c>
      <c r="E24" s="260">
        <f>SUM(Projects!V24:W24)</f>
        <v>122425.33611447559</v>
      </c>
      <c r="F24" s="260">
        <f>Projects!Y24</f>
        <v>2577.2657515433993</v>
      </c>
      <c r="G24" s="2" t="s">
        <v>345</v>
      </c>
    </row>
    <row r="25" spans="1:7" x14ac:dyDescent="0.35">
      <c r="A25" s="61" t="s">
        <v>355</v>
      </c>
      <c r="B25" s="254">
        <f>Projects!S25</f>
        <v>355</v>
      </c>
      <c r="C25" s="2">
        <v>1</v>
      </c>
      <c r="D25" s="61" t="str">
        <f>Projects!C25</f>
        <v>Mist Valve Control Upgrade</v>
      </c>
      <c r="E25" s="260">
        <f>SUM(Projects!V25:W25)</f>
        <v>192437.83592784693</v>
      </c>
      <c r="F25" s="260">
        <f>Projects!Y25</f>
        <v>4474.1334903868992</v>
      </c>
      <c r="G25" s="2" t="s">
        <v>345</v>
      </c>
    </row>
    <row r="26" spans="1:7" x14ac:dyDescent="0.35">
      <c r="A26" s="61" t="s">
        <v>355</v>
      </c>
      <c r="B26" s="254">
        <f>Projects!S26</f>
        <v>363.22</v>
      </c>
      <c r="C26" s="2">
        <v>1</v>
      </c>
      <c r="D26" s="61" t="str">
        <f>Projects!C26</f>
        <v>Newport Liquified Natural Gas ("LNG") H-2 Vaporizer Controls</v>
      </c>
      <c r="E26" s="260">
        <f>SUM(Projects!V26:W26)</f>
        <v>297963.58127347683</v>
      </c>
      <c r="F26" s="260">
        <f>Projects!Y26</f>
        <v>9513.2834731421972</v>
      </c>
      <c r="G26" s="2" t="s">
        <v>345</v>
      </c>
    </row>
    <row r="27" spans="1:7" x14ac:dyDescent="0.35">
      <c r="A27" s="250" t="s">
        <v>361</v>
      </c>
      <c r="B27" s="254">
        <f>Projects!S27</f>
        <v>303.10000000000002</v>
      </c>
      <c r="C27" s="2">
        <v>1</v>
      </c>
      <c r="D27" s="61" t="str">
        <f>Projects!C27</f>
        <v>Digital Portal (On Prem)</v>
      </c>
      <c r="E27" s="260">
        <f>SUM(Projects!V27:W27)</f>
        <v>75774.221930619271</v>
      </c>
      <c r="F27" s="260">
        <f>Projects!Y27</f>
        <v>5527.9001984085935</v>
      </c>
      <c r="G27" s="2" t="s">
        <v>346</v>
      </c>
    </row>
    <row r="28" spans="1:7" x14ac:dyDescent="0.35">
      <c r="A28" s="61" t="s">
        <v>358</v>
      </c>
      <c r="B28" s="254">
        <f>Projects!S28</f>
        <v>391.2</v>
      </c>
      <c r="C28" s="2">
        <v>1</v>
      </c>
      <c r="E28" s="260">
        <f>SUM(Projects!V28:W28)</f>
        <v>1011228.8752005232</v>
      </c>
      <c r="F28" s="260">
        <f>Projects!Y28</f>
        <v>255468.34741907954</v>
      </c>
      <c r="G28" s="2" t="s">
        <v>346</v>
      </c>
    </row>
    <row r="29" spans="1:7" x14ac:dyDescent="0.35">
      <c r="A29" s="250" t="s">
        <v>361</v>
      </c>
      <c r="B29" s="254">
        <f>Projects!S29</f>
        <v>303.7</v>
      </c>
      <c r="C29" s="2">
        <v>1</v>
      </c>
      <c r="D29" s="61" t="str">
        <f>Projects!C29</f>
        <v>Digital Portal (Cloud)</v>
      </c>
      <c r="E29" s="260">
        <f>SUM(Projects!V29:W29)</f>
        <v>36950.234867806663</v>
      </c>
      <c r="F29" s="260">
        <f>Projects!Y29</f>
        <v>18868.205038879994</v>
      </c>
      <c r="G29" s="2" t="s">
        <v>346</v>
      </c>
    </row>
    <row r="30" spans="1:7" x14ac:dyDescent="0.35">
      <c r="A30" s="250" t="s">
        <v>361</v>
      </c>
      <c r="B30" s="254">
        <f>Projects!S30</f>
        <v>303.10000000000002</v>
      </c>
      <c r="C30" s="2">
        <v>1</v>
      </c>
      <c r="D30" s="61" t="str">
        <f>Projects!C30</f>
        <v>Composition Hardware &amp; Software</v>
      </c>
      <c r="E30" s="260">
        <f>SUM(Projects!V30:W30)</f>
        <v>535395.25132832106</v>
      </c>
      <c r="F30" s="260">
        <f>Projects!Y30</f>
        <v>39058.289753931582</v>
      </c>
      <c r="G30" s="2" t="s">
        <v>346</v>
      </c>
    </row>
    <row r="31" spans="1:7" x14ac:dyDescent="0.35">
      <c r="A31" s="250" t="s">
        <v>361</v>
      </c>
      <c r="B31" s="254">
        <f>Projects!S31</f>
        <v>303.7</v>
      </c>
      <c r="C31" s="2">
        <v>1</v>
      </c>
      <c r="D31" s="61" t="str">
        <f>Projects!C31</f>
        <v>SAP LMS (Cloud)</v>
      </c>
      <c r="E31" s="260">
        <f>SUM(Projects!V31:W31)</f>
        <v>158577.03214233325</v>
      </c>
      <c r="F31" s="260">
        <f>Projects!Y31</f>
        <v>48175.300903999974</v>
      </c>
      <c r="G31" s="2" t="s">
        <v>346</v>
      </c>
    </row>
    <row r="32" spans="1:7" x14ac:dyDescent="0.35">
      <c r="A32" s="250" t="s">
        <v>361</v>
      </c>
      <c r="B32" s="254">
        <f>Projects!S32</f>
        <v>303.7</v>
      </c>
      <c r="C32" s="2">
        <v>1</v>
      </c>
      <c r="D32" s="61" t="str">
        <f>Projects!C32</f>
        <v>Cloud Based SAP SF ED &amp; Onboarding</v>
      </c>
      <c r="E32" s="260">
        <f>SUM(Projects!V32:W32)</f>
        <v>183701.01527084995</v>
      </c>
      <c r="F32" s="260">
        <f>Projects!Y32</f>
        <v>19085.819768399997</v>
      </c>
      <c r="G32" s="2" t="s">
        <v>346</v>
      </c>
    </row>
    <row r="33" spans="1:7" x14ac:dyDescent="0.35">
      <c r="A33" s="61" t="s">
        <v>358</v>
      </c>
      <c r="B33" s="254">
        <f>Projects!S33</f>
        <v>397.2</v>
      </c>
      <c r="C33" s="2">
        <v>1</v>
      </c>
      <c r="D33" s="61" t="str">
        <f>Projects!C33</f>
        <v>Contact Center IVR Implementation</v>
      </c>
      <c r="E33" s="260">
        <f>SUM(Projects!V33:W33)</f>
        <v>332507.39778569149</v>
      </c>
      <c r="F33" s="260">
        <f>Projects!Y33</f>
        <v>23834.225562535987</v>
      </c>
      <c r="G33" s="2" t="s">
        <v>346</v>
      </c>
    </row>
    <row r="34" spans="1:7" x14ac:dyDescent="0.35">
      <c r="A34" s="250" t="s">
        <v>361</v>
      </c>
      <c r="B34" s="254">
        <f>Projects!S34</f>
        <v>303.10000000000002</v>
      </c>
      <c r="C34" s="2">
        <v>1</v>
      </c>
      <c r="D34" s="61" t="str">
        <f>Projects!C34</f>
        <v>Skype for Business Phase 2</v>
      </c>
      <c r="E34" s="260">
        <f>SUM(Projects!V34:W34)</f>
        <v>181351.4869763231</v>
      </c>
      <c r="F34" s="260">
        <f>Projects!Y34</f>
        <v>13229.999534089797</v>
      </c>
      <c r="G34" s="2" t="s">
        <v>346</v>
      </c>
    </row>
    <row r="35" spans="1:7" x14ac:dyDescent="0.35">
      <c r="A35" s="61" t="s">
        <v>359</v>
      </c>
      <c r="B35" s="254">
        <f>Projects!S35</f>
        <v>375</v>
      </c>
      <c r="C35" s="2">
        <v>1</v>
      </c>
      <c r="D35" s="61" t="str">
        <f>Projects!C35</f>
        <v>Lacamas Regional Gate Station</v>
      </c>
      <c r="E35" s="260">
        <f>SUM(Projects!V35:W35)</f>
        <v>476403.72284784372</v>
      </c>
      <c r="F35" s="260">
        <f>Projects!Y35</f>
        <v>7213.6841314499998</v>
      </c>
      <c r="G35" s="2" t="s">
        <v>346</v>
      </c>
    </row>
    <row r="36" spans="1:7" x14ac:dyDescent="0.35">
      <c r="A36" s="258" t="s">
        <v>359</v>
      </c>
      <c r="B36" s="254">
        <f>Projects!S36</f>
        <v>376.12</v>
      </c>
      <c r="C36" s="2">
        <v>1</v>
      </c>
      <c r="E36" s="260">
        <f>SUM(Projects!V36:W36)</f>
        <v>31892.611955804998</v>
      </c>
      <c r="F36" s="260">
        <f>Projects!Y36</f>
        <v>750.79512671199996</v>
      </c>
      <c r="G36" s="2" t="s">
        <v>346</v>
      </c>
    </row>
    <row r="37" spans="1:7" x14ac:dyDescent="0.35">
      <c r="A37" s="61" t="s">
        <v>359</v>
      </c>
      <c r="B37" s="254">
        <f>Projects!S37</f>
        <v>378</v>
      </c>
      <c r="C37" s="2">
        <v>1</v>
      </c>
      <c r="E37" s="260">
        <f>SUM(Projects!V37:W37)</f>
        <v>209341.90372611748</v>
      </c>
      <c r="F37" s="260">
        <f>Projects!Y37</f>
        <v>4626.6921822119994</v>
      </c>
      <c r="G37" s="2" t="s">
        <v>346</v>
      </c>
    </row>
    <row r="38" spans="1:7" x14ac:dyDescent="0.35">
      <c r="A38" s="61" t="s">
        <v>358</v>
      </c>
      <c r="B38" s="254">
        <f>Projects!S38</f>
        <v>397.3</v>
      </c>
      <c r="C38" s="2">
        <v>1</v>
      </c>
      <c r="E38" s="260">
        <f>SUM(Projects!V38:W38)</f>
        <v>26582.256689084996</v>
      </c>
      <c r="F38" s="260">
        <f>Projects!Y38</f>
        <v>818.22820946399997</v>
      </c>
      <c r="G38" s="2" t="s">
        <v>346</v>
      </c>
    </row>
    <row r="39" spans="1:7" x14ac:dyDescent="0.35">
      <c r="A39" s="61" t="s">
        <v>356</v>
      </c>
      <c r="B39" s="254">
        <f>Projects!S39</f>
        <v>390</v>
      </c>
      <c r="C39" s="2">
        <v>1</v>
      </c>
      <c r="D39" s="61" t="str">
        <f>Projects!C39</f>
        <v>Vancouver Retrofit Phase 1</v>
      </c>
      <c r="E39" s="260">
        <f>SUM(Projects!V39:W39)</f>
        <v>10947747.488044789</v>
      </c>
      <c r="F39" s="260">
        <f>Projects!Y39</f>
        <v>254532.50107699996</v>
      </c>
      <c r="G39" s="2" t="s">
        <v>349</v>
      </c>
    </row>
    <row r="40" spans="1:7" x14ac:dyDescent="0.35">
      <c r="A40" s="250" t="s">
        <v>361</v>
      </c>
      <c r="B40" s="254">
        <f>Projects!S40</f>
        <v>303.10000000000002</v>
      </c>
      <c r="C40" s="2">
        <v>1</v>
      </c>
      <c r="D40" s="61" t="str">
        <f>Projects!C40</f>
        <v>Security Alerting and Monitoring (On Prem)</v>
      </c>
      <c r="E40" s="260">
        <f>SUM(Projects!V40:W40)</f>
        <v>104786.0653769372</v>
      </c>
      <c r="F40" s="260">
        <f>Projects!Y40</f>
        <v>7552.5502777859965</v>
      </c>
      <c r="G40" s="2" t="s">
        <v>346</v>
      </c>
    </row>
    <row r="41" spans="1:7" x14ac:dyDescent="0.35">
      <c r="A41" s="61" t="s">
        <v>358</v>
      </c>
      <c r="B41" s="254">
        <f>Projects!S41</f>
        <v>391.2</v>
      </c>
      <c r="C41" s="2">
        <v>1</v>
      </c>
      <c r="D41" s="61" t="str">
        <f>Projects!C41</f>
        <v>Security Alerting and Monitoring (Hardware)</v>
      </c>
      <c r="E41" s="260">
        <f>SUM(Projects!V41:W41)</f>
        <v>91900.501167749957</v>
      </c>
      <c r="F41" s="260">
        <f>Projects!Y41</f>
        <v>22278.909373999992</v>
      </c>
      <c r="G41" s="2" t="s">
        <v>346</v>
      </c>
    </row>
    <row r="42" spans="1:7" x14ac:dyDescent="0.35">
      <c r="A42" s="250" t="s">
        <v>361</v>
      </c>
      <c r="B42" s="254">
        <f>Projects!S42</f>
        <v>303.7</v>
      </c>
      <c r="C42" s="2">
        <v>1</v>
      </c>
      <c r="D42" s="61" t="str">
        <f>Projects!C42</f>
        <v>Planview Implementation</v>
      </c>
      <c r="E42" s="260">
        <f>SUM(Projects!V42:W42)</f>
        <v>272513.74502374989</v>
      </c>
      <c r="F42" s="260">
        <f>Projects!Y42</f>
        <v>27596.328609999993</v>
      </c>
      <c r="G42" s="2" t="s">
        <v>346</v>
      </c>
    </row>
    <row r="43" spans="1:7" x14ac:dyDescent="0.35">
      <c r="A43" s="250" t="s">
        <v>361</v>
      </c>
      <c r="B43" s="254">
        <f>Projects!S43</f>
        <v>303.10000000000002</v>
      </c>
      <c r="C43" s="2">
        <v>1</v>
      </c>
      <c r="D43" s="61" t="str">
        <f>Projects!C43</f>
        <v>BI Strategy / Power BI Deployment</v>
      </c>
      <c r="E43" s="259">
        <f>SUM(Projects!V43:W43)</f>
        <v>140973.05905661729</v>
      </c>
      <c r="F43" s="259">
        <f>Projects!Y43</f>
        <v>9988.6116642517773</v>
      </c>
      <c r="G43" s="2" t="s">
        <v>346</v>
      </c>
    </row>
    <row r="44" spans="1:7" x14ac:dyDescent="0.35">
      <c r="B44" s="254"/>
      <c r="C44" s="2"/>
      <c r="E44" s="249">
        <f>SUM(E7:E43)</f>
        <v>21735765.834850539</v>
      </c>
      <c r="F44" s="249">
        <f>SUM(F7:F43)</f>
        <v>906066.07278298936</v>
      </c>
      <c r="G44" s="249"/>
    </row>
    <row r="45" spans="1:7" x14ac:dyDescent="0.35">
      <c r="B45" s="254"/>
      <c r="C45" s="2"/>
      <c r="E45" s="103"/>
      <c r="F45" s="103"/>
    </row>
    <row r="46" spans="1:7" x14ac:dyDescent="0.35">
      <c r="A46" s="61" t="s">
        <v>356</v>
      </c>
      <c r="B46" s="254">
        <f>Projects!S47</f>
        <v>390</v>
      </c>
      <c r="C46" s="2">
        <v>2</v>
      </c>
      <c r="D46" s="41" t="str">
        <f>Projects!C47</f>
        <v>Vancouver Retrofit Phase 2</v>
      </c>
      <c r="E46" s="90">
        <f>Projects!V47+Projects!W47</f>
        <v>4662326.0417499999</v>
      </c>
      <c r="F46" s="257">
        <f>Projects!Y47</f>
        <v>105934.99800000001</v>
      </c>
      <c r="G46" s="2" t="s">
        <v>349</v>
      </c>
    </row>
    <row r="47" spans="1:7" x14ac:dyDescent="0.35">
      <c r="A47" s="250" t="s">
        <v>361</v>
      </c>
      <c r="B47" s="254">
        <f>Projects!S48</f>
        <v>303.10000000000002</v>
      </c>
      <c r="C47" s="2">
        <v>2</v>
      </c>
      <c r="D47" s="41" t="str">
        <f>Projects!C48</f>
        <v>Horizon 1 - Pre-planning scope validation</v>
      </c>
      <c r="E47" s="90">
        <f>Projects!V48+Projects!W48</f>
        <v>197831.13315894906</v>
      </c>
      <c r="F47" s="257">
        <f>Projects!Y48</f>
        <v>15366.405073093794</v>
      </c>
      <c r="G47" s="2" t="s">
        <v>346</v>
      </c>
    </row>
    <row r="48" spans="1:7" x14ac:dyDescent="0.35">
      <c r="A48" s="250" t="s">
        <v>361</v>
      </c>
      <c r="B48" s="254">
        <f>Projects!S49</f>
        <v>303.10000000000002</v>
      </c>
      <c r="C48" s="2">
        <v>2</v>
      </c>
      <c r="D48" s="41" t="str">
        <f>Projects!C49</f>
        <v>Horizon 1 - Prerequisites (Software)</v>
      </c>
      <c r="E48" s="90">
        <f>Projects!V49+Projects!W49</f>
        <v>30938.886779687487</v>
      </c>
      <c r="F48" s="257">
        <f>Projects!Y49</f>
        <v>2257.0614914999992</v>
      </c>
      <c r="G48" s="2" t="s">
        <v>346</v>
      </c>
    </row>
    <row r="49" spans="1:7" x14ac:dyDescent="0.35">
      <c r="A49" s="250" t="s">
        <v>361</v>
      </c>
      <c r="B49" s="254">
        <f>Projects!S50</f>
        <v>303.7</v>
      </c>
      <c r="C49" s="2">
        <v>2</v>
      </c>
      <c r="D49" s="41" t="str">
        <f>Projects!C50</f>
        <v>Horizon 1 - Prerequisites (Cloud)</v>
      </c>
      <c r="E49" s="90">
        <f>Projects!V50+Projects!W50</f>
        <v>370666.54809374985</v>
      </c>
      <c r="F49" s="257">
        <f>Projects!Y50</f>
        <v>41376.73094999999</v>
      </c>
      <c r="G49" s="2" t="s">
        <v>346</v>
      </c>
    </row>
    <row r="50" spans="1:7" x14ac:dyDescent="0.35">
      <c r="A50" s="250" t="s">
        <v>361</v>
      </c>
      <c r="B50" s="254">
        <f>Projects!S51</f>
        <v>303.10000000000002</v>
      </c>
      <c r="C50" s="2">
        <v>2</v>
      </c>
      <c r="D50" s="41" t="str">
        <f>Projects!C51</f>
        <v>Horizon 1 - Prerequisites CWIP (Software)</v>
      </c>
      <c r="E50" s="90">
        <f>Projects!V51+Projects!W51</f>
        <v>83472.358858544962</v>
      </c>
      <c r="F50" s="257">
        <f>Projects!Y51</f>
        <v>5707.7995316399974</v>
      </c>
      <c r="G50" s="2" t="s">
        <v>346</v>
      </c>
    </row>
    <row r="51" spans="1:7" x14ac:dyDescent="0.35">
      <c r="A51" s="250" t="s">
        <v>361</v>
      </c>
      <c r="B51" s="254">
        <f>Projects!S52</f>
        <v>303.7</v>
      </c>
      <c r="C51" s="2">
        <v>2</v>
      </c>
      <c r="D51" s="41" t="str">
        <f>Projects!C52</f>
        <v>Horizon 1 - Prerequisites CWIP (Cloud)</v>
      </c>
      <c r="E51" s="90">
        <f>Projects!V52+Projects!W52</f>
        <v>57770.677303749973</v>
      </c>
      <c r="F51" s="257">
        <f>Projects!Y52</f>
        <v>5850.1951699999981</v>
      </c>
      <c r="G51" s="2" t="s">
        <v>346</v>
      </c>
    </row>
    <row r="52" spans="1:7" x14ac:dyDescent="0.35">
      <c r="A52" s="250" t="s">
        <v>361</v>
      </c>
      <c r="B52" s="254">
        <f>Projects!S53</f>
        <v>303.10000000000002</v>
      </c>
      <c r="C52" s="2">
        <v>2</v>
      </c>
      <c r="D52" s="41" t="str">
        <f>Projects!C53</f>
        <v xml:space="preserve">Horizon 1 - Implementation (On Prem) </v>
      </c>
      <c r="E52" s="90">
        <f>Projects!V53+Projects!W53</f>
        <v>4331316.5973902112</v>
      </c>
      <c r="F52" s="257">
        <f>Projects!Y53</f>
        <v>296173.33431134495</v>
      </c>
      <c r="G52" s="2" t="s">
        <v>346</v>
      </c>
    </row>
    <row r="53" spans="1:7" x14ac:dyDescent="0.35">
      <c r="A53" s="250" t="s">
        <v>361</v>
      </c>
      <c r="B53" s="254">
        <f>Projects!S54</f>
        <v>303.7</v>
      </c>
      <c r="C53" s="2">
        <v>2</v>
      </c>
      <c r="D53" s="41" t="str">
        <f>Projects!C54</f>
        <v xml:space="preserve">Horizon 1 - Implementation (Cloud) </v>
      </c>
      <c r="E53" s="90">
        <f>Projects!V54+Projects!W54</f>
        <v>3145751.7118570521</v>
      </c>
      <c r="F53" s="257">
        <f>Projects!Y54</f>
        <v>318557.13537792931</v>
      </c>
      <c r="G53" s="2" t="s">
        <v>346</v>
      </c>
    </row>
    <row r="54" spans="1:7" x14ac:dyDescent="0.35">
      <c r="A54" s="61" t="s">
        <v>358</v>
      </c>
      <c r="B54" s="254">
        <f>Projects!S55</f>
        <v>391.2</v>
      </c>
      <c r="C54" s="2">
        <v>2</v>
      </c>
      <c r="D54" s="41" t="str">
        <f>Projects!C55</f>
        <v xml:space="preserve">Horizon 1 - Implementation (Hardware) </v>
      </c>
      <c r="E54" s="90">
        <f>Projects!V55+Projects!W55</f>
        <v>63055.279405049274</v>
      </c>
      <c r="F54" s="257">
        <f>Projects!Y55</f>
        <v>12934.416288215238</v>
      </c>
      <c r="G54" s="2" t="s">
        <v>346</v>
      </c>
    </row>
    <row r="55" spans="1:7" x14ac:dyDescent="0.35">
      <c r="A55" s="250" t="s">
        <v>360</v>
      </c>
      <c r="B55" s="254">
        <f>Projects!S56</f>
        <v>367</v>
      </c>
      <c r="C55" s="2">
        <v>2</v>
      </c>
      <c r="D55" s="41" t="str">
        <f>Projects!C56</f>
        <v>SE 1st Grading Project (Phase 2)</v>
      </c>
      <c r="E55" s="90">
        <f>Projects!V56+Projects!W56</f>
        <v>443703.24916666665</v>
      </c>
      <c r="F55" s="257">
        <f>Projects!Y56</f>
        <v>8508.2407999999996</v>
      </c>
      <c r="G55" s="2" t="s">
        <v>345</v>
      </c>
    </row>
    <row r="56" spans="1:7" x14ac:dyDescent="0.35">
      <c r="A56" s="258" t="s">
        <v>359</v>
      </c>
      <c r="B56" s="254">
        <f>Projects!S57</f>
        <v>376.11</v>
      </c>
      <c r="C56" s="2">
        <v>2</v>
      </c>
      <c r="D56" s="41"/>
      <c r="E56" s="90">
        <f>Projects!V57+Projects!W57</f>
        <v>925242.90162499994</v>
      </c>
      <c r="F56" s="257">
        <f>Projects!Y57</f>
        <v>24139.870439999999</v>
      </c>
      <c r="G56" s="2" t="s">
        <v>345</v>
      </c>
    </row>
    <row r="57" spans="1:7" x14ac:dyDescent="0.35">
      <c r="A57" s="258" t="s">
        <v>359</v>
      </c>
      <c r="B57" s="254">
        <f>Projects!S58</f>
        <v>376.12</v>
      </c>
      <c r="C57" s="2">
        <v>2</v>
      </c>
      <c r="D57" s="41"/>
      <c r="E57" s="90">
        <f>Projects!V58+Projects!W58</f>
        <v>839095.0778333334</v>
      </c>
      <c r="F57" s="257">
        <f>Projects!Y58</f>
        <v>19949.109280000001</v>
      </c>
      <c r="G57" s="2" t="s">
        <v>345</v>
      </c>
    </row>
    <row r="58" spans="1:7" x14ac:dyDescent="0.35">
      <c r="A58" s="250" t="s">
        <v>360</v>
      </c>
      <c r="B58" s="254">
        <f>Projects!S59</f>
        <v>367</v>
      </c>
      <c r="C58" s="2">
        <v>2</v>
      </c>
      <c r="D58" s="41" t="str">
        <f>Projects!C59</f>
        <v>White Salmon Reinforcement</v>
      </c>
      <c r="E58" s="90">
        <f>Projects!V59+Projects!W59</f>
        <v>2209625.0309114582</v>
      </c>
      <c r="F58" s="257">
        <f>Projects!Y59</f>
        <v>42370.710324999993</v>
      </c>
      <c r="G58" s="2" t="s">
        <v>345</v>
      </c>
    </row>
    <row r="59" spans="1:7" x14ac:dyDescent="0.35">
      <c r="A59" s="258" t="s">
        <v>359</v>
      </c>
      <c r="B59" s="254">
        <f>Projects!S60</f>
        <v>376.11</v>
      </c>
      <c r="C59" s="2">
        <v>2</v>
      </c>
      <c r="D59" s="41"/>
      <c r="E59" s="90">
        <f>Projects!V60+Projects!W60</f>
        <v>129066.49545572916</v>
      </c>
      <c r="F59" s="257">
        <f>Projects!Y60</f>
        <v>3367.3843625</v>
      </c>
      <c r="G59" s="2" t="s">
        <v>345</v>
      </c>
    </row>
    <row r="60" spans="1:7" x14ac:dyDescent="0.35">
      <c r="A60" s="258" t="s">
        <v>359</v>
      </c>
      <c r="B60" s="254">
        <f>Projects!S61</f>
        <v>376.12</v>
      </c>
      <c r="C60" s="2">
        <v>2</v>
      </c>
      <c r="D60" s="41"/>
      <c r="E60" s="90">
        <f>Projects!V61+Projects!W61</f>
        <v>258740.62260416668</v>
      </c>
      <c r="F60" s="257">
        <f>Projects!Y61</f>
        <v>6151.4422999999997</v>
      </c>
      <c r="G60" s="2" t="s">
        <v>345</v>
      </c>
    </row>
    <row r="61" spans="1:7" x14ac:dyDescent="0.35">
      <c r="A61" s="258" t="s">
        <v>359</v>
      </c>
      <c r="B61" s="254">
        <f>Projects!S62</f>
        <v>375</v>
      </c>
      <c r="C61" s="2">
        <v>2</v>
      </c>
      <c r="D61" s="41" t="str">
        <f>Projects!C62</f>
        <v>Battleground Gate Station</v>
      </c>
      <c r="E61" s="90">
        <f>Projects!V62+Projects!W62</f>
        <v>861195.3564375001</v>
      </c>
      <c r="F61" s="257">
        <f>Projects!Y62</f>
        <v>13122.976860000001</v>
      </c>
      <c r="G61" s="2" t="s">
        <v>345</v>
      </c>
    </row>
    <row r="62" spans="1:7" x14ac:dyDescent="0.35">
      <c r="A62" s="258" t="s">
        <v>359</v>
      </c>
      <c r="B62" s="254">
        <f>Projects!S63</f>
        <v>376.12</v>
      </c>
      <c r="C62" s="2">
        <v>2</v>
      </c>
      <c r="D62" s="41"/>
      <c r="E62" s="90">
        <f>Projects!V63+Projects!W63</f>
        <v>57449.248289999996</v>
      </c>
      <c r="F62" s="257">
        <f>Projects!Y63</f>
        <v>1365.8301215999998</v>
      </c>
      <c r="G62" s="2" t="s">
        <v>345</v>
      </c>
    </row>
    <row r="63" spans="1:7" x14ac:dyDescent="0.35">
      <c r="A63" s="61" t="s">
        <v>359</v>
      </c>
      <c r="B63" s="254">
        <f>Projects!S64</f>
        <v>378</v>
      </c>
      <c r="C63" s="2">
        <v>2</v>
      </c>
      <c r="D63" s="41"/>
      <c r="E63" s="90">
        <f>Projects!V64+Projects!W64</f>
        <v>377323.23541499994</v>
      </c>
      <c r="F63" s="257">
        <f>Projects!Y64</f>
        <v>8416.7775215999991</v>
      </c>
      <c r="G63" s="2" t="s">
        <v>345</v>
      </c>
    </row>
    <row r="64" spans="1:7" x14ac:dyDescent="0.35">
      <c r="A64" s="61" t="s">
        <v>358</v>
      </c>
      <c r="B64" s="254">
        <f>Projects!S65</f>
        <v>397.3</v>
      </c>
      <c r="C64" s="2">
        <v>2</v>
      </c>
      <c r="D64" s="41"/>
      <c r="E64" s="90">
        <f>Projects!V65+Projects!W65</f>
        <v>47737.652130000002</v>
      </c>
      <c r="F64" s="257">
        <f>Projects!Y65</f>
        <v>1488.5029152</v>
      </c>
      <c r="G64" s="2" t="s">
        <v>345</v>
      </c>
    </row>
    <row r="65" spans="1:7" x14ac:dyDescent="0.35">
      <c r="A65" s="258" t="s">
        <v>359</v>
      </c>
      <c r="B65" s="254">
        <f>Projects!S66</f>
        <v>375</v>
      </c>
      <c r="C65" s="2">
        <v>2</v>
      </c>
      <c r="D65" s="41" t="str">
        <f>Projects!C66</f>
        <v>Ridgefield Gate Station</v>
      </c>
      <c r="E65" s="90">
        <f>Projects!V66+Projects!W66</f>
        <v>1048301.7152343751</v>
      </c>
      <c r="F65" s="257">
        <f>Projects!Y66</f>
        <v>15974.121375000001</v>
      </c>
      <c r="G65" s="2" t="s">
        <v>345</v>
      </c>
    </row>
    <row r="66" spans="1:7" x14ac:dyDescent="0.35">
      <c r="A66" s="258" t="s">
        <v>359</v>
      </c>
      <c r="B66" s="254">
        <f>Projects!S67</f>
        <v>376.12</v>
      </c>
      <c r="C66" s="2">
        <v>2</v>
      </c>
      <c r="D66" s="41"/>
      <c r="E66" s="90">
        <f>Projects!V67+Projects!W67</f>
        <v>69930.875812499988</v>
      </c>
      <c r="F66" s="257">
        <f>Projects!Y67</f>
        <v>1662.5752199999997</v>
      </c>
      <c r="G66" s="2" t="s">
        <v>345</v>
      </c>
    </row>
    <row r="67" spans="1:7" x14ac:dyDescent="0.35">
      <c r="A67" s="61" t="s">
        <v>359</v>
      </c>
      <c r="B67" s="254">
        <f>Projects!S68</f>
        <v>378</v>
      </c>
      <c r="C67" s="2">
        <v>2</v>
      </c>
      <c r="D67" s="41"/>
      <c r="E67" s="90">
        <f>Projects!V68+Projects!W68</f>
        <v>459301.82034374995</v>
      </c>
      <c r="F67" s="257">
        <f>Projects!Y68</f>
        <v>10245.436469999999</v>
      </c>
      <c r="G67" s="2" t="s">
        <v>345</v>
      </c>
    </row>
    <row r="68" spans="1:7" x14ac:dyDescent="0.35">
      <c r="A68" s="61" t="s">
        <v>358</v>
      </c>
      <c r="B68" s="254">
        <f>Projects!S69</f>
        <v>397.3</v>
      </c>
      <c r="C68" s="2">
        <v>2</v>
      </c>
      <c r="D68" s="41"/>
      <c r="E68" s="90">
        <f>Projects!V69+Projects!W69</f>
        <v>58109.303812499995</v>
      </c>
      <c r="F68" s="257">
        <f>Projects!Y69</f>
        <v>1811.9003399999999</v>
      </c>
      <c r="G68" s="2" t="s">
        <v>345</v>
      </c>
    </row>
    <row r="69" spans="1:7" x14ac:dyDescent="0.35">
      <c r="A69" s="61" t="s">
        <v>355</v>
      </c>
      <c r="B69" s="254">
        <f>Projects!S70</f>
        <v>352</v>
      </c>
      <c r="C69" s="2">
        <v>2</v>
      </c>
      <c r="D69" s="41" t="str">
        <f>Projects!C70</f>
        <v>Mist Well Rework Program (2021)</v>
      </c>
      <c r="E69" s="90">
        <f>Projects!V70+Projects!W70</f>
        <v>356314.36394531239</v>
      </c>
      <c r="F69" s="257">
        <f>Projects!Y70</f>
        <v>5429.5522124999979</v>
      </c>
      <c r="G69" s="2" t="s">
        <v>345</v>
      </c>
    </row>
    <row r="70" spans="1:7" x14ac:dyDescent="0.35">
      <c r="A70" s="61" t="s">
        <v>355</v>
      </c>
      <c r="B70" s="254">
        <f>Projects!S71</f>
        <v>353</v>
      </c>
      <c r="C70" s="2">
        <v>2</v>
      </c>
      <c r="D70" s="41" t="str">
        <f>Projects!C71</f>
        <v>Mist Corrosion Abatement (Phase 4)</v>
      </c>
      <c r="E70" s="256">
        <f>Projects!V71+Projects!W71</f>
        <v>336442.18387848965</v>
      </c>
      <c r="F70" s="255">
        <f>Projects!Y71</f>
        <v>7082.6917483297975</v>
      </c>
      <c r="G70" s="2" t="s">
        <v>345</v>
      </c>
    </row>
    <row r="71" spans="1:7" x14ac:dyDescent="0.35">
      <c r="B71" s="254"/>
      <c r="C71" s="2"/>
      <c r="D71" s="41"/>
      <c r="E71" s="253">
        <f>SUM(E46:E70)</f>
        <v>21420708.36749278</v>
      </c>
      <c r="F71" s="253">
        <f>SUM(F46:F70)</f>
        <v>975245.19848545303</v>
      </c>
    </row>
    <row r="73" spans="1:7" ht="15" thickBot="1" x14ac:dyDescent="0.4">
      <c r="A73" s="252" t="s">
        <v>183</v>
      </c>
      <c r="B73" s="252"/>
      <c r="C73" s="252"/>
      <c r="D73" s="252"/>
      <c r="E73" s="251">
        <f>E44+E71</f>
        <v>43156474.202343315</v>
      </c>
      <c r="F73" s="251">
        <f>F44+F71</f>
        <v>1881311.2712684423</v>
      </c>
    </row>
    <row r="74" spans="1:7" ht="15" thickTop="1" x14ac:dyDescent="0.35">
      <c r="A74" s="357" t="s">
        <v>352</v>
      </c>
    </row>
    <row r="76" spans="1:7" x14ac:dyDescent="0.35">
      <c r="D76" s="250" t="s">
        <v>361</v>
      </c>
      <c r="E76" s="249">
        <f t="shared" ref="E76:E82" si="0">SUMIF($A$7:$A$43,D76,$E$7:$E$43)</f>
        <v>1690022.1119735576</v>
      </c>
      <c r="F76" s="249">
        <f t="shared" ref="F76:F82" si="1">SUMIF($A$7:$A$43,D76,$F$7:$F$43)</f>
        <v>189083.00574974771</v>
      </c>
    </row>
    <row r="77" spans="1:7" x14ac:dyDescent="0.35">
      <c r="D77" s="61" t="s">
        <v>360</v>
      </c>
      <c r="E77" s="249">
        <f t="shared" si="0"/>
        <v>477946.81614990003</v>
      </c>
      <c r="F77" s="249">
        <f t="shared" si="1"/>
        <v>9135.6821143999987</v>
      </c>
    </row>
    <row r="78" spans="1:7" x14ac:dyDescent="0.35">
      <c r="D78" s="61" t="s">
        <v>359</v>
      </c>
      <c r="E78" s="249">
        <f t="shared" si="0"/>
        <v>2619977.6042193016</v>
      </c>
      <c r="F78" s="249">
        <f t="shared" si="1"/>
        <v>59931.498652333998</v>
      </c>
    </row>
    <row r="79" spans="1:7" x14ac:dyDescent="0.35">
      <c r="D79" s="61" t="s">
        <v>358</v>
      </c>
      <c r="E79" s="249">
        <f t="shared" si="0"/>
        <v>1462219.0308430495</v>
      </c>
      <c r="F79" s="249">
        <f t="shared" si="1"/>
        <v>302399.71056507953</v>
      </c>
    </row>
    <row r="80" spans="1:7" x14ac:dyDescent="0.35">
      <c r="D80" s="61" t="s">
        <v>357</v>
      </c>
      <c r="E80" s="249">
        <f t="shared" si="0"/>
        <v>0</v>
      </c>
      <c r="F80" s="249">
        <f t="shared" si="1"/>
        <v>0</v>
      </c>
    </row>
    <row r="81" spans="2:6" x14ac:dyDescent="0.35">
      <c r="D81" s="61" t="s">
        <v>356</v>
      </c>
      <c r="E81" s="249">
        <f t="shared" si="0"/>
        <v>10947747.488044789</v>
      </c>
      <c r="F81" s="249">
        <f t="shared" si="1"/>
        <v>254532.50107699996</v>
      </c>
    </row>
    <row r="82" spans="2:6" x14ac:dyDescent="0.35">
      <c r="D82" s="248" t="s">
        <v>355</v>
      </c>
      <c r="E82" s="247">
        <f t="shared" si="0"/>
        <v>4537852.7836199421</v>
      </c>
      <c r="F82" s="247">
        <f t="shared" si="1"/>
        <v>90983.674624428066</v>
      </c>
    </row>
    <row r="83" spans="2:6" x14ac:dyDescent="0.35">
      <c r="D83" s="85" t="s">
        <v>362</v>
      </c>
      <c r="E83" s="246">
        <f>SUM(E76:E82)</f>
        <v>21735765.834850542</v>
      </c>
      <c r="F83" s="246">
        <f>SUM(F76:F82)</f>
        <v>906066.07278298924</v>
      </c>
    </row>
    <row r="85" spans="2:6" x14ac:dyDescent="0.35">
      <c r="D85" s="250" t="s">
        <v>361</v>
      </c>
      <c r="E85" s="249">
        <f t="shared" ref="E85:E91" ca="1" si="2">SUMIF($A$46:$A$71,D85,$E$46:$E$70)</f>
        <v>8217747.9134419449</v>
      </c>
      <c r="F85" s="249">
        <f t="shared" ref="F85:F91" ca="1" si="3">SUMIF($A$46:$A$71,D85,$F$46:$F$70)</f>
        <v>685288.66190550802</v>
      </c>
    </row>
    <row r="86" spans="2:6" x14ac:dyDescent="0.35">
      <c r="D86" s="61" t="s">
        <v>360</v>
      </c>
      <c r="E86" s="249">
        <f t="shared" ca="1" si="2"/>
        <v>2653328.2800781247</v>
      </c>
      <c r="F86" s="249">
        <f t="shared" ca="1" si="3"/>
        <v>50878.951124999992</v>
      </c>
    </row>
    <row r="87" spans="2:6" x14ac:dyDescent="0.35">
      <c r="D87" s="61" t="s">
        <v>359</v>
      </c>
      <c r="E87" s="249">
        <f t="shared" ca="1" si="2"/>
        <v>5025647.3490513535</v>
      </c>
      <c r="F87" s="249">
        <f t="shared" ca="1" si="3"/>
        <v>104395.52395070001</v>
      </c>
    </row>
    <row r="88" spans="2:6" x14ac:dyDescent="0.35">
      <c r="D88" s="61" t="s">
        <v>358</v>
      </c>
      <c r="E88" s="249">
        <f t="shared" ca="1" si="2"/>
        <v>168902.23534754929</v>
      </c>
      <c r="F88" s="249">
        <f t="shared" ca="1" si="3"/>
        <v>16234.819543415239</v>
      </c>
    </row>
    <row r="89" spans="2:6" x14ac:dyDescent="0.35">
      <c r="D89" s="61" t="s">
        <v>357</v>
      </c>
      <c r="E89" s="249">
        <f t="shared" ca="1" si="2"/>
        <v>0</v>
      </c>
      <c r="F89" s="249">
        <f t="shared" ca="1" si="3"/>
        <v>0</v>
      </c>
    </row>
    <row r="90" spans="2:6" x14ac:dyDescent="0.35">
      <c r="D90" s="61" t="s">
        <v>356</v>
      </c>
      <c r="E90" s="249">
        <f t="shared" ca="1" si="2"/>
        <v>4662326.0417499999</v>
      </c>
      <c r="F90" s="249">
        <f t="shared" ca="1" si="3"/>
        <v>105934.99800000001</v>
      </c>
    </row>
    <row r="91" spans="2:6" x14ac:dyDescent="0.35">
      <c r="D91" s="248" t="s">
        <v>355</v>
      </c>
      <c r="E91" s="247">
        <f t="shared" ca="1" si="2"/>
        <v>692756.5478238021</v>
      </c>
      <c r="F91" s="247">
        <f t="shared" ca="1" si="3"/>
        <v>12512.243960829795</v>
      </c>
    </row>
    <row r="92" spans="2:6" x14ac:dyDescent="0.35">
      <c r="D92" s="85" t="s">
        <v>354</v>
      </c>
      <c r="E92" s="246">
        <f ca="1">SUM(E85:E91)</f>
        <v>21420708.367492773</v>
      </c>
      <c r="F92" s="246">
        <f ca="1">SUM(F85:F91)</f>
        <v>975245.19848545315</v>
      </c>
    </row>
    <row r="94" spans="2:6" x14ac:dyDescent="0.35">
      <c r="E94" s="242" t="s">
        <v>330</v>
      </c>
      <c r="F94" s="242" t="s">
        <v>329</v>
      </c>
    </row>
    <row r="95" spans="2:6" x14ac:dyDescent="0.35">
      <c r="B95" s="61">
        <v>303.10000000000002</v>
      </c>
      <c r="D95" s="61" t="str">
        <f>VLOOKUP(B95,'Dep Rates'!$A$2:$B$131,2,FALSE)</f>
        <v>COMPUTER SOFTWARE</v>
      </c>
      <c r="E95" s="245">
        <f t="shared" ref="E95:E111" si="4">SUMIF($B$7:$B$43,B95,$E$7:$E$43)</f>
        <v>1038280.0846688178</v>
      </c>
      <c r="F95" s="245">
        <f t="shared" ref="F95:F111" si="5">SUMIF($B$46:$B$70,B95,$E$46:$E$70)</f>
        <v>4643558.9761873931</v>
      </c>
    </row>
    <row r="96" spans="2:6" x14ac:dyDescent="0.35">
      <c r="B96" s="61">
        <v>303.7</v>
      </c>
      <c r="D96" s="61" t="str">
        <f>VLOOKUP(B96,'Dep Rates'!$A$2:$B$131,2,FALSE)</f>
        <v>CLOUD-BASED SOFTWARE</v>
      </c>
      <c r="E96" s="245">
        <f t="shared" si="4"/>
        <v>651742.02730473969</v>
      </c>
      <c r="F96" s="245">
        <f t="shared" si="5"/>
        <v>3574188.9372545518</v>
      </c>
    </row>
    <row r="97" spans="2:6" x14ac:dyDescent="0.35">
      <c r="B97" s="61">
        <v>351.1</v>
      </c>
      <c r="D97" s="61" t="str">
        <f>VLOOKUP(B97,'Dep Rates'!$A$2:$B$131,2,FALSE)</f>
        <v>STRUCTURES AND IMPROVEMENTS</v>
      </c>
      <c r="E97" s="245">
        <f t="shared" si="4"/>
        <v>301506.06578579143</v>
      </c>
      <c r="F97" s="245">
        <f t="shared" si="5"/>
        <v>0</v>
      </c>
    </row>
    <row r="98" spans="2:6" x14ac:dyDescent="0.35">
      <c r="B98" s="61">
        <v>352</v>
      </c>
      <c r="D98" s="61" t="str">
        <f>VLOOKUP(B98,'Dep Rates'!$A$2:$B$131,2,FALSE)</f>
        <v>WELLS</v>
      </c>
      <c r="E98" s="245">
        <f t="shared" si="4"/>
        <v>1204390.4673421094</v>
      </c>
      <c r="F98" s="245">
        <f t="shared" si="5"/>
        <v>356314.36394531239</v>
      </c>
    </row>
    <row r="99" spans="2:6" x14ac:dyDescent="0.35">
      <c r="B99" s="61">
        <v>353</v>
      </c>
      <c r="D99" s="61" t="str">
        <f>VLOOKUP(B99,'Dep Rates'!$A$2:$B$131,2,FALSE)</f>
        <v>LINES</v>
      </c>
      <c r="E99" s="245">
        <f t="shared" si="4"/>
        <v>122425.33611447559</v>
      </c>
      <c r="F99" s="245">
        <f t="shared" si="5"/>
        <v>336442.18387848965</v>
      </c>
    </row>
    <row r="100" spans="2:6" x14ac:dyDescent="0.35">
      <c r="B100" s="61">
        <v>354</v>
      </c>
      <c r="D100" s="61" t="str">
        <f>VLOOKUP(B100,'Dep Rates'!$A$2:$B$131,2,FALSE)</f>
        <v>COMPRESSOR STATION EQUIPMENT</v>
      </c>
      <c r="E100" s="245">
        <f t="shared" si="4"/>
        <v>923422.9568397688</v>
      </c>
      <c r="F100" s="245">
        <f t="shared" si="5"/>
        <v>0</v>
      </c>
    </row>
    <row r="101" spans="2:6" x14ac:dyDescent="0.35">
      <c r="B101" s="61">
        <v>355</v>
      </c>
      <c r="D101" s="61" t="str">
        <f>VLOOKUP(B101,'Dep Rates'!$A$2:$B$131,2,FALSE)</f>
        <v>MEASURING / REGULATING EQUIPM</v>
      </c>
      <c r="E101" s="245">
        <f t="shared" si="4"/>
        <v>1688144.3762643205</v>
      </c>
      <c r="F101" s="245">
        <f t="shared" si="5"/>
        <v>0</v>
      </c>
    </row>
    <row r="102" spans="2:6" x14ac:dyDescent="0.35">
      <c r="B102" s="61">
        <v>363.22</v>
      </c>
      <c r="D102" s="61" t="str">
        <f>VLOOKUP(B102,'Dep Rates'!$A$2:$B$131,2,FALSE)</f>
        <v>VAPORIZING EQUIP - NEWPORT</v>
      </c>
      <c r="E102" s="245">
        <f t="shared" si="4"/>
        <v>297963.58127347683</v>
      </c>
      <c r="F102" s="245">
        <f t="shared" si="5"/>
        <v>0</v>
      </c>
    </row>
    <row r="103" spans="2:6" x14ac:dyDescent="0.35">
      <c r="B103" s="61">
        <v>367</v>
      </c>
      <c r="D103" s="61" t="str">
        <f>VLOOKUP(B103,'Dep Rates'!$A$2:$B$131,2,FALSE)</f>
        <v>MAINS</v>
      </c>
      <c r="E103" s="245">
        <f t="shared" si="4"/>
        <v>477946.81614990003</v>
      </c>
      <c r="F103" s="245">
        <f t="shared" si="5"/>
        <v>2653328.2800781247</v>
      </c>
    </row>
    <row r="104" spans="2:6" x14ac:dyDescent="0.35">
      <c r="B104" s="61">
        <v>375</v>
      </c>
      <c r="D104" s="61" t="str">
        <f>VLOOKUP(B104,'Dep Rates'!$A$2:$B$131,2,FALSE)</f>
        <v>STRUCTURES &amp; IMPROVEMENTS</v>
      </c>
      <c r="E104" s="245">
        <f t="shared" si="4"/>
        <v>476403.72284784372</v>
      </c>
      <c r="F104" s="245">
        <f t="shared" si="5"/>
        <v>1909497.0716718752</v>
      </c>
    </row>
    <row r="105" spans="2:6" x14ac:dyDescent="0.35">
      <c r="B105" s="61">
        <v>376.11</v>
      </c>
      <c r="D105" s="61" t="str">
        <f>VLOOKUP(B105,'Dep Rates'!$A$2:$B$131,2,FALSE)</f>
        <v>MAINS &lt; 4"</v>
      </c>
      <c r="E105" s="245">
        <f t="shared" si="4"/>
        <v>997795.07004019502</v>
      </c>
      <c r="F105" s="245">
        <f t="shared" si="5"/>
        <v>1054309.397080729</v>
      </c>
    </row>
    <row r="106" spans="2:6" x14ac:dyDescent="0.35">
      <c r="B106" s="61">
        <v>376.12</v>
      </c>
      <c r="D106" s="61" t="str">
        <f>VLOOKUP(B106,'Dep Rates'!$A$2:$B$131,2,FALSE)</f>
        <v>MAINS 4" &amp; &gt;</v>
      </c>
      <c r="E106" s="245">
        <f t="shared" si="4"/>
        <v>936436.90760514501</v>
      </c>
      <c r="F106" s="245">
        <f t="shared" si="5"/>
        <v>1225215.8245400002</v>
      </c>
    </row>
    <row r="107" spans="2:6" x14ac:dyDescent="0.35">
      <c r="B107" s="61">
        <v>378</v>
      </c>
      <c r="D107" s="61" t="str">
        <f>VLOOKUP(B107,'Dep Rates'!$A$2:$B$131,2,FALSE)</f>
        <v>MEASURING &amp; REG EQUIP - GENER</v>
      </c>
      <c r="E107" s="245">
        <f t="shared" si="4"/>
        <v>209341.90372611748</v>
      </c>
      <c r="F107" s="245">
        <f t="shared" si="5"/>
        <v>836625.05575874983</v>
      </c>
    </row>
    <row r="108" spans="2:6" x14ac:dyDescent="0.35">
      <c r="B108" s="61">
        <v>390</v>
      </c>
      <c r="D108" s="61" t="str">
        <f>VLOOKUP(B108,'Dep Rates'!$A$2:$B$131,2,FALSE)</f>
        <v>STRUCTURES &amp; IMPROVEMENTS</v>
      </c>
      <c r="E108" s="245">
        <f t="shared" si="4"/>
        <v>10947747.488044789</v>
      </c>
      <c r="F108" s="245">
        <f t="shared" si="5"/>
        <v>4662326.0417499999</v>
      </c>
    </row>
    <row r="109" spans="2:6" x14ac:dyDescent="0.35">
      <c r="B109" s="61">
        <v>391.2</v>
      </c>
      <c r="D109" s="61" t="str">
        <f>VLOOKUP(B109,'Dep Rates'!$A$2:$B$131,2,FALSE)</f>
        <v>COMPUTERS</v>
      </c>
      <c r="E109" s="245">
        <f t="shared" si="4"/>
        <v>1103129.376368273</v>
      </c>
      <c r="F109" s="245">
        <f t="shared" si="5"/>
        <v>63055.279405049274</v>
      </c>
    </row>
    <row r="110" spans="2:6" x14ac:dyDescent="0.35">
      <c r="B110" s="61">
        <v>397.2</v>
      </c>
      <c r="D110" s="61" t="str">
        <f>VLOOKUP(B110,'Dep Rates'!$A$2:$B$131,2,FALSE)</f>
        <v>OTHER THAN MOBILE &amp; TELEMET</v>
      </c>
      <c r="E110" s="245">
        <f t="shared" si="4"/>
        <v>332507.39778569149</v>
      </c>
      <c r="F110" s="245">
        <f t="shared" si="5"/>
        <v>0</v>
      </c>
    </row>
    <row r="111" spans="2:6" x14ac:dyDescent="0.35">
      <c r="B111" s="61">
        <v>397.3</v>
      </c>
      <c r="D111" s="61" t="str">
        <f>VLOOKUP(B111,'Dep Rates'!$A$2:$B$131,2,FALSE)</f>
        <v>TELEMETERING - OTHER</v>
      </c>
      <c r="E111" s="245">
        <f t="shared" si="4"/>
        <v>26582.256689084996</v>
      </c>
      <c r="F111" s="245">
        <f t="shared" si="5"/>
        <v>105846.9559425</v>
      </c>
    </row>
    <row r="112" spans="2:6" ht="15" thickBot="1" x14ac:dyDescent="0.4">
      <c r="D112" s="85" t="s">
        <v>43</v>
      </c>
      <c r="E112" s="244">
        <f>SUM(E95:E111)</f>
        <v>21735765.834850542</v>
      </c>
      <c r="F112" s="244">
        <f>SUM(F95:F111)</f>
        <v>21420708.367492776</v>
      </c>
    </row>
    <row r="113" spans="5:5" ht="15" thickTop="1" x14ac:dyDescent="0.35">
      <c r="E113" s="243"/>
    </row>
  </sheetData>
  <autoFilter ref="A6:F73" xr:uid="{FB8936E4-DCEF-4A29-AC07-57CD5EF48588}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7609-8084-4B65-85F4-83367F2E8771}">
  <dimension ref="B5:R20"/>
  <sheetViews>
    <sheetView showGridLines="0" workbookViewId="0">
      <selection activeCell="H26" sqref="H26"/>
    </sheetView>
  </sheetViews>
  <sheetFormatPr defaultRowHeight="14.5" x14ac:dyDescent="0.35"/>
  <cols>
    <col min="2" max="2" width="20.26953125" bestFit="1" customWidth="1"/>
    <col min="3" max="3" width="11.54296875" customWidth="1"/>
    <col min="4" max="14" width="10.1796875" customWidth="1"/>
    <col min="15" max="15" width="10.7265625" customWidth="1"/>
    <col min="16" max="16" width="10.453125" bestFit="1" customWidth="1"/>
    <col min="17" max="17" width="9.54296875" bestFit="1" customWidth="1"/>
  </cols>
  <sheetData>
    <row r="5" spans="2:18" x14ac:dyDescent="0.35">
      <c r="C5" s="443">
        <v>2020</v>
      </c>
      <c r="D5" s="443"/>
      <c r="E5" s="443"/>
      <c r="F5" s="444">
        <v>2021</v>
      </c>
      <c r="G5" s="444"/>
      <c r="H5" s="444"/>
      <c r="I5" s="444"/>
      <c r="J5" s="444"/>
      <c r="K5" s="444"/>
      <c r="L5" s="444"/>
      <c r="M5" s="444"/>
      <c r="N5" s="444"/>
      <c r="O5" s="444"/>
    </row>
    <row r="6" spans="2:18" x14ac:dyDescent="0.35">
      <c r="C6" s="33" t="s">
        <v>158</v>
      </c>
      <c r="D6" s="33" t="s">
        <v>159</v>
      </c>
      <c r="E6" s="33" t="s">
        <v>160</v>
      </c>
      <c r="F6" s="74" t="s">
        <v>161</v>
      </c>
      <c r="G6" s="74" t="s">
        <v>162</v>
      </c>
      <c r="H6" s="74" t="s">
        <v>163</v>
      </c>
      <c r="I6" s="74" t="s">
        <v>164</v>
      </c>
      <c r="J6" s="74" t="s">
        <v>165</v>
      </c>
      <c r="K6" s="74" t="s">
        <v>166</v>
      </c>
      <c r="L6" s="74" t="s">
        <v>167</v>
      </c>
      <c r="M6" s="74" t="s">
        <v>168</v>
      </c>
      <c r="N6" s="74" t="s">
        <v>169</v>
      </c>
      <c r="O6" s="74" t="s">
        <v>158</v>
      </c>
    </row>
    <row r="7" spans="2:18" x14ac:dyDescent="0.35">
      <c r="B7" t="s">
        <v>46</v>
      </c>
      <c r="C7" s="76">
        <v>108963.6091</v>
      </c>
      <c r="D7" s="76">
        <v>108963.61</v>
      </c>
      <c r="E7" s="76">
        <v>108963.60909000001</v>
      </c>
      <c r="F7" s="76">
        <v>108963.60909000001</v>
      </c>
      <c r="G7" s="76">
        <v>108963.60909000001</v>
      </c>
      <c r="H7" s="76">
        <v>108963.60909000001</v>
      </c>
      <c r="I7" s="76">
        <v>108963.60909000001</v>
      </c>
      <c r="J7" s="76">
        <v>108963.60909000001</v>
      </c>
      <c r="K7" s="76">
        <v>108963.60909000001</v>
      </c>
      <c r="L7" s="76">
        <v>108963.60909000001</v>
      </c>
      <c r="M7" s="76">
        <v>108963.60909000001</v>
      </c>
      <c r="N7" s="79"/>
      <c r="O7" s="79"/>
      <c r="P7" s="78">
        <f>SUM(C7:O7)</f>
        <v>1198599.7009100001</v>
      </c>
      <c r="Q7" s="75"/>
    </row>
    <row r="8" spans="2:18" x14ac:dyDescent="0.35">
      <c r="B8" t="s">
        <v>24</v>
      </c>
      <c r="C8" s="76">
        <f>10374.0642146395</f>
        <v>10374.0642146395</v>
      </c>
      <c r="D8" s="76">
        <f>18076.0039514741</f>
        <v>18076.0039514741</v>
      </c>
      <c r="E8" s="76">
        <v>3284.5823548414201</v>
      </c>
      <c r="F8" s="76">
        <v>11691.2891954397</v>
      </c>
      <c r="G8" s="76">
        <v>10261.293484249902</v>
      </c>
      <c r="H8" s="76">
        <v>11685.065950729999</v>
      </c>
      <c r="I8" s="76">
        <v>7194.4343051120204</v>
      </c>
      <c r="J8" s="76">
        <v>4070.6926312437595</v>
      </c>
      <c r="K8" s="76">
        <v>3607.75476916552</v>
      </c>
      <c r="L8" s="76">
        <v>3145.5997672541498</v>
      </c>
      <c r="M8" s="76">
        <v>2461.2820283588599</v>
      </c>
      <c r="N8" s="79"/>
      <c r="O8" s="79"/>
      <c r="P8" s="78">
        <f>SUM(C8:O8)</f>
        <v>85852.062652508946</v>
      </c>
      <c r="Q8" s="75"/>
      <c r="R8" s="107"/>
    </row>
    <row r="9" spans="2:18" x14ac:dyDescent="0.35">
      <c r="B9" t="s">
        <v>25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8">
        <f>SUM(C9:O9)</f>
        <v>0</v>
      </c>
      <c r="Q9" s="75"/>
    </row>
    <row r="10" spans="2:18" s="61" customFormat="1" x14ac:dyDescent="0.35">
      <c r="B10" s="61" t="s">
        <v>157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91"/>
      <c r="Q10" s="75"/>
    </row>
    <row r="11" spans="2:18" x14ac:dyDescent="0.35">
      <c r="B11" t="s">
        <v>170</v>
      </c>
      <c r="C11" s="79">
        <f t="shared" ref="C11:O11" si="0">SUM(C7:C10)</f>
        <v>119337.6733146395</v>
      </c>
      <c r="D11" s="79">
        <f t="shared" si="0"/>
        <v>127039.61395147411</v>
      </c>
      <c r="E11" s="79">
        <f t="shared" si="0"/>
        <v>112248.19144484143</v>
      </c>
      <c r="F11" s="79">
        <f t="shared" si="0"/>
        <v>120654.89828543972</v>
      </c>
      <c r="G11" s="79">
        <f t="shared" si="0"/>
        <v>119224.90257424992</v>
      </c>
      <c r="H11" s="79">
        <f t="shared" si="0"/>
        <v>120648.67504073001</v>
      </c>
      <c r="I11" s="79">
        <f t="shared" si="0"/>
        <v>116158.04339511204</v>
      </c>
      <c r="J11" s="79">
        <f t="shared" si="0"/>
        <v>113034.30172124377</v>
      </c>
      <c r="K11" s="79">
        <f t="shared" si="0"/>
        <v>112571.36385916553</v>
      </c>
      <c r="L11" s="79">
        <f t="shared" si="0"/>
        <v>112109.20885725417</v>
      </c>
      <c r="M11" s="79">
        <f t="shared" si="0"/>
        <v>111424.89111835888</v>
      </c>
      <c r="N11" s="79">
        <f t="shared" si="0"/>
        <v>0</v>
      </c>
      <c r="O11" s="79">
        <f t="shared" si="0"/>
        <v>0</v>
      </c>
      <c r="P11" s="78">
        <f>SUM(C11:O11)</f>
        <v>1284451.7635625091</v>
      </c>
    </row>
    <row r="12" spans="2:18" s="61" customFormat="1" x14ac:dyDescent="0.35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8"/>
      <c r="Q12" s="107"/>
    </row>
    <row r="13" spans="2:18" x14ac:dyDescent="0.35">
      <c r="P13" s="78"/>
    </row>
    <row r="14" spans="2:18" x14ac:dyDescent="0.35">
      <c r="B14" t="s">
        <v>336</v>
      </c>
      <c r="C14">
        <v>12.5</v>
      </c>
      <c r="D14">
        <f>C14-1</f>
        <v>11.5</v>
      </c>
      <c r="E14" s="61">
        <f t="shared" ref="E14:M14" si="1">D14-1</f>
        <v>10.5</v>
      </c>
      <c r="F14" s="61">
        <f t="shared" si="1"/>
        <v>9.5</v>
      </c>
      <c r="G14" s="61">
        <f t="shared" si="1"/>
        <v>8.5</v>
      </c>
      <c r="H14" s="61">
        <f t="shared" si="1"/>
        <v>7.5</v>
      </c>
      <c r="I14" s="61">
        <f t="shared" si="1"/>
        <v>6.5</v>
      </c>
      <c r="J14" s="61">
        <f t="shared" si="1"/>
        <v>5.5</v>
      </c>
      <c r="K14" s="61">
        <f t="shared" si="1"/>
        <v>4.5</v>
      </c>
      <c r="L14" s="61">
        <f t="shared" si="1"/>
        <v>3.5</v>
      </c>
      <c r="M14" s="61">
        <f t="shared" si="1"/>
        <v>2.5</v>
      </c>
      <c r="N14" s="41"/>
      <c r="O14" s="41"/>
      <c r="P14" s="384"/>
    </row>
    <row r="15" spans="2:18" x14ac:dyDescent="0.35">
      <c r="B15" t="s">
        <v>338</v>
      </c>
      <c r="C15" s="217">
        <f>SUM(C7:C8)*C14/12*Summary!$DO$47</f>
        <v>8428.2231778464138</v>
      </c>
      <c r="D15" s="217">
        <f>SUM(D7:D8)*D14/12*Summary!$DO$47</f>
        <v>8254.3989164970299</v>
      </c>
      <c r="E15" s="217">
        <f>SUM(E7:E8)*E14/12*Summary!$DO$47</f>
        <v>6659.1239574652182</v>
      </c>
      <c r="F15" s="217">
        <f>SUM(F7:F8)*F14/12*Summary!$DO$47</f>
        <v>6476.1516654709776</v>
      </c>
      <c r="G15" s="217">
        <f>SUM(G7:G8)*G14/12*Summary!$DO$47</f>
        <v>5725.7759461283531</v>
      </c>
      <c r="H15" s="217">
        <f>SUM(H7:H8)*H14/12*Summary!$DO$47</f>
        <v>5112.4876048509341</v>
      </c>
      <c r="I15" s="217">
        <f>SUM(I7:I8)*I14/12*Summary!$DO$47</f>
        <v>4265.9041436854895</v>
      </c>
      <c r="J15" s="217">
        <f>SUM(J7:J8)*J14/12*Summary!$DO$47</f>
        <v>3512.5409259876506</v>
      </c>
      <c r="K15" s="217">
        <f>SUM(K7:K8)*K14/12*Summary!$DO$47</f>
        <v>2862.1269261192838</v>
      </c>
      <c r="L15" s="217">
        <f>SUM(L7:L8)*L14/12*Summary!$DO$47</f>
        <v>2216.9596051522012</v>
      </c>
      <c r="M15" s="217">
        <f>SUM(M7:M8)*M14/12*Summary!$DO$47</f>
        <v>1573.8765870468189</v>
      </c>
      <c r="N15" s="385"/>
      <c r="O15" s="385"/>
      <c r="P15" s="385"/>
    </row>
    <row r="16" spans="2:18" x14ac:dyDescent="0.35">
      <c r="B16" t="s">
        <v>339</v>
      </c>
      <c r="C16" s="216">
        <f>C15*Summary!$BU$47</f>
        <v>971.77413240569115</v>
      </c>
      <c r="D16" s="216">
        <f>D15*Summary!$BU$47</f>
        <v>951.73219507210717</v>
      </c>
      <c r="E16" s="216">
        <f>E15*Summary!$BU$47</f>
        <v>767.79699229573941</v>
      </c>
      <c r="F16" s="216">
        <f>F15*Summary!$BU$47</f>
        <v>746.70028702880347</v>
      </c>
      <c r="G16" s="216">
        <f>G15*Summary!$BU$47</f>
        <v>660.18196658859893</v>
      </c>
      <c r="H16" s="216">
        <f>H15*Summary!$BU$47</f>
        <v>589.46982083931243</v>
      </c>
      <c r="I16" s="216">
        <f>I15*Summary!$BU$47</f>
        <v>491.85874776693674</v>
      </c>
      <c r="J16" s="216">
        <f>J15*Summary!$BU$47</f>
        <v>404.99596876637594</v>
      </c>
      <c r="K16" s="216">
        <f>K15*Summary!$BU$47</f>
        <v>330.00323458155327</v>
      </c>
      <c r="L16" s="216">
        <f>L15*Summary!$BU$47</f>
        <v>255.61544247404871</v>
      </c>
      <c r="M16" s="216">
        <f>M15*Summary!$BU$47</f>
        <v>181.46797048649816</v>
      </c>
      <c r="N16" s="41"/>
      <c r="O16" s="41"/>
      <c r="P16" s="385"/>
    </row>
    <row r="18" spans="3:16" x14ac:dyDescent="0.3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3:16" x14ac:dyDescent="0.35"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P19" s="379"/>
    </row>
    <row r="20" spans="3:16" x14ac:dyDescent="0.35"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P20" s="379"/>
    </row>
  </sheetData>
  <mergeCells count="2">
    <mergeCell ref="C5:E5"/>
    <mergeCell ref="F5:O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8B58-82D5-4180-8025-CDF57EF36338}">
  <dimension ref="B4:N28"/>
  <sheetViews>
    <sheetView workbookViewId="0">
      <selection activeCell="C25" sqref="C25"/>
    </sheetView>
  </sheetViews>
  <sheetFormatPr defaultColWidth="9.1796875" defaultRowHeight="14.5" x14ac:dyDescent="0.35"/>
  <cols>
    <col min="1" max="1" width="9.1796875" style="61"/>
    <col min="2" max="2" width="24.1796875" style="61" bestFit="1" customWidth="1"/>
    <col min="3" max="3" width="12.54296875" style="61" bestFit="1" customWidth="1"/>
    <col min="4" max="4" width="17.453125" style="61" bestFit="1" customWidth="1"/>
    <col min="5" max="5" width="3.1796875" style="61" customWidth="1"/>
    <col min="6" max="6" width="7.7265625" style="61" bestFit="1" customWidth="1"/>
    <col min="7" max="8" width="11.26953125" style="61" bestFit="1" customWidth="1"/>
    <col min="9" max="9" width="3.1796875" style="61" customWidth="1"/>
    <col min="10" max="13" width="12.7265625" style="61" customWidth="1"/>
    <col min="14" max="16384" width="9.1796875" style="61"/>
  </cols>
  <sheetData>
    <row r="4" spans="2:14" ht="18.5" x14ac:dyDescent="0.45">
      <c r="B4" s="7" t="s">
        <v>197</v>
      </c>
    </row>
    <row r="5" spans="2:14" x14ac:dyDescent="0.35">
      <c r="B5" s="85"/>
    </row>
    <row r="6" spans="2:14" x14ac:dyDescent="0.35">
      <c r="C6" s="85" t="s">
        <v>175</v>
      </c>
      <c r="D6" s="86" t="s">
        <v>176</v>
      </c>
      <c r="F6" s="86" t="s">
        <v>177</v>
      </c>
      <c r="G6" s="86" t="s">
        <v>178</v>
      </c>
      <c r="H6" s="86" t="s">
        <v>179</v>
      </c>
      <c r="J6" s="86" t="s">
        <v>180</v>
      </c>
      <c r="K6" s="86" t="s">
        <v>181</v>
      </c>
      <c r="L6" s="86" t="s">
        <v>182</v>
      </c>
      <c r="M6" s="87" t="s">
        <v>183</v>
      </c>
    </row>
    <row r="7" spans="2:14" x14ac:dyDescent="0.35">
      <c r="B7" s="88" t="s">
        <v>184</v>
      </c>
      <c r="C7" s="89">
        <v>28448617.740000002</v>
      </c>
      <c r="D7" s="90" t="s">
        <v>185</v>
      </c>
      <c r="F7" s="67">
        <v>0.41449999999999998</v>
      </c>
      <c r="G7" s="67">
        <f>100%-F7</f>
        <v>0.58550000000000002</v>
      </c>
      <c r="H7" s="67">
        <v>0</v>
      </c>
      <c r="J7" s="91">
        <f>F7*$C7</f>
        <v>11791952.053230001</v>
      </c>
      <c r="K7" s="91">
        <f>G7*$C7</f>
        <v>16656665.686770001</v>
      </c>
      <c r="L7" s="92">
        <v>0</v>
      </c>
      <c r="M7" s="93">
        <f>SUM(J7:L7)</f>
        <v>28448617.740000002</v>
      </c>
      <c r="N7" s="94">
        <f>J7+K7+L7-C7</f>
        <v>0</v>
      </c>
    </row>
    <row r="8" spans="2:14" x14ac:dyDescent="0.35">
      <c r="B8" s="88" t="s">
        <v>186</v>
      </c>
      <c r="C8" s="89">
        <v>2859500</v>
      </c>
      <c r="D8" s="90" t="s">
        <v>187</v>
      </c>
      <c r="F8" s="67">
        <v>0</v>
      </c>
      <c r="G8" s="67">
        <v>1</v>
      </c>
      <c r="H8" s="67">
        <v>0</v>
      </c>
      <c r="J8" s="91">
        <f>F8*$C8</f>
        <v>0</v>
      </c>
      <c r="K8" s="91">
        <f>G8*$C8</f>
        <v>2859500</v>
      </c>
      <c r="L8" s="92">
        <v>0</v>
      </c>
      <c r="M8" s="93">
        <f>SUM(J8:L8)</f>
        <v>2859500</v>
      </c>
      <c r="N8" s="94">
        <f>J8+K8+L8-C8</f>
        <v>0</v>
      </c>
    </row>
    <row r="9" spans="2:14" x14ac:dyDescent="0.35">
      <c r="B9" s="88" t="s">
        <v>188</v>
      </c>
      <c r="C9" s="95">
        <v>0</v>
      </c>
      <c r="D9" s="90"/>
      <c r="F9" s="90"/>
      <c r="G9" s="90"/>
      <c r="H9" s="90"/>
      <c r="J9" s="96"/>
      <c r="K9" s="96"/>
      <c r="L9" s="96"/>
      <c r="M9" s="97"/>
      <c r="N9" s="94">
        <f>J9+K9+L9-C9</f>
        <v>0</v>
      </c>
    </row>
    <row r="10" spans="2:14" x14ac:dyDescent="0.35">
      <c r="B10" s="88" t="s">
        <v>189</v>
      </c>
      <c r="C10" s="89">
        <v>5541312</v>
      </c>
      <c r="D10" s="90" t="s">
        <v>185</v>
      </c>
      <c r="F10" s="67">
        <f>F7</f>
        <v>0.41449999999999998</v>
      </c>
      <c r="G10" s="67">
        <f>G7</f>
        <v>0.58550000000000002</v>
      </c>
      <c r="H10" s="67">
        <f>H7</f>
        <v>0</v>
      </c>
      <c r="J10" s="91">
        <f>F10*$C10</f>
        <v>2296873.824</v>
      </c>
      <c r="K10" s="91">
        <f>G10*$C10</f>
        <v>3244438.176</v>
      </c>
      <c r="L10" s="92">
        <v>0</v>
      </c>
      <c r="M10" s="93">
        <f>SUM(J10:L10)</f>
        <v>5541312</v>
      </c>
      <c r="N10" s="94">
        <f>J10+K10+L10-C10</f>
        <v>0</v>
      </c>
    </row>
    <row r="11" spans="2:14" x14ac:dyDescent="0.35">
      <c r="B11" s="98" t="s">
        <v>43</v>
      </c>
      <c r="C11" s="99">
        <f>SUM(C7:C10)</f>
        <v>36849429.740000002</v>
      </c>
      <c r="D11" s="100"/>
      <c r="F11" s="100"/>
      <c r="G11" s="100"/>
      <c r="H11" s="100"/>
      <c r="J11" s="101"/>
      <c r="K11" s="101"/>
      <c r="L11" s="101"/>
      <c r="M11" s="102"/>
    </row>
    <row r="12" spans="2:14" x14ac:dyDescent="0.35">
      <c r="C12" s="103"/>
      <c r="D12" s="103"/>
      <c r="F12" s="103"/>
      <c r="G12" s="103"/>
      <c r="H12" s="103"/>
      <c r="J12" s="104"/>
      <c r="K12" s="104"/>
      <c r="L12" s="104"/>
      <c r="M12" s="97"/>
    </row>
    <row r="13" spans="2:14" x14ac:dyDescent="0.35">
      <c r="C13" s="85" t="s">
        <v>175</v>
      </c>
      <c r="D13" s="85"/>
      <c r="F13" s="85"/>
      <c r="G13" s="85"/>
      <c r="H13" s="85"/>
      <c r="J13" s="105"/>
      <c r="K13" s="105"/>
      <c r="L13" s="105"/>
      <c r="M13" s="106"/>
    </row>
    <row r="14" spans="2:14" x14ac:dyDescent="0.35">
      <c r="B14" s="88" t="s">
        <v>190</v>
      </c>
      <c r="C14" s="89">
        <v>4351295.25</v>
      </c>
      <c r="D14" s="90" t="s">
        <v>187</v>
      </c>
      <c r="F14" s="67">
        <v>0</v>
      </c>
      <c r="G14" s="67">
        <v>1</v>
      </c>
      <c r="H14" s="67">
        <v>0</v>
      </c>
      <c r="J14" s="91">
        <f t="shared" ref="J14:K17" si="0">F14*$C14</f>
        <v>0</v>
      </c>
      <c r="K14" s="91">
        <f t="shared" si="0"/>
        <v>4351295.25</v>
      </c>
      <c r="L14" s="92">
        <v>0</v>
      </c>
      <c r="M14" s="93">
        <f>SUM(J14:L14)</f>
        <v>4351295.25</v>
      </c>
      <c r="N14" s="94">
        <f t="shared" ref="N14:N17" si="1">J14+K14+L14-C14</f>
        <v>0</v>
      </c>
    </row>
    <row r="15" spans="2:14" x14ac:dyDescent="0.35">
      <c r="B15" s="88" t="s">
        <v>191</v>
      </c>
      <c r="C15" s="89">
        <v>1595474.9249999998</v>
      </c>
      <c r="D15" s="90" t="s">
        <v>187</v>
      </c>
      <c r="F15" s="67">
        <v>0</v>
      </c>
      <c r="G15" s="67">
        <v>1</v>
      </c>
      <c r="H15" s="67">
        <v>0</v>
      </c>
      <c r="J15" s="91">
        <f t="shared" si="0"/>
        <v>0</v>
      </c>
      <c r="K15" s="91">
        <f t="shared" si="0"/>
        <v>1595474.9249999998</v>
      </c>
      <c r="L15" s="92">
        <v>0</v>
      </c>
      <c r="M15" s="93">
        <f>SUM(J15:L15)</f>
        <v>1595474.9249999998</v>
      </c>
      <c r="N15" s="94">
        <f t="shared" si="1"/>
        <v>0</v>
      </c>
    </row>
    <row r="16" spans="2:14" x14ac:dyDescent="0.35">
      <c r="B16" s="88" t="s">
        <v>192</v>
      </c>
      <c r="C16" s="89">
        <v>1357061.6666666665</v>
      </c>
      <c r="D16" s="90" t="s">
        <v>180</v>
      </c>
      <c r="F16" s="67">
        <v>1</v>
      </c>
      <c r="G16" s="67">
        <v>0</v>
      </c>
      <c r="H16" s="67">
        <v>0</v>
      </c>
      <c r="J16" s="91">
        <f t="shared" si="0"/>
        <v>1357061.6666666665</v>
      </c>
      <c r="K16" s="91">
        <f t="shared" si="0"/>
        <v>0</v>
      </c>
      <c r="L16" s="92">
        <v>0</v>
      </c>
      <c r="M16" s="93">
        <f>SUM(J16:L16)</f>
        <v>1357061.6666666665</v>
      </c>
      <c r="N16" s="94">
        <f t="shared" si="1"/>
        <v>0</v>
      </c>
    </row>
    <row r="17" spans="2:14" x14ac:dyDescent="0.35">
      <c r="B17" s="88" t="s">
        <v>193</v>
      </c>
      <c r="C17" s="89">
        <v>6047423.333333333</v>
      </c>
      <c r="D17" s="90" t="s">
        <v>180</v>
      </c>
      <c r="F17" s="67">
        <v>1</v>
      </c>
      <c r="G17" s="67">
        <v>0</v>
      </c>
      <c r="H17" s="67">
        <v>0</v>
      </c>
      <c r="J17" s="91">
        <f t="shared" si="0"/>
        <v>6047423.333333333</v>
      </c>
      <c r="K17" s="91">
        <f t="shared" si="0"/>
        <v>0</v>
      </c>
      <c r="L17" s="92">
        <v>0</v>
      </c>
      <c r="M17" s="93">
        <f>SUM(J17:L17)</f>
        <v>6047423.333333333</v>
      </c>
      <c r="N17" s="94">
        <f t="shared" si="1"/>
        <v>0</v>
      </c>
    </row>
    <row r="18" spans="2:14" x14ac:dyDescent="0.35">
      <c r="B18" s="98" t="s">
        <v>43</v>
      </c>
      <c r="C18" s="99">
        <f>SUM(C14:C17)</f>
        <v>13351255.175000001</v>
      </c>
      <c r="D18" s="100"/>
      <c r="F18" s="100"/>
      <c r="G18" s="100"/>
      <c r="H18" s="100"/>
      <c r="J18" s="101"/>
      <c r="K18" s="101"/>
      <c r="L18" s="101"/>
      <c r="M18" s="102"/>
    </row>
    <row r="19" spans="2:14" x14ac:dyDescent="0.35">
      <c r="C19" s="85" t="s">
        <v>175</v>
      </c>
      <c r="D19" s="85"/>
      <c r="F19" s="85"/>
      <c r="G19" s="85"/>
      <c r="H19" s="85"/>
      <c r="J19" s="105"/>
      <c r="K19" s="105"/>
      <c r="L19" s="105"/>
      <c r="M19" s="106"/>
    </row>
    <row r="20" spans="2:14" x14ac:dyDescent="0.35">
      <c r="B20" s="88" t="s">
        <v>186</v>
      </c>
      <c r="C20" s="89">
        <v>1674000</v>
      </c>
      <c r="D20" s="90" t="s">
        <v>187</v>
      </c>
      <c r="F20" s="67">
        <v>0</v>
      </c>
      <c r="G20" s="67">
        <v>1</v>
      </c>
      <c r="H20" s="67">
        <v>0</v>
      </c>
      <c r="J20" s="91">
        <f t="shared" ref="J20:K21" si="2">F20*$C20</f>
        <v>0</v>
      </c>
      <c r="K20" s="91">
        <f t="shared" si="2"/>
        <v>1674000</v>
      </c>
      <c r="L20" s="92">
        <v>0</v>
      </c>
      <c r="M20" s="93">
        <f>SUM(J20:L20)</f>
        <v>1674000</v>
      </c>
      <c r="N20" s="94">
        <f t="shared" ref="N20:N21" si="3">J20+K20+L20-C20</f>
        <v>0</v>
      </c>
    </row>
    <row r="21" spans="2:14" x14ac:dyDescent="0.35">
      <c r="B21" s="88" t="s">
        <v>194</v>
      </c>
      <c r="C21" s="89">
        <v>750120</v>
      </c>
      <c r="D21" s="90" t="s">
        <v>180</v>
      </c>
      <c r="F21" s="67">
        <v>1</v>
      </c>
      <c r="G21" s="67">
        <v>0</v>
      </c>
      <c r="H21" s="67">
        <v>0</v>
      </c>
      <c r="J21" s="91">
        <f t="shared" si="2"/>
        <v>750120</v>
      </c>
      <c r="K21" s="91">
        <f t="shared" si="2"/>
        <v>0</v>
      </c>
      <c r="L21" s="92">
        <v>0</v>
      </c>
      <c r="M21" s="93">
        <f>SUM(J21:L21)</f>
        <v>750120</v>
      </c>
      <c r="N21" s="94">
        <f t="shared" si="3"/>
        <v>0</v>
      </c>
    </row>
    <row r="22" spans="2:14" x14ac:dyDescent="0.35">
      <c r="C22" s="85" t="s">
        <v>175</v>
      </c>
      <c r="D22" s="85"/>
      <c r="F22" s="85"/>
      <c r="G22" s="85"/>
      <c r="H22" s="85"/>
      <c r="J22" s="105"/>
      <c r="K22" s="105"/>
      <c r="L22" s="105"/>
      <c r="M22" s="106"/>
    </row>
    <row r="23" spans="2:14" x14ac:dyDescent="0.35">
      <c r="B23" s="88" t="s">
        <v>182</v>
      </c>
      <c r="C23" s="89">
        <v>510500</v>
      </c>
      <c r="D23" s="90" t="s">
        <v>182</v>
      </c>
      <c r="F23" s="67">
        <v>0</v>
      </c>
      <c r="G23" s="67">
        <v>0</v>
      </c>
      <c r="H23" s="67">
        <v>1</v>
      </c>
      <c r="J23" s="91">
        <f t="shared" ref="J23:K23" si="4">F23*$C23</f>
        <v>0</v>
      </c>
      <c r="K23" s="91">
        <f t="shared" si="4"/>
        <v>0</v>
      </c>
      <c r="L23" s="92">
        <v>510500</v>
      </c>
      <c r="M23" s="93">
        <f>SUM(J23:L23)</f>
        <v>510500</v>
      </c>
      <c r="N23" s="94">
        <f>J23+K23+L23-C23</f>
        <v>0</v>
      </c>
    </row>
    <row r="24" spans="2:14" x14ac:dyDescent="0.35">
      <c r="C24" s="85" t="s">
        <v>175</v>
      </c>
      <c r="J24" s="107"/>
      <c r="K24" s="107"/>
      <c r="L24" s="107"/>
      <c r="M24" s="108"/>
    </row>
    <row r="25" spans="2:14" x14ac:dyDescent="0.35">
      <c r="B25" s="88" t="s">
        <v>195</v>
      </c>
      <c r="C25" s="89">
        <f>2004000+500000</f>
        <v>2504000</v>
      </c>
      <c r="D25" s="90" t="s">
        <v>185</v>
      </c>
      <c r="F25" s="67">
        <v>0.41449999999999998</v>
      </c>
      <c r="G25" s="67">
        <v>0.58550000000000002</v>
      </c>
      <c r="H25" s="61">
        <v>0</v>
      </c>
      <c r="J25" s="91">
        <f t="shared" ref="J25:K25" si="5">F25*$C25</f>
        <v>1037908</v>
      </c>
      <c r="K25" s="91">
        <f t="shared" si="5"/>
        <v>1466092</v>
      </c>
      <c r="L25" s="92">
        <v>0</v>
      </c>
      <c r="M25" s="93">
        <f>SUM(J25:L25)</f>
        <v>2504000</v>
      </c>
      <c r="N25" s="94">
        <f t="shared" ref="N25:N27" si="6">J25+K25+L25-C25</f>
        <v>0</v>
      </c>
    </row>
    <row r="26" spans="2:14" x14ac:dyDescent="0.35">
      <c r="C26" s="85" t="s">
        <v>175</v>
      </c>
      <c r="J26" s="91"/>
      <c r="K26" s="91"/>
      <c r="L26" s="92"/>
      <c r="M26" s="93"/>
      <c r="N26" s="109"/>
    </row>
    <row r="27" spans="2:14" x14ac:dyDescent="0.35">
      <c r="B27" s="88" t="s">
        <v>196</v>
      </c>
      <c r="C27" s="89">
        <v>4500000</v>
      </c>
      <c r="D27" s="90" t="s">
        <v>185</v>
      </c>
      <c r="F27" s="67">
        <v>0.41449999999999998</v>
      </c>
      <c r="G27" s="67">
        <v>0.58550000000000002</v>
      </c>
      <c r="H27" s="61">
        <v>0</v>
      </c>
      <c r="J27" s="110">
        <f t="shared" ref="J27:K27" si="7">F27*$C27</f>
        <v>1865250</v>
      </c>
      <c r="K27" s="110">
        <f t="shared" si="7"/>
        <v>2634750</v>
      </c>
      <c r="L27" s="111">
        <v>0</v>
      </c>
      <c r="M27" s="112">
        <f>SUM(J27:L27)</f>
        <v>4500000</v>
      </c>
      <c r="N27" s="94">
        <f t="shared" si="6"/>
        <v>0</v>
      </c>
    </row>
    <row r="28" spans="2:14" x14ac:dyDescent="0.35">
      <c r="C28" s="107">
        <f>C27+C25+C23+C21+C20+C18+C11</f>
        <v>60139304.915000007</v>
      </c>
      <c r="J28" s="107">
        <f>SUM(J7:J27)</f>
        <v>25146588.87723</v>
      </c>
      <c r="K28" s="107">
        <f>SUM(K7:K27)</f>
        <v>34482216.037770003</v>
      </c>
      <c r="L28" s="107">
        <f>SUM(L7:L27)</f>
        <v>510500</v>
      </c>
      <c r="M28" s="107">
        <f>SUM(M7:M27)</f>
        <v>60139304.914999999</v>
      </c>
      <c r="N28" s="94">
        <f>SUM(N7:N27)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4830-6DD8-4F59-9199-C916D364E49B}">
  <dimension ref="A1:R61"/>
  <sheetViews>
    <sheetView topLeftCell="B1" workbookViewId="0">
      <pane xSplit="1" ySplit="4" topLeftCell="C29" activePane="bottomRight" state="frozen"/>
      <selection activeCell="B1" sqref="B1"/>
      <selection pane="topRight" activeCell="C1" sqref="C1"/>
      <selection pane="bottomLeft" activeCell="B5" sqref="B5"/>
      <selection pane="bottomRight" activeCell="L37" sqref="L37"/>
    </sheetView>
  </sheetViews>
  <sheetFormatPr defaultColWidth="9" defaultRowHeight="11.5" x14ac:dyDescent="0.35"/>
  <cols>
    <col min="1" max="3" width="9" style="114"/>
    <col min="4" max="4" width="33.81640625" style="114" customWidth="1"/>
    <col min="5" max="5" width="12.54296875" style="114" bestFit="1" customWidth="1"/>
    <col min="6" max="6" width="14.7265625" style="114" customWidth="1"/>
    <col min="7" max="7" width="10.7265625" style="114" bestFit="1" customWidth="1"/>
    <col min="8" max="9" width="10.7265625" style="114" customWidth="1"/>
    <col min="10" max="11" width="9.453125" style="115" customWidth="1"/>
    <col min="12" max="12" width="10.7265625" style="115" bestFit="1" customWidth="1"/>
    <col min="13" max="13" width="9.453125" style="115" customWidth="1"/>
    <col min="14" max="14" width="10.7265625" style="114" customWidth="1"/>
    <col min="15" max="15" width="10" style="114" customWidth="1"/>
    <col min="16" max="16" width="12.26953125" style="114" customWidth="1"/>
    <col min="17" max="17" width="9.453125" style="115" customWidth="1"/>
    <col min="18" max="18" width="112.1796875" style="114" bestFit="1" customWidth="1"/>
    <col min="19" max="16384" width="9" style="114"/>
  </cols>
  <sheetData>
    <row r="1" spans="1:18" ht="12.5" x14ac:dyDescent="0.35">
      <c r="A1" s="113" t="s">
        <v>202</v>
      </c>
    </row>
    <row r="2" spans="1:18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7"/>
      <c r="K2" s="117"/>
      <c r="L2" s="117"/>
      <c r="M2" s="117"/>
      <c r="N2" s="116"/>
      <c r="O2" s="116"/>
      <c r="P2" s="116"/>
      <c r="Q2" s="117"/>
      <c r="R2" s="116"/>
    </row>
    <row r="3" spans="1:18" x14ac:dyDescent="0.35">
      <c r="A3" s="116"/>
      <c r="B3" s="448" t="s">
        <v>203</v>
      </c>
      <c r="C3" s="448" t="s">
        <v>204</v>
      </c>
      <c r="D3" s="448" t="s">
        <v>205</v>
      </c>
      <c r="E3" s="118"/>
      <c r="F3" s="118"/>
      <c r="G3" s="118"/>
      <c r="H3" s="118"/>
      <c r="I3" s="118"/>
      <c r="J3" s="119"/>
      <c r="K3" s="119"/>
      <c r="L3" s="119"/>
      <c r="M3" s="119"/>
      <c r="N3" s="118"/>
      <c r="O3" s="119"/>
      <c r="P3" s="119"/>
      <c r="Q3" s="119"/>
      <c r="R3" s="116"/>
    </row>
    <row r="4" spans="1:18" ht="35" thickBot="1" x14ac:dyDescent="0.4">
      <c r="A4" s="120" t="s">
        <v>206</v>
      </c>
      <c r="B4" s="449"/>
      <c r="C4" s="449"/>
      <c r="D4" s="449"/>
      <c r="E4" s="121" t="s">
        <v>207</v>
      </c>
      <c r="F4" s="121" t="s">
        <v>208</v>
      </c>
      <c r="G4" s="121" t="s">
        <v>209</v>
      </c>
      <c r="H4" s="121" t="s">
        <v>320</v>
      </c>
      <c r="I4" s="121" t="s">
        <v>178</v>
      </c>
      <c r="J4" s="121" t="s">
        <v>316</v>
      </c>
      <c r="K4" s="121" t="s">
        <v>317</v>
      </c>
      <c r="L4" s="121" t="s">
        <v>318</v>
      </c>
      <c r="M4" s="121" t="s">
        <v>319</v>
      </c>
      <c r="N4" s="121"/>
      <c r="O4" s="120" t="s">
        <v>211</v>
      </c>
      <c r="P4" s="122" t="s">
        <v>212</v>
      </c>
      <c r="Q4" s="120" t="s">
        <v>213</v>
      </c>
      <c r="R4" s="120" t="s">
        <v>214</v>
      </c>
    </row>
    <row r="5" spans="1:18" ht="24" customHeight="1" x14ac:dyDescent="0.35">
      <c r="A5" s="123">
        <v>1</v>
      </c>
      <c r="B5" s="447" t="s">
        <v>215</v>
      </c>
      <c r="C5" s="124" t="s">
        <v>216</v>
      </c>
      <c r="D5" s="124" t="s">
        <v>217</v>
      </c>
      <c r="E5" s="125"/>
      <c r="F5" s="126">
        <v>42000</v>
      </c>
      <c r="G5" s="126">
        <f t="shared" ref="G5:G10" si="0">SUM(E5:F5)</f>
        <v>42000</v>
      </c>
      <c r="H5" s="143"/>
      <c r="I5" s="143"/>
      <c r="N5" s="143"/>
      <c r="O5" s="123"/>
      <c r="P5" s="123"/>
      <c r="Q5" s="115" t="s">
        <v>218</v>
      </c>
      <c r="R5" s="114" t="s">
        <v>219</v>
      </c>
    </row>
    <row r="6" spans="1:18" ht="41.15" customHeight="1" x14ac:dyDescent="0.35">
      <c r="A6" s="123">
        <f t="shared" ref="A6:A28" si="1">1+A5</f>
        <v>2</v>
      </c>
      <c r="B6" s="447"/>
      <c r="C6" s="127" t="s">
        <v>220</v>
      </c>
      <c r="D6" s="127" t="s">
        <v>221</v>
      </c>
      <c r="E6" s="128">
        <v>125000</v>
      </c>
      <c r="F6" s="129"/>
      <c r="G6" s="126">
        <f t="shared" si="0"/>
        <v>125000</v>
      </c>
      <c r="H6" s="154">
        <v>0.41</v>
      </c>
      <c r="I6" s="154">
        <v>0.59</v>
      </c>
      <c r="J6" s="155">
        <f t="shared" ref="J6:K8" si="2">$E6*H6</f>
        <v>51250</v>
      </c>
      <c r="K6" s="155">
        <f t="shared" si="2"/>
        <v>73750</v>
      </c>
      <c r="N6" s="143"/>
      <c r="O6" s="123" t="s">
        <v>222</v>
      </c>
      <c r="P6" s="123"/>
      <c r="Q6" s="130" t="s">
        <v>210</v>
      </c>
      <c r="R6" s="131" t="s">
        <v>223</v>
      </c>
    </row>
    <row r="7" spans="1:18" ht="24" customHeight="1" x14ac:dyDescent="0.35">
      <c r="A7" s="123">
        <f t="shared" si="1"/>
        <v>3</v>
      </c>
      <c r="B7" s="447"/>
      <c r="C7" s="127" t="s">
        <v>224</v>
      </c>
      <c r="D7" s="127" t="s">
        <v>225</v>
      </c>
      <c r="E7" s="128">
        <v>170000</v>
      </c>
      <c r="F7" s="129"/>
      <c r="G7" s="126">
        <f t="shared" si="0"/>
        <v>170000</v>
      </c>
      <c r="H7" s="154">
        <v>0.41</v>
      </c>
      <c r="I7" s="154">
        <v>0.59</v>
      </c>
      <c r="J7" s="155">
        <f t="shared" si="2"/>
        <v>69700</v>
      </c>
      <c r="K7" s="155">
        <f t="shared" si="2"/>
        <v>100300</v>
      </c>
      <c r="N7" s="143"/>
      <c r="O7" s="123" t="s">
        <v>222</v>
      </c>
      <c r="P7" s="123"/>
      <c r="Q7" s="130" t="s">
        <v>210</v>
      </c>
      <c r="R7" s="131" t="s">
        <v>226</v>
      </c>
    </row>
    <row r="8" spans="1:18" ht="24" customHeight="1" x14ac:dyDescent="0.35">
      <c r="A8" s="123">
        <f t="shared" si="1"/>
        <v>4</v>
      </c>
      <c r="B8" s="446"/>
      <c r="C8" s="127" t="s">
        <v>227</v>
      </c>
      <c r="D8" s="127" t="s">
        <v>228</v>
      </c>
      <c r="E8" s="128">
        <v>125000</v>
      </c>
      <c r="F8" s="129"/>
      <c r="G8" s="126">
        <f t="shared" si="0"/>
        <v>125000</v>
      </c>
      <c r="H8" s="154">
        <v>0.41</v>
      </c>
      <c r="I8" s="154">
        <v>0.59</v>
      </c>
      <c r="J8" s="155">
        <f t="shared" si="2"/>
        <v>51250</v>
      </c>
      <c r="K8" s="155">
        <f t="shared" si="2"/>
        <v>73750</v>
      </c>
      <c r="N8" s="143"/>
      <c r="O8" s="123" t="s">
        <v>222</v>
      </c>
      <c r="P8" s="123"/>
      <c r="Q8" s="130" t="s">
        <v>210</v>
      </c>
      <c r="R8" s="131" t="s">
        <v>229</v>
      </c>
    </row>
    <row r="9" spans="1:18" ht="24" customHeight="1" x14ac:dyDescent="0.35">
      <c r="A9" s="123">
        <f t="shared" si="1"/>
        <v>5</v>
      </c>
      <c r="B9" s="445" t="s">
        <v>230</v>
      </c>
      <c r="C9" s="127" t="s">
        <v>231</v>
      </c>
      <c r="D9" s="127" t="s">
        <v>232</v>
      </c>
      <c r="E9" s="132"/>
      <c r="F9" s="132">
        <v>30000</v>
      </c>
      <c r="G9" s="126">
        <f t="shared" si="0"/>
        <v>30000</v>
      </c>
      <c r="H9" s="143"/>
      <c r="I9" s="143"/>
      <c r="N9" s="143"/>
      <c r="O9" s="123"/>
      <c r="P9" s="123"/>
      <c r="Q9" s="115" t="s">
        <v>218</v>
      </c>
      <c r="R9" s="114" t="s">
        <v>233</v>
      </c>
    </row>
    <row r="10" spans="1:18" ht="50.15" customHeight="1" x14ac:dyDescent="0.35">
      <c r="A10" s="123">
        <f t="shared" si="1"/>
        <v>6</v>
      </c>
      <c r="B10" s="447"/>
      <c r="C10" s="127" t="s">
        <v>231</v>
      </c>
      <c r="D10" s="127" t="s">
        <v>234</v>
      </c>
      <c r="E10" s="133"/>
      <c r="F10" s="132">
        <v>240000</v>
      </c>
      <c r="G10" s="126">
        <f t="shared" si="0"/>
        <v>240000</v>
      </c>
      <c r="H10" s="143"/>
      <c r="I10" s="143"/>
      <c r="N10" s="143"/>
      <c r="O10" s="123"/>
      <c r="P10" s="123"/>
      <c r="Q10" s="115" t="s">
        <v>218</v>
      </c>
      <c r="R10" s="131" t="s">
        <v>235</v>
      </c>
    </row>
    <row r="11" spans="1:18" ht="31" customHeight="1" x14ac:dyDescent="0.35">
      <c r="A11" s="123">
        <f t="shared" si="1"/>
        <v>7</v>
      </c>
      <c r="B11" s="447"/>
      <c r="C11" s="127" t="s">
        <v>236</v>
      </c>
      <c r="D11" s="127" t="s">
        <v>237</v>
      </c>
      <c r="E11" s="134" t="s">
        <v>189</v>
      </c>
      <c r="F11" s="127" t="s">
        <v>189</v>
      </c>
      <c r="G11" s="126" t="s">
        <v>189</v>
      </c>
      <c r="H11" s="143"/>
      <c r="I11" s="143"/>
      <c r="N11" s="143"/>
      <c r="O11" s="123"/>
      <c r="P11" s="123"/>
      <c r="Q11" s="115" t="s">
        <v>218</v>
      </c>
      <c r="R11" s="131" t="s">
        <v>238</v>
      </c>
    </row>
    <row r="12" spans="1:18" ht="36" customHeight="1" x14ac:dyDescent="0.35">
      <c r="A12" s="123">
        <f t="shared" si="1"/>
        <v>8</v>
      </c>
      <c r="B12" s="447"/>
      <c r="C12" s="127" t="s">
        <v>236</v>
      </c>
      <c r="D12" s="127" t="s">
        <v>239</v>
      </c>
      <c r="E12" s="133"/>
      <c r="F12" s="132">
        <v>20000</v>
      </c>
      <c r="G12" s="126">
        <f t="shared" ref="G12:G22" si="3">SUM(E12:F12)</f>
        <v>20000</v>
      </c>
      <c r="H12" s="143"/>
      <c r="I12" s="143"/>
      <c r="N12" s="143"/>
      <c r="O12" s="123"/>
      <c r="P12" s="123"/>
      <c r="Q12" s="115" t="s">
        <v>218</v>
      </c>
      <c r="R12" s="131" t="s">
        <v>240</v>
      </c>
    </row>
    <row r="13" spans="1:18" ht="31" customHeight="1" x14ac:dyDescent="0.35">
      <c r="A13" s="123">
        <f t="shared" si="1"/>
        <v>9</v>
      </c>
      <c r="B13" s="446"/>
      <c r="C13" s="127" t="s">
        <v>231</v>
      </c>
      <c r="D13" s="127" t="s">
        <v>241</v>
      </c>
      <c r="E13" s="133"/>
      <c r="F13" s="132">
        <v>360000</v>
      </c>
      <c r="G13" s="126">
        <f t="shared" si="3"/>
        <v>360000</v>
      </c>
      <c r="H13" s="143"/>
      <c r="I13" s="143"/>
      <c r="N13" s="143"/>
      <c r="O13" s="123"/>
      <c r="P13" s="123"/>
      <c r="Q13" s="115" t="s">
        <v>218</v>
      </c>
      <c r="R13" s="131" t="s">
        <v>242</v>
      </c>
    </row>
    <row r="14" spans="1:18" ht="24" customHeight="1" x14ac:dyDescent="0.35">
      <c r="A14" s="123">
        <f t="shared" si="1"/>
        <v>10</v>
      </c>
      <c r="B14" s="445" t="s">
        <v>243</v>
      </c>
      <c r="C14" s="127" t="s">
        <v>244</v>
      </c>
      <c r="D14" s="127" t="s">
        <v>245</v>
      </c>
      <c r="E14" s="133"/>
      <c r="F14" s="132">
        <v>40000</v>
      </c>
      <c r="G14" s="126">
        <f t="shared" si="3"/>
        <v>40000</v>
      </c>
      <c r="H14" s="143"/>
      <c r="I14" s="143"/>
      <c r="N14" s="143"/>
      <c r="O14" s="123"/>
      <c r="P14" s="123"/>
      <c r="Q14" s="115" t="s">
        <v>218</v>
      </c>
      <c r="R14" s="114" t="s">
        <v>246</v>
      </c>
    </row>
    <row r="15" spans="1:18" ht="24" customHeight="1" x14ac:dyDescent="0.35">
      <c r="A15" s="123">
        <f t="shared" si="1"/>
        <v>11</v>
      </c>
      <c r="B15" s="447"/>
      <c r="C15" s="127" t="s">
        <v>247</v>
      </c>
      <c r="D15" s="135" t="s">
        <v>248</v>
      </c>
      <c r="E15" s="136">
        <v>16000</v>
      </c>
      <c r="F15" s="132">
        <v>8000</v>
      </c>
      <c r="G15" s="126">
        <f t="shared" si="3"/>
        <v>24000</v>
      </c>
      <c r="H15" s="154">
        <v>1</v>
      </c>
      <c r="I15" s="154"/>
      <c r="L15" s="156">
        <f>H15*$E15</f>
        <v>16000</v>
      </c>
      <c r="M15" s="156">
        <f>I15*$E15</f>
        <v>0</v>
      </c>
      <c r="N15" s="143"/>
      <c r="O15" s="123">
        <v>100</v>
      </c>
      <c r="P15" s="123" t="s">
        <v>249</v>
      </c>
      <c r="Q15" s="115" t="s">
        <v>218</v>
      </c>
      <c r="R15" s="137" t="s">
        <v>250</v>
      </c>
    </row>
    <row r="16" spans="1:18" ht="78" customHeight="1" x14ac:dyDescent="0.35">
      <c r="A16" s="123">
        <f t="shared" si="1"/>
        <v>12</v>
      </c>
      <c r="B16" s="447"/>
      <c r="C16" s="127" t="s">
        <v>251</v>
      </c>
      <c r="D16" s="135" t="s">
        <v>252</v>
      </c>
      <c r="E16" s="136">
        <v>413500</v>
      </c>
      <c r="F16" s="132">
        <v>7500</v>
      </c>
      <c r="G16" s="126">
        <f t="shared" si="3"/>
        <v>421000</v>
      </c>
      <c r="H16" s="154">
        <v>1</v>
      </c>
      <c r="I16" s="154"/>
      <c r="L16" s="156">
        <f>H16*$E16</f>
        <v>413500</v>
      </c>
      <c r="M16" s="156">
        <f>I16*$E16</f>
        <v>0</v>
      </c>
      <c r="N16" s="143"/>
      <c r="O16" s="123">
        <v>100</v>
      </c>
      <c r="P16" s="123" t="s">
        <v>249</v>
      </c>
      <c r="Q16" s="115" t="s">
        <v>218</v>
      </c>
      <c r="R16" s="137" t="s">
        <v>253</v>
      </c>
    </row>
    <row r="17" spans="1:18" ht="24" customHeight="1" x14ac:dyDescent="0.35">
      <c r="A17" s="123">
        <f t="shared" si="1"/>
        <v>13</v>
      </c>
      <c r="B17" s="446"/>
      <c r="C17" s="127" t="s">
        <v>254</v>
      </c>
      <c r="D17" s="135" t="s">
        <v>255</v>
      </c>
      <c r="E17" s="128">
        <v>286000</v>
      </c>
      <c r="F17" s="138"/>
      <c r="G17" s="126">
        <f t="shared" si="3"/>
        <v>286000</v>
      </c>
      <c r="H17" s="154">
        <v>0.41</v>
      </c>
      <c r="I17" s="154">
        <v>0.59</v>
      </c>
      <c r="J17" s="155">
        <f>$E17*H17</f>
        <v>117260</v>
      </c>
      <c r="K17" s="155">
        <f>$E17*I17</f>
        <v>168740</v>
      </c>
      <c r="N17" s="143"/>
      <c r="O17" s="123" t="s">
        <v>222</v>
      </c>
      <c r="P17" s="123"/>
      <c r="Q17" s="130" t="s">
        <v>210</v>
      </c>
      <c r="R17" s="131" t="s">
        <v>256</v>
      </c>
    </row>
    <row r="18" spans="1:18" ht="24" customHeight="1" x14ac:dyDescent="0.35">
      <c r="A18" s="123">
        <f t="shared" si="1"/>
        <v>14</v>
      </c>
      <c r="B18" s="445" t="s">
        <v>257</v>
      </c>
      <c r="C18" s="127" t="s">
        <v>258</v>
      </c>
      <c r="D18" s="135" t="s">
        <v>259</v>
      </c>
      <c r="E18" s="136">
        <v>850000</v>
      </c>
      <c r="F18" s="138"/>
      <c r="G18" s="126">
        <f t="shared" si="3"/>
        <v>850000</v>
      </c>
      <c r="H18" s="154">
        <v>1</v>
      </c>
      <c r="I18" s="154"/>
      <c r="L18" s="156">
        <f t="shared" ref="L18:L25" si="4">H18*$E18</f>
        <v>850000</v>
      </c>
      <c r="M18" s="156">
        <f t="shared" ref="M18:M25" si="5">I18*$E18</f>
        <v>0</v>
      </c>
      <c r="N18" s="143"/>
      <c r="O18" s="123">
        <v>100</v>
      </c>
      <c r="P18" s="123" t="s">
        <v>249</v>
      </c>
      <c r="Q18" s="115" t="s">
        <v>218</v>
      </c>
      <c r="R18" s="114" t="s">
        <v>260</v>
      </c>
    </row>
    <row r="19" spans="1:18" ht="24" customHeight="1" x14ac:dyDescent="0.35">
      <c r="A19" s="123">
        <f t="shared" si="1"/>
        <v>15</v>
      </c>
      <c r="B19" s="447"/>
      <c r="C19" s="127" t="s">
        <v>258</v>
      </c>
      <c r="D19" s="135" t="s">
        <v>261</v>
      </c>
      <c r="E19" s="136">
        <v>250000</v>
      </c>
      <c r="F19" s="138"/>
      <c r="G19" s="126">
        <f t="shared" si="3"/>
        <v>250000</v>
      </c>
      <c r="H19" s="154">
        <v>1</v>
      </c>
      <c r="I19" s="154"/>
      <c r="L19" s="156">
        <f t="shared" si="4"/>
        <v>250000</v>
      </c>
      <c r="M19" s="156">
        <f t="shared" si="5"/>
        <v>0</v>
      </c>
      <c r="N19" s="143"/>
      <c r="O19" s="123">
        <v>100</v>
      </c>
      <c r="P19" s="123" t="s">
        <v>249</v>
      </c>
      <c r="Q19" s="115" t="s">
        <v>218</v>
      </c>
      <c r="R19" s="114" t="s">
        <v>262</v>
      </c>
    </row>
    <row r="20" spans="1:18" ht="24" customHeight="1" x14ac:dyDescent="0.35">
      <c r="A20" s="123">
        <f t="shared" si="1"/>
        <v>16</v>
      </c>
      <c r="B20" s="447"/>
      <c r="C20" s="127" t="s">
        <v>258</v>
      </c>
      <c r="D20" s="135" t="s">
        <v>263</v>
      </c>
      <c r="E20" s="136">
        <v>250000</v>
      </c>
      <c r="F20" s="138"/>
      <c r="G20" s="126">
        <f t="shared" si="3"/>
        <v>250000</v>
      </c>
      <c r="H20" s="154">
        <v>1</v>
      </c>
      <c r="I20" s="154"/>
      <c r="L20" s="156">
        <f t="shared" si="4"/>
        <v>250000</v>
      </c>
      <c r="M20" s="156">
        <f t="shared" si="5"/>
        <v>0</v>
      </c>
      <c r="N20" s="143"/>
      <c r="O20" s="123">
        <v>100</v>
      </c>
      <c r="P20" s="123" t="s">
        <v>249</v>
      </c>
      <c r="Q20" s="115" t="s">
        <v>218</v>
      </c>
      <c r="R20" s="114" t="s">
        <v>262</v>
      </c>
    </row>
    <row r="21" spans="1:18" ht="24" customHeight="1" x14ac:dyDescent="0.35">
      <c r="A21" s="123">
        <f t="shared" si="1"/>
        <v>17</v>
      </c>
      <c r="B21" s="447"/>
      <c r="C21" s="127" t="s">
        <v>258</v>
      </c>
      <c r="D21" s="135" t="s">
        <v>264</v>
      </c>
      <c r="E21" s="136">
        <v>250000</v>
      </c>
      <c r="F21" s="138"/>
      <c r="G21" s="126">
        <f t="shared" si="3"/>
        <v>250000</v>
      </c>
      <c r="H21" s="154">
        <v>1</v>
      </c>
      <c r="I21" s="154"/>
      <c r="L21" s="156">
        <f t="shared" si="4"/>
        <v>250000</v>
      </c>
      <c r="M21" s="156">
        <f t="shared" si="5"/>
        <v>0</v>
      </c>
      <c r="N21" s="143"/>
      <c r="O21" s="123">
        <v>100</v>
      </c>
      <c r="P21" s="123" t="s">
        <v>249</v>
      </c>
      <c r="Q21" s="115" t="s">
        <v>218</v>
      </c>
      <c r="R21" s="114" t="s">
        <v>262</v>
      </c>
    </row>
    <row r="22" spans="1:18" ht="24" customHeight="1" x14ac:dyDescent="0.35">
      <c r="A22" s="123">
        <f t="shared" si="1"/>
        <v>18</v>
      </c>
      <c r="B22" s="447"/>
      <c r="C22" s="127" t="s">
        <v>258</v>
      </c>
      <c r="D22" s="135" t="s">
        <v>265</v>
      </c>
      <c r="E22" s="136">
        <v>400000</v>
      </c>
      <c r="F22" s="138"/>
      <c r="G22" s="126">
        <f t="shared" si="3"/>
        <v>400000</v>
      </c>
      <c r="H22" s="154">
        <v>1</v>
      </c>
      <c r="I22" s="154"/>
      <c r="L22" s="156">
        <f t="shared" si="4"/>
        <v>400000</v>
      </c>
      <c r="M22" s="156">
        <f t="shared" si="5"/>
        <v>0</v>
      </c>
      <c r="N22" s="143"/>
      <c r="O22" s="123">
        <v>100</v>
      </c>
      <c r="P22" s="123" t="s">
        <v>249</v>
      </c>
      <c r="Q22" s="115" t="s">
        <v>218</v>
      </c>
      <c r="R22" s="114" t="s">
        <v>262</v>
      </c>
    </row>
    <row r="23" spans="1:18" ht="31" customHeight="1" x14ac:dyDescent="0.35">
      <c r="A23" s="123">
        <f t="shared" si="1"/>
        <v>19</v>
      </c>
      <c r="B23" s="447"/>
      <c r="C23" s="135" t="s">
        <v>266</v>
      </c>
      <c r="D23" s="135" t="s">
        <v>267</v>
      </c>
      <c r="E23" s="139" t="s">
        <v>268</v>
      </c>
      <c r="F23" s="139" t="s">
        <v>268</v>
      </c>
      <c r="G23" s="139" t="s">
        <v>268</v>
      </c>
      <c r="H23" s="154"/>
      <c r="I23" s="154"/>
      <c r="L23" s="156"/>
      <c r="M23" s="156"/>
      <c r="N23" s="151"/>
      <c r="O23" s="123">
        <v>100</v>
      </c>
      <c r="P23" s="123" t="s">
        <v>187</v>
      </c>
      <c r="Q23" s="115" t="s">
        <v>218</v>
      </c>
      <c r="R23" s="131" t="s">
        <v>269</v>
      </c>
    </row>
    <row r="24" spans="1:18" ht="24" customHeight="1" x14ac:dyDescent="0.35">
      <c r="A24" s="123">
        <f t="shared" si="1"/>
        <v>20</v>
      </c>
      <c r="B24" s="447"/>
      <c r="C24" s="127" t="s">
        <v>266</v>
      </c>
      <c r="D24" s="135" t="s">
        <v>270</v>
      </c>
      <c r="E24" s="136">
        <v>400000</v>
      </c>
      <c r="G24" s="126">
        <f>SUM(E24:E24)</f>
        <v>400000</v>
      </c>
      <c r="H24" s="154">
        <v>1</v>
      </c>
      <c r="I24" s="154"/>
      <c r="L24" s="156">
        <f t="shared" si="4"/>
        <v>400000</v>
      </c>
      <c r="M24" s="156">
        <f t="shared" si="5"/>
        <v>0</v>
      </c>
      <c r="N24" s="143"/>
      <c r="O24" s="123">
        <v>100</v>
      </c>
      <c r="P24" s="123" t="s">
        <v>249</v>
      </c>
      <c r="Q24" s="115" t="s">
        <v>218</v>
      </c>
      <c r="R24" s="137" t="s">
        <v>271</v>
      </c>
    </row>
    <row r="25" spans="1:18" ht="24" customHeight="1" x14ac:dyDescent="0.35">
      <c r="A25" s="123">
        <f t="shared" si="1"/>
        <v>21</v>
      </c>
      <c r="B25" s="446"/>
      <c r="C25" s="127" t="s">
        <v>266</v>
      </c>
      <c r="D25" s="135" t="s">
        <v>272</v>
      </c>
      <c r="E25" s="136">
        <v>250000</v>
      </c>
      <c r="G25" s="126">
        <f>SUM(E25:E25)</f>
        <v>250000</v>
      </c>
      <c r="H25" s="154"/>
      <c r="I25" s="154">
        <v>1</v>
      </c>
      <c r="L25" s="156">
        <f t="shared" si="4"/>
        <v>0</v>
      </c>
      <c r="M25" s="156">
        <f t="shared" si="5"/>
        <v>250000</v>
      </c>
      <c r="N25" s="143"/>
      <c r="O25" s="123">
        <v>100</v>
      </c>
      <c r="P25" s="123" t="s">
        <v>187</v>
      </c>
      <c r="Q25" s="115" t="s">
        <v>218</v>
      </c>
      <c r="R25" s="114" t="s">
        <v>273</v>
      </c>
    </row>
    <row r="26" spans="1:18" ht="24" customHeight="1" x14ac:dyDescent="0.35">
      <c r="A26" s="123">
        <f t="shared" si="1"/>
        <v>22</v>
      </c>
      <c r="B26" s="445" t="s">
        <v>274</v>
      </c>
      <c r="C26" s="127" t="s">
        <v>275</v>
      </c>
      <c r="D26" s="127" t="s">
        <v>276</v>
      </c>
      <c r="E26" s="133"/>
      <c r="F26" s="132">
        <v>650000</v>
      </c>
      <c r="G26" s="126">
        <f>SUM(E26:F26)</f>
        <v>650000</v>
      </c>
      <c r="H26" s="143"/>
      <c r="I26" s="143"/>
      <c r="N26" s="143"/>
      <c r="O26" s="123"/>
      <c r="P26" s="123"/>
      <c r="Q26" s="115" t="s">
        <v>218</v>
      </c>
      <c r="R26" s="114" t="s">
        <v>219</v>
      </c>
    </row>
    <row r="27" spans="1:18" ht="24" customHeight="1" x14ac:dyDescent="0.35">
      <c r="A27" s="123">
        <f t="shared" si="1"/>
        <v>23</v>
      </c>
      <c r="B27" s="446"/>
      <c r="C27" s="127" t="s">
        <v>277</v>
      </c>
      <c r="D27" s="127" t="s">
        <v>278</v>
      </c>
      <c r="E27" s="133"/>
      <c r="F27" s="132">
        <v>250000</v>
      </c>
      <c r="G27" s="126">
        <f>SUM(E27:F27)</f>
        <v>250000</v>
      </c>
      <c r="H27" s="143"/>
      <c r="I27" s="143"/>
      <c r="N27" s="143"/>
      <c r="O27" s="123"/>
      <c r="P27" s="123"/>
      <c r="Q27" s="115" t="s">
        <v>218</v>
      </c>
      <c r="R27" s="114" t="s">
        <v>219</v>
      </c>
    </row>
    <row r="28" spans="1:18" ht="39.75" customHeight="1" x14ac:dyDescent="0.35">
      <c r="A28" s="123">
        <f t="shared" si="1"/>
        <v>24</v>
      </c>
      <c r="B28" s="127" t="s">
        <v>279</v>
      </c>
      <c r="C28" s="127" t="s">
        <v>280</v>
      </c>
      <c r="D28" s="127" t="s">
        <v>281</v>
      </c>
      <c r="E28" s="140">
        <v>420000</v>
      </c>
      <c r="F28" s="132">
        <v>180000</v>
      </c>
      <c r="G28" s="126">
        <f>SUM(E28:F28)</f>
        <v>600000</v>
      </c>
      <c r="H28" s="154">
        <v>0.41</v>
      </c>
      <c r="I28" s="154">
        <v>0.59</v>
      </c>
      <c r="J28" s="155">
        <f>$E28*H28</f>
        <v>172200</v>
      </c>
      <c r="K28" s="155">
        <f>$E28*I28</f>
        <v>247800</v>
      </c>
      <c r="N28" s="143"/>
      <c r="O28" s="123" t="s">
        <v>222</v>
      </c>
      <c r="Q28" s="130" t="s">
        <v>210</v>
      </c>
      <c r="R28" s="131" t="s">
        <v>282</v>
      </c>
    </row>
    <row r="29" spans="1:18" ht="24" customHeight="1" x14ac:dyDescent="0.35">
      <c r="A29" s="123">
        <v>25</v>
      </c>
      <c r="B29" s="445" t="s">
        <v>283</v>
      </c>
      <c r="C29" s="141" t="s">
        <v>284</v>
      </c>
      <c r="D29" s="141" t="s">
        <v>285</v>
      </c>
      <c r="E29" s="142">
        <v>177500</v>
      </c>
      <c r="F29" s="143">
        <v>5500</v>
      </c>
      <c r="G29" s="126">
        <f>SUM(E29:F29)</f>
        <v>183000</v>
      </c>
      <c r="H29" s="154">
        <v>1</v>
      </c>
      <c r="I29" s="143"/>
      <c r="L29" s="156">
        <f t="shared" ref="L29" si="6">H29*$E29</f>
        <v>177500</v>
      </c>
      <c r="M29" s="156">
        <f t="shared" ref="M29" si="7">I29*$E29</f>
        <v>0</v>
      </c>
      <c r="N29" s="143"/>
      <c r="O29" s="123">
        <v>100</v>
      </c>
      <c r="P29" s="123" t="s">
        <v>249</v>
      </c>
      <c r="Q29" s="115" t="s">
        <v>218</v>
      </c>
      <c r="R29" s="131" t="s">
        <v>286</v>
      </c>
    </row>
    <row r="30" spans="1:18" ht="24" customHeight="1" x14ac:dyDescent="0.35">
      <c r="A30" s="123">
        <v>26</v>
      </c>
      <c r="B30" s="447"/>
      <c r="C30" s="141" t="s">
        <v>284</v>
      </c>
      <c r="D30" s="141" t="s">
        <v>287</v>
      </c>
      <c r="E30" s="118" t="s">
        <v>189</v>
      </c>
      <c r="F30" s="118" t="s">
        <v>189</v>
      </c>
      <c r="G30" s="118" t="s">
        <v>189</v>
      </c>
      <c r="H30" s="118"/>
      <c r="I30" s="118"/>
      <c r="N30" s="118"/>
      <c r="O30" s="123"/>
      <c r="P30" s="123"/>
      <c r="Q30" s="115" t="s">
        <v>218</v>
      </c>
      <c r="R30" s="131" t="s">
        <v>288</v>
      </c>
    </row>
    <row r="31" spans="1:18" ht="24" customHeight="1" x14ac:dyDescent="0.35">
      <c r="A31" s="123">
        <v>27</v>
      </c>
      <c r="B31" s="447"/>
      <c r="C31" s="141" t="s">
        <v>289</v>
      </c>
      <c r="D31" s="141" t="s">
        <v>290</v>
      </c>
      <c r="E31" s="118"/>
      <c r="F31" s="143">
        <v>318000</v>
      </c>
      <c r="G31" s="126">
        <f>SUM(E31:F31)</f>
        <v>318000</v>
      </c>
      <c r="H31" s="143"/>
      <c r="I31" s="143"/>
      <c r="N31" s="143"/>
      <c r="O31" s="123"/>
      <c r="P31" s="123"/>
      <c r="Q31" s="115" t="s">
        <v>218</v>
      </c>
      <c r="R31" s="131" t="s">
        <v>291</v>
      </c>
    </row>
    <row r="32" spans="1:18" ht="54" customHeight="1" x14ac:dyDescent="0.35">
      <c r="A32" s="123">
        <v>28</v>
      </c>
      <c r="B32" s="447"/>
      <c r="C32" s="141" t="s">
        <v>289</v>
      </c>
      <c r="D32" s="141" t="s">
        <v>292</v>
      </c>
      <c r="E32" s="143">
        <v>308000</v>
      </c>
      <c r="F32" s="129">
        <v>10000</v>
      </c>
      <c r="G32" s="126">
        <f>SUM(E32:F32)</f>
        <v>318000</v>
      </c>
      <c r="H32" s="154">
        <v>1</v>
      </c>
      <c r="I32" s="143"/>
      <c r="L32" s="156">
        <f t="shared" ref="L32:L33" si="8">H32*$E32</f>
        <v>308000</v>
      </c>
      <c r="M32" s="156">
        <f t="shared" ref="M32:M33" si="9">I32*$E32</f>
        <v>0</v>
      </c>
      <c r="N32" s="143"/>
      <c r="O32" s="123">
        <v>100</v>
      </c>
      <c r="P32" s="123" t="s">
        <v>249</v>
      </c>
      <c r="Q32" s="115" t="s">
        <v>218</v>
      </c>
      <c r="R32" s="131" t="s">
        <v>293</v>
      </c>
    </row>
    <row r="33" spans="1:18" ht="47.15" customHeight="1" x14ac:dyDescent="0.35">
      <c r="A33" s="123">
        <v>29</v>
      </c>
      <c r="B33" s="447"/>
      <c r="C33" s="141" t="s">
        <v>294</v>
      </c>
      <c r="D33" s="141" t="s">
        <v>295</v>
      </c>
      <c r="E33" s="144">
        <v>30000</v>
      </c>
      <c r="F33" s="143">
        <v>2000</v>
      </c>
      <c r="G33" s="126">
        <f>SUM(E33:F33)</f>
        <v>32000</v>
      </c>
      <c r="H33" s="154">
        <v>0.41</v>
      </c>
      <c r="I33" s="154">
        <v>0.59</v>
      </c>
      <c r="L33" s="156">
        <f t="shared" si="8"/>
        <v>12300</v>
      </c>
      <c r="M33" s="156">
        <f t="shared" si="9"/>
        <v>17700</v>
      </c>
      <c r="N33" s="143"/>
      <c r="O33" s="123" t="s">
        <v>222</v>
      </c>
      <c r="P33" s="123"/>
      <c r="Q33" s="115" t="s">
        <v>218</v>
      </c>
      <c r="R33" s="131" t="s">
        <v>296</v>
      </c>
    </row>
    <row r="34" spans="1:18" ht="51" customHeight="1" x14ac:dyDescent="0.35">
      <c r="A34" s="123">
        <v>30</v>
      </c>
      <c r="B34" s="447"/>
      <c r="C34" s="141" t="s">
        <v>294</v>
      </c>
      <c r="D34" s="141" t="s">
        <v>297</v>
      </c>
      <c r="E34" s="118"/>
      <c r="F34" s="143">
        <v>366000</v>
      </c>
      <c r="G34" s="126">
        <f>SUM(E34:F34)</f>
        <v>366000</v>
      </c>
      <c r="H34" s="143"/>
      <c r="I34" s="143"/>
      <c r="N34" s="143"/>
      <c r="O34" s="123"/>
      <c r="P34" s="123"/>
      <c r="Q34" s="115" t="s">
        <v>218</v>
      </c>
      <c r="R34" s="131" t="s">
        <v>298</v>
      </c>
    </row>
    <row r="35" spans="1:18" ht="24" customHeight="1" x14ac:dyDescent="0.35">
      <c r="A35" s="123">
        <v>31</v>
      </c>
      <c r="B35" s="447"/>
      <c r="C35" s="141" t="s">
        <v>294</v>
      </c>
      <c r="D35" s="141" t="s">
        <v>299</v>
      </c>
      <c r="E35" s="118"/>
      <c r="F35" s="143">
        <v>366000</v>
      </c>
      <c r="G35" s="126">
        <f>SUM(E35:F35)</f>
        <v>366000</v>
      </c>
      <c r="H35" s="143"/>
      <c r="I35" s="143"/>
      <c r="N35" s="143"/>
      <c r="O35" s="123"/>
      <c r="P35" s="123"/>
      <c r="Q35" s="115" t="s">
        <v>218</v>
      </c>
      <c r="R35" s="131" t="s">
        <v>300</v>
      </c>
    </row>
    <row r="36" spans="1:18" x14ac:dyDescent="0.35">
      <c r="G36" s="126"/>
      <c r="H36" s="143"/>
      <c r="I36" s="143"/>
      <c r="N36" s="143"/>
    </row>
    <row r="37" spans="1:18" ht="24" customHeight="1" thickBot="1" x14ac:dyDescent="0.4">
      <c r="B37" s="145"/>
      <c r="C37" s="145"/>
      <c r="D37" s="146" t="s">
        <v>209</v>
      </c>
      <c r="E37" s="147">
        <f>SUM(E5:E35)</f>
        <v>4721000</v>
      </c>
      <c r="F37" s="148">
        <f>SUM(F12:F35,F5:F10)</f>
        <v>2895000</v>
      </c>
      <c r="G37" s="149">
        <f>SUM(E37:F37)</f>
        <v>7616000</v>
      </c>
      <c r="H37" s="152"/>
      <c r="I37" s="152"/>
      <c r="J37" s="147">
        <f t="shared" ref="J37:M37" si="10">SUM(J5:J35)</f>
        <v>461660</v>
      </c>
      <c r="K37" s="147">
        <f t="shared" si="10"/>
        <v>664340</v>
      </c>
      <c r="L37" s="147">
        <f t="shared" si="10"/>
        <v>3327300</v>
      </c>
      <c r="M37" s="147">
        <f t="shared" si="10"/>
        <v>267700</v>
      </c>
      <c r="N37" s="152"/>
      <c r="R37" s="114" t="s">
        <v>301</v>
      </c>
    </row>
    <row r="38" spans="1:18" ht="12" thickTop="1" x14ac:dyDescent="0.35">
      <c r="G38" s="150"/>
      <c r="H38" s="150"/>
      <c r="I38" s="150"/>
      <c r="N38" s="150"/>
    </row>
    <row r="42" spans="1:18" ht="12" thickBot="1" x14ac:dyDescent="0.4">
      <c r="E42" s="147">
        <v>3668000</v>
      </c>
      <c r="F42" s="148">
        <v>4009000</v>
      </c>
      <c r="G42" s="148">
        <f>(F42+E42)</f>
        <v>7677000</v>
      </c>
      <c r="H42" s="153"/>
      <c r="I42" s="153"/>
      <c r="N42" s="153"/>
      <c r="R42" s="114" t="s">
        <v>302</v>
      </c>
    </row>
    <row r="43" spans="1:18" ht="12" thickTop="1" x14ac:dyDescent="0.35"/>
    <row r="44" spans="1:18" x14ac:dyDescent="0.35">
      <c r="E44" s="150">
        <f>(E42-E37)</f>
        <v>-1053000</v>
      </c>
      <c r="F44" s="150">
        <f>(F42-F37)</f>
        <v>1114000</v>
      </c>
      <c r="G44" s="150">
        <f>(G42-G37)</f>
        <v>61000</v>
      </c>
      <c r="H44" s="150"/>
      <c r="I44" s="150"/>
      <c r="N44" s="150"/>
      <c r="R44" s="114" t="s">
        <v>303</v>
      </c>
    </row>
    <row r="46" spans="1:18" x14ac:dyDescent="0.35">
      <c r="D46" s="114" t="s">
        <v>304</v>
      </c>
      <c r="E46" s="150">
        <v>125000</v>
      </c>
      <c r="F46" s="150">
        <v>-125000</v>
      </c>
    </row>
    <row r="47" spans="1:18" x14ac:dyDescent="0.35">
      <c r="D47" s="114" t="s">
        <v>305</v>
      </c>
      <c r="E47" s="150">
        <v>170000</v>
      </c>
      <c r="F47" s="150">
        <v>-170000</v>
      </c>
    </row>
    <row r="48" spans="1:18" x14ac:dyDescent="0.35">
      <c r="D48" s="114" t="s">
        <v>306</v>
      </c>
      <c r="E48" s="150">
        <v>125000</v>
      </c>
      <c r="F48" s="150">
        <v>-125000</v>
      </c>
    </row>
    <row r="49" spans="2:14" x14ac:dyDescent="0.35">
      <c r="D49" s="114" t="s">
        <v>307</v>
      </c>
      <c r="E49" s="150">
        <v>30000</v>
      </c>
      <c r="F49" s="150">
        <v>-30000</v>
      </c>
    </row>
    <row r="50" spans="2:14" x14ac:dyDescent="0.35">
      <c r="D50" s="114" t="s">
        <v>308</v>
      </c>
      <c r="E50" s="150">
        <v>308000</v>
      </c>
      <c r="F50" s="150">
        <v>-308000</v>
      </c>
    </row>
    <row r="51" spans="2:14" x14ac:dyDescent="0.35">
      <c r="D51" s="114" t="s">
        <v>309</v>
      </c>
      <c r="E51" s="150">
        <v>177500</v>
      </c>
      <c r="F51" s="150">
        <v>-177500</v>
      </c>
    </row>
    <row r="52" spans="2:14" x14ac:dyDescent="0.35">
      <c r="D52" s="114" t="s">
        <v>310</v>
      </c>
      <c r="E52" s="150">
        <v>117500</v>
      </c>
      <c r="F52" s="150">
        <v>-117500</v>
      </c>
    </row>
    <row r="53" spans="2:14" x14ac:dyDescent="0.35">
      <c r="D53" s="114" t="s">
        <v>311</v>
      </c>
      <c r="F53" s="150">
        <v>-61000</v>
      </c>
    </row>
    <row r="54" spans="2:14" x14ac:dyDescent="0.35">
      <c r="F54" s="150"/>
    </row>
    <row r="55" spans="2:14" x14ac:dyDescent="0.35">
      <c r="F55" s="150"/>
    </row>
    <row r="57" spans="2:14" x14ac:dyDescent="0.35">
      <c r="B57" s="114" t="s">
        <v>312</v>
      </c>
      <c r="D57" s="114" t="s">
        <v>313</v>
      </c>
    </row>
    <row r="60" spans="2:14" x14ac:dyDescent="0.35">
      <c r="E60" s="114" t="s">
        <v>314</v>
      </c>
      <c r="G60" s="150">
        <f>(E28+E17+E6+E7+E8)</f>
        <v>1126000</v>
      </c>
      <c r="H60" s="150"/>
      <c r="I60" s="150"/>
      <c r="N60" s="150"/>
    </row>
    <row r="61" spans="2:14" x14ac:dyDescent="0.35">
      <c r="E61" s="114" t="s">
        <v>315</v>
      </c>
      <c r="G61" s="150">
        <f>(E37-G60)</f>
        <v>3595000</v>
      </c>
      <c r="H61" s="150"/>
      <c r="I61" s="150"/>
      <c r="N61" s="150"/>
    </row>
  </sheetData>
  <mergeCells count="9">
    <mergeCell ref="B26:B27"/>
    <mergeCell ref="B29:B35"/>
    <mergeCell ref="B3:B4"/>
    <mergeCell ref="C3:C4"/>
    <mergeCell ref="D3:D4"/>
    <mergeCell ref="B5:B8"/>
    <mergeCell ref="B9:B13"/>
    <mergeCell ref="B14:B17"/>
    <mergeCell ref="B18:B25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238A-7791-4128-9C38-4B3140CCA82A}">
  <sheetPr>
    <pageSetUpPr fitToPage="1"/>
  </sheetPr>
  <dimension ref="A1:Z82"/>
  <sheetViews>
    <sheetView showGridLines="0" zoomScale="90" zoomScaleNormal="90" workbookViewId="0">
      <pane xSplit="6" ySplit="5" topLeftCell="G18" activePane="bottomRight" state="frozen"/>
      <selection pane="topRight" activeCell="G1" sqref="G1"/>
      <selection pane="bottomLeft" activeCell="A6" sqref="A6"/>
      <selection pane="bottomRight" activeCell="C63" sqref="C63"/>
    </sheetView>
  </sheetViews>
  <sheetFormatPr defaultColWidth="9.1796875" defaultRowHeight="15.5" outlineLevelRow="1" outlineLevelCol="1" x14ac:dyDescent="0.35"/>
  <cols>
    <col min="1" max="1" width="5.7265625" style="263" customWidth="1"/>
    <col min="2" max="2" width="11.26953125" style="270" customWidth="1"/>
    <col min="3" max="3" width="56.7265625" style="263" customWidth="1"/>
    <col min="4" max="4" width="14.26953125" style="263" customWidth="1"/>
    <col min="5" max="5" width="11.81640625" style="263" customWidth="1"/>
    <col min="6" max="6" width="10.26953125" style="263" bestFit="1" customWidth="1"/>
    <col min="7" max="8" width="10.26953125" style="263" customWidth="1"/>
    <col min="9" max="9" width="15.26953125" style="263" customWidth="1" outlineLevel="1"/>
    <col min="10" max="10" width="11.54296875" style="263" customWidth="1" outlineLevel="1"/>
    <col min="11" max="11" width="12.453125" style="263" customWidth="1" outlineLevel="1"/>
    <col min="12" max="12" width="16.26953125" style="263" customWidth="1" outlineLevel="1"/>
    <col min="13" max="13" width="17.7265625" style="269" customWidth="1" outlineLevel="1"/>
    <col min="14" max="14" width="13.54296875" style="269" customWidth="1" outlineLevel="1"/>
    <col min="15" max="15" width="14.7265625" style="263" customWidth="1"/>
    <col min="16" max="16" width="14.7265625" style="264" customWidth="1" outlineLevel="1"/>
    <col min="17" max="17" width="13.26953125" style="264" customWidth="1" outlineLevel="1"/>
    <col min="18" max="18" width="14.7265625" style="268" customWidth="1" outlineLevel="1"/>
    <col min="19" max="19" width="11.1796875" style="267" customWidth="1" outlineLevel="1"/>
    <col min="20" max="20" width="35.54296875" style="263" customWidth="1" outlineLevel="1"/>
    <col min="21" max="21" width="12.26953125" style="266" customWidth="1" outlineLevel="1"/>
    <col min="22" max="23" width="14.7265625" style="265" customWidth="1"/>
    <col min="24" max="24" width="14.7265625" style="264" customWidth="1"/>
    <col min="25" max="25" width="14.7265625" style="263" customWidth="1"/>
    <col min="26" max="26" width="6" style="263" customWidth="1"/>
    <col min="27" max="16384" width="9.1796875" style="263"/>
  </cols>
  <sheetData>
    <row r="1" spans="1:25" ht="18.5" x14ac:dyDescent="0.45">
      <c r="A1" s="7" t="s">
        <v>416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</row>
    <row r="2" spans="1:25" x14ac:dyDescent="0.35">
      <c r="A2" s="263" t="s">
        <v>415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25" x14ac:dyDescent="0.35">
      <c r="A3" s="263" t="s">
        <v>414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P3" s="338"/>
      <c r="Q3" s="338"/>
    </row>
    <row r="5" spans="1:25" ht="46.5" x14ac:dyDescent="0.35">
      <c r="A5" s="337" t="s">
        <v>413</v>
      </c>
      <c r="B5" s="336" t="s">
        <v>412</v>
      </c>
      <c r="C5" s="333" t="s">
        <v>411</v>
      </c>
      <c r="D5" s="333" t="s">
        <v>410</v>
      </c>
      <c r="E5" s="333" t="s">
        <v>409</v>
      </c>
      <c r="F5" s="333" t="s">
        <v>365</v>
      </c>
      <c r="G5" s="333" t="s">
        <v>408</v>
      </c>
      <c r="H5" s="333" t="s">
        <v>407</v>
      </c>
      <c r="I5" s="333" t="s">
        <v>46</v>
      </c>
      <c r="J5" s="333" t="s">
        <v>24</v>
      </c>
      <c r="K5" s="333" t="s">
        <v>25</v>
      </c>
      <c r="L5" s="333" t="s">
        <v>42</v>
      </c>
      <c r="M5" s="333" t="s">
        <v>406</v>
      </c>
      <c r="N5" s="333" t="s">
        <v>405</v>
      </c>
      <c r="O5" s="333" t="s">
        <v>404</v>
      </c>
      <c r="P5" s="333" t="s">
        <v>403</v>
      </c>
      <c r="Q5" s="333" t="s">
        <v>402</v>
      </c>
      <c r="R5" s="333" t="s">
        <v>401</v>
      </c>
      <c r="S5" s="335" t="s">
        <v>366</v>
      </c>
      <c r="T5" s="333" t="s">
        <v>400</v>
      </c>
      <c r="U5" s="334" t="s">
        <v>399</v>
      </c>
      <c r="V5" s="333" t="s">
        <v>398</v>
      </c>
      <c r="W5" s="333" t="s">
        <v>397</v>
      </c>
      <c r="X5" s="333" t="s">
        <v>396</v>
      </c>
      <c r="Y5" s="333" t="s">
        <v>334</v>
      </c>
    </row>
    <row r="6" spans="1:25" s="268" customFormat="1" outlineLevel="1" x14ac:dyDescent="0.35">
      <c r="A6" s="274">
        <v>1</v>
      </c>
      <c r="B6" s="274"/>
      <c r="C6" s="306"/>
      <c r="D6" s="306"/>
      <c r="E6" s="297"/>
      <c r="F6" s="295"/>
      <c r="G6" s="309"/>
      <c r="H6" s="308"/>
      <c r="I6" s="303"/>
      <c r="J6" s="303"/>
      <c r="K6" s="303"/>
      <c r="L6" s="303"/>
      <c r="M6" s="301"/>
      <c r="N6" s="328"/>
      <c r="O6" s="290"/>
      <c r="P6" s="307"/>
      <c r="Q6" s="288"/>
      <c r="R6" s="290"/>
      <c r="S6" s="299"/>
      <c r="U6" s="298"/>
      <c r="V6" s="290"/>
      <c r="W6" s="290"/>
      <c r="X6" s="288"/>
      <c r="Y6" s="290"/>
    </row>
    <row r="7" spans="1:25" s="268" customFormat="1" outlineLevel="1" x14ac:dyDescent="0.35">
      <c r="A7" s="274">
        <f>A6+1</f>
        <v>2</v>
      </c>
      <c r="B7" s="274">
        <v>201758</v>
      </c>
      <c r="C7" s="306" t="s">
        <v>0</v>
      </c>
      <c r="D7" s="306" t="s">
        <v>370</v>
      </c>
      <c r="E7" s="297">
        <v>44105</v>
      </c>
      <c r="F7" s="295" t="s">
        <v>330</v>
      </c>
      <c r="G7" s="309">
        <v>12.5</v>
      </c>
      <c r="H7" s="308">
        <f>1/X7</f>
        <v>56.17977528089888</v>
      </c>
      <c r="I7" s="303">
        <v>1211665.73</v>
      </c>
      <c r="J7" s="303">
        <v>225508.5</v>
      </c>
      <c r="K7" s="303">
        <v>21731.43</v>
      </c>
      <c r="L7" s="303">
        <v>3030</v>
      </c>
      <c r="M7" s="301">
        <f>SUM(I7:L7)</f>
        <v>1461935.66</v>
      </c>
      <c r="N7" s="302"/>
      <c r="O7" s="290">
        <f t="shared" ref="O7:O11" si="0">SUM(M7:N7)</f>
        <v>1461935.66</v>
      </c>
      <c r="P7" s="307" t="s">
        <v>369</v>
      </c>
      <c r="Q7" s="288">
        <f>VLOOKUP(P7,Factors!$B$3:$D$25,3,FALSE)</f>
        <v>0.10809999999999997</v>
      </c>
      <c r="R7" s="290">
        <f>+O7*Q7</f>
        <v>158035.24484599996</v>
      </c>
      <c r="S7" s="299">
        <v>354</v>
      </c>
      <c r="T7" s="268" t="s">
        <v>393</v>
      </c>
      <c r="U7" s="298">
        <v>1</v>
      </c>
      <c r="V7" s="290">
        <f>+U7*R7</f>
        <v>158035.24484599996</v>
      </c>
      <c r="W7" s="290">
        <f>-(V7/H7)/12*G7</f>
        <v>-2930.2368315195827</v>
      </c>
      <c r="X7" s="288">
        <f>VLOOKUP(S7,'Dep Rates'!$A$2:$C$131,3,FALSE)</f>
        <v>1.78E-2</v>
      </c>
      <c r="Y7" s="290">
        <f>SUM(V7)*X7</f>
        <v>2813.0273582587993</v>
      </c>
    </row>
    <row r="8" spans="1:25" s="268" customFormat="1" outlineLevel="1" x14ac:dyDescent="0.35">
      <c r="A8" s="274">
        <f t="shared" ref="A8:A71" si="1">A7+1</f>
        <v>3</v>
      </c>
      <c r="B8" s="274">
        <v>202129</v>
      </c>
      <c r="C8" s="306" t="s">
        <v>15</v>
      </c>
      <c r="D8" s="306" t="s">
        <v>370</v>
      </c>
      <c r="E8" s="297">
        <v>44166</v>
      </c>
      <c r="F8" s="295" t="s">
        <v>330</v>
      </c>
      <c r="G8" s="330">
        <v>10.5</v>
      </c>
      <c r="H8" s="308">
        <f t="shared" ref="H8:H34" si="2">1/X8</f>
        <v>53.191489361702132</v>
      </c>
      <c r="I8" s="303">
        <v>1572545.07</v>
      </c>
      <c r="J8" s="303">
        <v>851408.58</v>
      </c>
      <c r="K8" s="303">
        <v>2788.04</v>
      </c>
      <c r="L8" s="303">
        <v>2961</v>
      </c>
      <c r="M8" s="301">
        <f>SUM(I8:L8)</f>
        <v>2429702.69</v>
      </c>
      <c r="N8" s="302"/>
      <c r="O8" s="290">
        <f t="shared" si="0"/>
        <v>2429702.69</v>
      </c>
      <c r="P8" s="307" t="s">
        <v>376</v>
      </c>
      <c r="Q8" s="288">
        <f>VLOOKUP(P8,Factors!$B$3:$D$25,3,FALSE)</f>
        <v>1</v>
      </c>
      <c r="R8" s="290">
        <f>+O8*Q8</f>
        <v>2429702.69</v>
      </c>
      <c r="S8" s="299">
        <v>367</v>
      </c>
      <c r="T8" s="268" t="s">
        <v>378</v>
      </c>
      <c r="U8" s="298">
        <v>0.2</v>
      </c>
      <c r="V8" s="290">
        <f>+$R$8*U8</f>
        <v>485940.538</v>
      </c>
      <c r="W8" s="290">
        <f>-(V8/H8)/12*G8</f>
        <v>-7993.7218500999988</v>
      </c>
      <c r="X8" s="288">
        <f>VLOOKUP(S8,'Dep Rates'!$A$2:$C$131,3,FALSE)</f>
        <v>1.8799999999999997E-2</v>
      </c>
      <c r="Y8" s="290">
        <f t="shared" ref="Y8:Y43" si="3">SUM(V8)*X8</f>
        <v>9135.6821143999987</v>
      </c>
    </row>
    <row r="9" spans="1:25" s="268" customFormat="1" outlineLevel="1" x14ac:dyDescent="0.35">
      <c r="A9" s="274">
        <f t="shared" si="1"/>
        <v>4</v>
      </c>
      <c r="B9" s="274"/>
      <c r="C9" s="306"/>
      <c r="D9" s="306" t="s">
        <v>370</v>
      </c>
      <c r="E9" s="297"/>
      <c r="F9" s="295" t="s">
        <v>330</v>
      </c>
      <c r="G9" s="309">
        <f>G8</f>
        <v>10.5</v>
      </c>
      <c r="H9" s="308">
        <f t="shared" si="2"/>
        <v>39.370078740157481</v>
      </c>
      <c r="I9" s="311"/>
      <c r="J9" s="311"/>
      <c r="K9" s="311"/>
      <c r="L9" s="311"/>
      <c r="M9" s="302"/>
      <c r="N9" s="302"/>
      <c r="O9" s="290">
        <f t="shared" si="0"/>
        <v>0</v>
      </c>
      <c r="P9" s="307"/>
      <c r="Q9" s="288"/>
      <c r="R9" s="290"/>
      <c r="S9" s="299">
        <v>376.11</v>
      </c>
      <c r="T9" s="268" t="s">
        <v>377</v>
      </c>
      <c r="U9" s="298">
        <v>0.42</v>
      </c>
      <c r="V9" s="290">
        <f>+$R$8*U9</f>
        <v>1020475.1298</v>
      </c>
      <c r="W9" s="290">
        <f t="shared" ref="W9:W34" si="4">-(V9/H9)/12*G9</f>
        <v>-22680.059759805001</v>
      </c>
      <c r="X9" s="288">
        <f>VLOOKUP(S9,'Dep Rates'!$A$2:$C$131,3,FALSE)</f>
        <v>2.5399999999999999E-2</v>
      </c>
      <c r="Y9" s="290">
        <f t="shared" si="3"/>
        <v>25920.068296919999</v>
      </c>
    </row>
    <row r="10" spans="1:25" s="268" customFormat="1" outlineLevel="1" x14ac:dyDescent="0.35">
      <c r="A10" s="274">
        <f t="shared" si="1"/>
        <v>5</v>
      </c>
      <c r="B10" s="274"/>
      <c r="C10" s="306"/>
      <c r="D10" s="306" t="s">
        <v>370</v>
      </c>
      <c r="E10" s="297"/>
      <c r="F10" s="295" t="s">
        <v>330</v>
      </c>
      <c r="G10" s="309">
        <f>G9</f>
        <v>10.5</v>
      </c>
      <c r="H10" s="308">
        <f t="shared" si="2"/>
        <v>43.103448275862071</v>
      </c>
      <c r="I10" s="311"/>
      <c r="J10" s="311"/>
      <c r="K10" s="311"/>
      <c r="L10" s="311"/>
      <c r="M10" s="302"/>
      <c r="N10" s="302"/>
      <c r="O10" s="290">
        <f t="shared" si="0"/>
        <v>0</v>
      </c>
      <c r="P10" s="307"/>
      <c r="Q10" s="288"/>
      <c r="R10" s="290"/>
      <c r="S10" s="299">
        <v>376.12</v>
      </c>
      <c r="T10" s="268" t="s">
        <v>374</v>
      </c>
      <c r="U10" s="298">
        <v>0.38</v>
      </c>
      <c r="V10" s="290">
        <f>+$R$8*U10</f>
        <v>923287.02220000001</v>
      </c>
      <c r="W10" s="290">
        <f t="shared" si="4"/>
        <v>-18742.726550659998</v>
      </c>
      <c r="X10" s="288">
        <f>VLOOKUP(S10,'Dep Rates'!$A$2:$C$131,3,FALSE)</f>
        <v>2.3199999999999998E-2</v>
      </c>
      <c r="Y10" s="290">
        <f t="shared" si="3"/>
        <v>21420.258915039998</v>
      </c>
    </row>
    <row r="11" spans="1:25" s="268" customFormat="1" outlineLevel="1" x14ac:dyDescent="0.35">
      <c r="A11" s="274">
        <f t="shared" si="1"/>
        <v>6</v>
      </c>
      <c r="B11" s="274">
        <v>201663</v>
      </c>
      <c r="C11" s="306" t="s">
        <v>7</v>
      </c>
      <c r="D11" s="306" t="s">
        <v>370</v>
      </c>
      <c r="E11" s="297">
        <v>44105</v>
      </c>
      <c r="F11" s="295" t="s">
        <v>330</v>
      </c>
      <c r="G11" s="330">
        <v>12.5</v>
      </c>
      <c r="H11" s="308">
        <f t="shared" si="2"/>
        <v>66.666666666666671</v>
      </c>
      <c r="I11" s="303">
        <v>27340332.140000004</v>
      </c>
      <c r="J11" s="303">
        <v>238182.74</v>
      </c>
      <c r="K11" s="303">
        <v>377919.47</v>
      </c>
      <c r="L11" s="303">
        <v>61624</v>
      </c>
      <c r="M11" s="301">
        <f>SUM(I11:L11)</f>
        <v>28018058.350000001</v>
      </c>
      <c r="N11" s="302"/>
      <c r="O11" s="290">
        <f t="shared" si="0"/>
        <v>28018058.350000001</v>
      </c>
      <c r="P11" s="307" t="s">
        <v>369</v>
      </c>
      <c r="Q11" s="288">
        <f>VLOOKUP(P11,Factors!$B$3:$D$25,3,FALSE)</f>
        <v>0.10809999999999997</v>
      </c>
      <c r="R11" s="290">
        <f>+O11*Q11</f>
        <v>3028752.1076349993</v>
      </c>
      <c r="S11" s="299">
        <v>351.1</v>
      </c>
      <c r="T11" s="268" t="s">
        <v>394</v>
      </c>
      <c r="U11" s="298">
        <v>0.09</v>
      </c>
      <c r="V11" s="290">
        <f>+U11*$R$11</f>
        <v>272587.68968714995</v>
      </c>
      <c r="W11" s="290">
        <f>-(V11/H11)/12*G11</f>
        <v>-4259.1826513617179</v>
      </c>
      <c r="X11" s="288">
        <f>VLOOKUP(S11,'Dep Rates'!$A$2:$C$131,3,FALSE)</f>
        <v>1.4999999999999999E-2</v>
      </c>
      <c r="Y11" s="290">
        <f t="shared" si="3"/>
        <v>4088.8153453072491</v>
      </c>
    </row>
    <row r="12" spans="1:25" s="268" customFormat="1" outlineLevel="1" x14ac:dyDescent="0.35">
      <c r="A12" s="274">
        <f t="shared" si="1"/>
        <v>7</v>
      </c>
      <c r="B12" s="274"/>
      <c r="C12" s="306"/>
      <c r="D12" s="306" t="s">
        <v>370</v>
      </c>
      <c r="E12" s="297"/>
      <c r="F12" s="295" t="s">
        <v>330</v>
      </c>
      <c r="G12" s="309">
        <f>G11</f>
        <v>12.5</v>
      </c>
      <c r="H12" s="308">
        <f t="shared" si="2"/>
        <v>66.666666666666671</v>
      </c>
      <c r="I12" s="303"/>
      <c r="J12" s="303"/>
      <c r="K12" s="303"/>
      <c r="L12" s="303"/>
      <c r="M12" s="301"/>
      <c r="N12" s="302"/>
      <c r="O12" s="290"/>
      <c r="P12" s="307"/>
      <c r="Q12" s="288"/>
      <c r="R12" s="290"/>
      <c r="S12" s="299">
        <v>352</v>
      </c>
      <c r="T12" s="268" t="s">
        <v>371</v>
      </c>
      <c r="U12" s="298">
        <v>0.23</v>
      </c>
      <c r="V12" s="290">
        <f>+U12*$R$11</f>
        <v>696612.98475604993</v>
      </c>
      <c r="W12" s="290">
        <f t="shared" si="4"/>
        <v>-10884.57788681328</v>
      </c>
      <c r="X12" s="288">
        <f>VLOOKUP(S12,'Dep Rates'!$A$2:$C$131,3,FALSE)</f>
        <v>1.4999999999999999E-2</v>
      </c>
      <c r="Y12" s="290">
        <f t="shared" si="3"/>
        <v>10449.194771340748</v>
      </c>
    </row>
    <row r="13" spans="1:25" s="268" customFormat="1" outlineLevel="1" x14ac:dyDescent="0.35">
      <c r="A13" s="274">
        <f t="shared" si="1"/>
        <v>8</v>
      </c>
      <c r="B13" s="274"/>
      <c r="C13" s="306"/>
      <c r="D13" s="306" t="s">
        <v>370</v>
      </c>
      <c r="E13" s="297"/>
      <c r="F13" s="295" t="s">
        <v>330</v>
      </c>
      <c r="G13" s="309">
        <f>G12</f>
        <v>12.5</v>
      </c>
      <c r="H13" s="308">
        <f t="shared" si="2"/>
        <v>56.17977528089888</v>
      </c>
      <c r="I13" s="303"/>
      <c r="J13" s="303"/>
      <c r="K13" s="303"/>
      <c r="L13" s="303"/>
      <c r="M13" s="301"/>
      <c r="N13" s="302"/>
      <c r="O13" s="290"/>
      <c r="P13" s="307"/>
      <c r="Q13" s="288"/>
      <c r="R13" s="290"/>
      <c r="S13" s="299">
        <v>354</v>
      </c>
      <c r="T13" s="268" t="s">
        <v>393</v>
      </c>
      <c r="U13" s="298">
        <v>0.23</v>
      </c>
      <c r="V13" s="290">
        <f>+U13*$R$11</f>
        <v>696612.98475604993</v>
      </c>
      <c r="W13" s="290">
        <f t="shared" si="4"/>
        <v>-12916.365759018425</v>
      </c>
      <c r="X13" s="288">
        <f>VLOOKUP(S13,'Dep Rates'!$A$2:$C$131,3,FALSE)</f>
        <v>1.78E-2</v>
      </c>
      <c r="Y13" s="290">
        <f t="shared" si="3"/>
        <v>12399.711128657689</v>
      </c>
    </row>
    <row r="14" spans="1:25" s="268" customFormat="1" outlineLevel="1" x14ac:dyDescent="0.35">
      <c r="A14" s="274">
        <f t="shared" si="1"/>
        <v>9</v>
      </c>
      <c r="B14" s="274"/>
      <c r="C14" s="306"/>
      <c r="D14" s="306" t="s">
        <v>370</v>
      </c>
      <c r="E14" s="297"/>
      <c r="F14" s="295" t="s">
        <v>330</v>
      </c>
      <c r="G14" s="309">
        <f>G13</f>
        <v>12.5</v>
      </c>
      <c r="H14" s="308">
        <f t="shared" si="2"/>
        <v>44.052863436123346</v>
      </c>
      <c r="I14" s="303"/>
      <c r="J14" s="303"/>
      <c r="K14" s="303"/>
      <c r="L14" s="303"/>
      <c r="M14" s="301"/>
      <c r="N14" s="302"/>
      <c r="O14" s="290"/>
      <c r="P14" s="307"/>
      <c r="Q14" s="288"/>
      <c r="R14" s="290"/>
      <c r="S14" s="299">
        <v>355</v>
      </c>
      <c r="T14" s="268" t="s">
        <v>392</v>
      </c>
      <c r="U14" s="298">
        <v>0.45</v>
      </c>
      <c r="V14" s="290">
        <f>+U14*$R$11</f>
        <v>1362938.4484357496</v>
      </c>
      <c r="W14" s="290">
        <f t="shared" si="4"/>
        <v>-32227.815395303667</v>
      </c>
      <c r="X14" s="288">
        <f>VLOOKUP(S14,'Dep Rates'!$A$2:$C$131,3,FALSE)</f>
        <v>2.2700000000000001E-2</v>
      </c>
      <c r="Y14" s="290">
        <f t="shared" si="3"/>
        <v>30938.702779491519</v>
      </c>
    </row>
    <row r="15" spans="1:25" s="268" customFormat="1" outlineLevel="1" x14ac:dyDescent="0.35">
      <c r="A15" s="274">
        <f t="shared" si="1"/>
        <v>10</v>
      </c>
      <c r="B15" s="274">
        <v>202068</v>
      </c>
      <c r="C15" s="306" t="s">
        <v>8</v>
      </c>
      <c r="D15" s="306" t="s">
        <v>370</v>
      </c>
      <c r="E15" s="297">
        <v>44105</v>
      </c>
      <c r="F15" s="295" t="s">
        <v>330</v>
      </c>
      <c r="G15" s="330">
        <v>12.5</v>
      </c>
      <c r="H15" s="308">
        <f t="shared" si="2"/>
        <v>66.666666666666671</v>
      </c>
      <c r="I15" s="303">
        <v>898237.1100000001</v>
      </c>
      <c r="J15" s="303">
        <v>122582.34</v>
      </c>
      <c r="K15" s="303">
        <v>6295.82</v>
      </c>
      <c r="L15" s="303">
        <v>2072</v>
      </c>
      <c r="M15" s="301">
        <f>SUM(I15:L15)</f>
        <v>1029187.27</v>
      </c>
      <c r="N15" s="302"/>
      <c r="O15" s="290">
        <f>SUM(M15:N15)</f>
        <v>1029187.27</v>
      </c>
      <c r="P15" s="307" t="s">
        <v>369</v>
      </c>
      <c r="Q15" s="288">
        <f>VLOOKUP(P15,Factors!$B$3:$D$25,3,FALSE)</f>
        <v>0.10809999999999997</v>
      </c>
      <c r="R15" s="290">
        <f>+O15*Q15</f>
        <v>111255.14388699997</v>
      </c>
      <c r="S15" s="299">
        <v>351.1</v>
      </c>
      <c r="T15" s="268" t="s">
        <v>394</v>
      </c>
      <c r="U15" s="298">
        <v>0.09</v>
      </c>
      <c r="V15" s="290">
        <f>+U15*$R$15</f>
        <v>10012.962949829996</v>
      </c>
      <c r="W15" s="290">
        <f t="shared" si="4"/>
        <v>-156.45254609109367</v>
      </c>
      <c r="X15" s="288">
        <f>VLOOKUP(S15,'Dep Rates'!$A$2:$C$131,3,FALSE)</f>
        <v>1.4999999999999999E-2</v>
      </c>
      <c r="Y15" s="290">
        <f t="shared" si="3"/>
        <v>150.19444424744995</v>
      </c>
    </row>
    <row r="16" spans="1:25" s="268" customFormat="1" outlineLevel="1" x14ac:dyDescent="0.35">
      <c r="A16" s="274">
        <f t="shared" si="1"/>
        <v>11</v>
      </c>
      <c r="B16" s="274"/>
      <c r="C16" s="306"/>
      <c r="D16" s="306" t="s">
        <v>370</v>
      </c>
      <c r="E16" s="297"/>
      <c r="F16" s="295" t="s">
        <v>330</v>
      </c>
      <c r="G16" s="309">
        <f>G15</f>
        <v>12.5</v>
      </c>
      <c r="H16" s="308">
        <f t="shared" si="2"/>
        <v>66.666666666666671</v>
      </c>
      <c r="I16" s="303"/>
      <c r="J16" s="303"/>
      <c r="K16" s="303"/>
      <c r="L16" s="303"/>
      <c r="M16" s="301"/>
      <c r="N16" s="302"/>
      <c r="O16" s="290"/>
      <c r="P16" s="307"/>
      <c r="Q16" s="288"/>
      <c r="R16" s="290"/>
      <c r="S16" s="299">
        <v>352</v>
      </c>
      <c r="T16" s="268" t="s">
        <v>371</v>
      </c>
      <c r="U16" s="298">
        <v>0.23</v>
      </c>
      <c r="V16" s="290">
        <f>+U16*$R$15</f>
        <v>25588.683094009994</v>
      </c>
      <c r="W16" s="290">
        <f t="shared" si="4"/>
        <v>-399.82317334390609</v>
      </c>
      <c r="X16" s="288">
        <f>VLOOKUP(S16,'Dep Rates'!$A$2:$C$131,3,FALSE)</f>
        <v>1.4999999999999999E-2</v>
      </c>
      <c r="Y16" s="290">
        <f t="shared" si="3"/>
        <v>383.83024641014987</v>
      </c>
    </row>
    <row r="17" spans="1:25" s="268" customFormat="1" outlineLevel="1" x14ac:dyDescent="0.35">
      <c r="A17" s="274">
        <f t="shared" si="1"/>
        <v>12</v>
      </c>
      <c r="B17" s="274"/>
      <c r="C17" s="306"/>
      <c r="D17" s="306" t="s">
        <v>370</v>
      </c>
      <c r="E17" s="297"/>
      <c r="F17" s="295" t="s">
        <v>330</v>
      </c>
      <c r="G17" s="309">
        <f>G16</f>
        <v>12.5</v>
      </c>
      <c r="H17" s="308">
        <f t="shared" si="2"/>
        <v>56.17977528089888</v>
      </c>
      <c r="I17" s="303"/>
      <c r="J17" s="303"/>
      <c r="K17" s="303"/>
      <c r="L17" s="303"/>
      <c r="M17" s="301"/>
      <c r="N17" s="302"/>
      <c r="O17" s="290"/>
      <c r="P17" s="307"/>
      <c r="Q17" s="288"/>
      <c r="R17" s="290"/>
      <c r="S17" s="299">
        <v>354</v>
      </c>
      <c r="T17" s="268" t="s">
        <v>393</v>
      </c>
      <c r="U17" s="298">
        <v>0.23</v>
      </c>
      <c r="V17" s="290">
        <f>+U17*$R$15</f>
        <v>25588.683094009994</v>
      </c>
      <c r="W17" s="290">
        <f t="shared" si="4"/>
        <v>-474.45683236810197</v>
      </c>
      <c r="X17" s="288">
        <f>VLOOKUP(S17,'Dep Rates'!$A$2:$C$131,3,FALSE)</f>
        <v>1.78E-2</v>
      </c>
      <c r="Y17" s="290">
        <f t="shared" si="3"/>
        <v>455.47855907337788</v>
      </c>
    </row>
    <row r="18" spans="1:25" s="268" customFormat="1" outlineLevel="1" x14ac:dyDescent="0.35">
      <c r="A18" s="274">
        <f t="shared" si="1"/>
        <v>13</v>
      </c>
      <c r="B18" s="274"/>
      <c r="C18" s="306"/>
      <c r="D18" s="306" t="s">
        <v>370</v>
      </c>
      <c r="E18" s="297"/>
      <c r="F18" s="295" t="s">
        <v>330</v>
      </c>
      <c r="G18" s="309">
        <f>G17</f>
        <v>12.5</v>
      </c>
      <c r="H18" s="308">
        <f t="shared" si="2"/>
        <v>44.052863436123346</v>
      </c>
      <c r="I18" s="303"/>
      <c r="J18" s="303"/>
      <c r="K18" s="303"/>
      <c r="L18" s="303"/>
      <c r="M18" s="301"/>
      <c r="N18" s="302"/>
      <c r="O18" s="290"/>
      <c r="P18" s="307"/>
      <c r="Q18" s="288"/>
      <c r="R18" s="290"/>
      <c r="S18" s="299">
        <v>355</v>
      </c>
      <c r="T18" s="268" t="s">
        <v>392</v>
      </c>
      <c r="U18" s="298">
        <v>0.45</v>
      </c>
      <c r="V18" s="290">
        <f>+U18*$R$15</f>
        <v>50064.814749149984</v>
      </c>
      <c r="W18" s="290">
        <f t="shared" si="4"/>
        <v>-1183.8242654226092</v>
      </c>
      <c r="X18" s="288">
        <f>VLOOKUP(S18,'Dep Rates'!$A$2:$C$131,3,FALSE)</f>
        <v>2.2700000000000001E-2</v>
      </c>
      <c r="Y18" s="290">
        <f t="shared" si="3"/>
        <v>1136.4712948057047</v>
      </c>
    </row>
    <row r="19" spans="1:25" s="268" customFormat="1" outlineLevel="1" x14ac:dyDescent="0.35">
      <c r="A19" s="274">
        <f t="shared" si="1"/>
        <v>14</v>
      </c>
      <c r="B19" s="274" t="s">
        <v>131</v>
      </c>
      <c r="C19" s="306" t="s">
        <v>9</v>
      </c>
      <c r="D19" s="306" t="s">
        <v>370</v>
      </c>
      <c r="E19" s="297">
        <v>44287</v>
      </c>
      <c r="F19" s="295" t="s">
        <v>330</v>
      </c>
      <c r="G19" s="330">
        <v>6.5</v>
      </c>
      <c r="H19" s="308">
        <f t="shared" si="2"/>
        <v>66.666666666666671</v>
      </c>
      <c r="I19" s="303">
        <v>2017031</v>
      </c>
      <c r="J19" s="303">
        <v>382564</v>
      </c>
      <c r="K19" s="303">
        <v>5218</v>
      </c>
      <c r="L19" s="303">
        <v>11888</v>
      </c>
      <c r="M19" s="301">
        <f>SUM(I19:L19)</f>
        <v>2416701</v>
      </c>
      <c r="N19" s="302"/>
      <c r="O19" s="290">
        <f t="shared" ref="O19:O43" si="5">SUM(M19:N19)</f>
        <v>2416701</v>
      </c>
      <c r="P19" s="307" t="s">
        <v>369</v>
      </c>
      <c r="Q19" s="288">
        <f>VLOOKUP(P19,Factors!$B$3:$D$25,3,FALSE)</f>
        <v>0.10809999999999997</v>
      </c>
      <c r="R19" s="290">
        <f>+O19*Q19</f>
        <v>261245.37809999994</v>
      </c>
      <c r="S19" s="299">
        <v>351.1</v>
      </c>
      <c r="T19" s="268" t="s">
        <v>394</v>
      </c>
      <c r="U19" s="298">
        <v>0.09</v>
      </c>
      <c r="V19" s="290">
        <f>+U19*$R$19</f>
        <v>23512.084028999994</v>
      </c>
      <c r="W19" s="290">
        <f t="shared" si="4"/>
        <v>-191.03568273562496</v>
      </c>
      <c r="X19" s="288">
        <f>VLOOKUP(S19,'Dep Rates'!$A$2:$C$131,3,FALSE)</f>
        <v>1.4999999999999999E-2</v>
      </c>
      <c r="Y19" s="290">
        <f t="shared" si="3"/>
        <v>352.6812604349999</v>
      </c>
    </row>
    <row r="20" spans="1:25" s="268" customFormat="1" outlineLevel="1" x14ac:dyDescent="0.35">
      <c r="A20" s="274">
        <f t="shared" si="1"/>
        <v>15</v>
      </c>
      <c r="B20" s="274"/>
      <c r="C20" s="306"/>
      <c r="D20" s="306" t="s">
        <v>370</v>
      </c>
      <c r="E20" s="297"/>
      <c r="F20" s="295" t="s">
        <v>330</v>
      </c>
      <c r="G20" s="309">
        <f>G19</f>
        <v>6.5</v>
      </c>
      <c r="H20" s="308">
        <f t="shared" si="2"/>
        <v>66.666666666666671</v>
      </c>
      <c r="I20" s="311"/>
      <c r="J20" s="311"/>
      <c r="K20" s="311"/>
      <c r="L20" s="311"/>
      <c r="M20" s="302"/>
      <c r="N20" s="302"/>
      <c r="O20" s="290">
        <f t="shared" si="5"/>
        <v>0</v>
      </c>
      <c r="P20" s="300"/>
      <c r="Q20" s="288"/>
      <c r="R20" s="290"/>
      <c r="S20" s="299">
        <v>352</v>
      </c>
      <c r="T20" s="268" t="s">
        <v>371</v>
      </c>
      <c r="U20" s="298">
        <v>0.23</v>
      </c>
      <c r="V20" s="290">
        <f>+U20*$R$19</f>
        <v>60086.436962999993</v>
      </c>
      <c r="W20" s="290">
        <f t="shared" si="4"/>
        <v>-488.20230032437496</v>
      </c>
      <c r="X20" s="288">
        <f>VLOOKUP(S20,'Dep Rates'!$A$2:$C$131,3,FALSE)</f>
        <v>1.4999999999999999E-2</v>
      </c>
      <c r="Y20" s="290">
        <f t="shared" si="3"/>
        <v>901.29655444499986</v>
      </c>
    </row>
    <row r="21" spans="1:25" s="268" customFormat="1" outlineLevel="1" x14ac:dyDescent="0.35">
      <c r="A21" s="274">
        <f t="shared" si="1"/>
        <v>16</v>
      </c>
      <c r="B21" s="274"/>
      <c r="C21" s="306"/>
      <c r="D21" s="306" t="s">
        <v>370</v>
      </c>
      <c r="E21" s="297"/>
      <c r="F21" s="295" t="s">
        <v>330</v>
      </c>
      <c r="G21" s="309">
        <f>G20</f>
        <v>6.5</v>
      </c>
      <c r="H21" s="308">
        <f t="shared" si="2"/>
        <v>56.17977528089888</v>
      </c>
      <c r="I21" s="311"/>
      <c r="J21" s="311"/>
      <c r="K21" s="311"/>
      <c r="L21" s="311"/>
      <c r="M21" s="302"/>
      <c r="N21" s="302"/>
      <c r="O21" s="290">
        <f t="shared" si="5"/>
        <v>0</v>
      </c>
      <c r="P21" s="300"/>
      <c r="Q21" s="288"/>
      <c r="R21" s="290"/>
      <c r="S21" s="299">
        <v>354</v>
      </c>
      <c r="T21" s="268" t="s">
        <v>393</v>
      </c>
      <c r="U21" s="298">
        <v>0.23</v>
      </c>
      <c r="V21" s="290">
        <f>+U21*$R$19</f>
        <v>60086.436962999993</v>
      </c>
      <c r="W21" s="290">
        <f t="shared" si="4"/>
        <v>-579.33339638492487</v>
      </c>
      <c r="X21" s="288">
        <f>VLOOKUP(S21,'Dep Rates'!$A$2:$C$131,3,FALSE)</f>
        <v>1.78E-2</v>
      </c>
      <c r="Y21" s="290">
        <f t="shared" si="3"/>
        <v>1069.5385779413998</v>
      </c>
    </row>
    <row r="22" spans="1:25" s="268" customFormat="1" outlineLevel="1" x14ac:dyDescent="0.35">
      <c r="A22" s="274">
        <f t="shared" si="1"/>
        <v>17</v>
      </c>
      <c r="B22" s="274"/>
      <c r="C22" s="306"/>
      <c r="D22" s="306" t="s">
        <v>370</v>
      </c>
      <c r="E22" s="297"/>
      <c r="F22" s="295" t="s">
        <v>330</v>
      </c>
      <c r="G22" s="309">
        <f>G21</f>
        <v>6.5</v>
      </c>
      <c r="H22" s="308">
        <f t="shared" si="2"/>
        <v>44.052863436123346</v>
      </c>
      <c r="I22" s="311"/>
      <c r="J22" s="311"/>
      <c r="K22" s="311"/>
      <c r="L22" s="311"/>
      <c r="M22" s="302"/>
      <c r="N22" s="302"/>
      <c r="O22" s="290">
        <f t="shared" si="5"/>
        <v>0</v>
      </c>
      <c r="P22" s="300"/>
      <c r="Q22" s="288"/>
      <c r="R22" s="290"/>
      <c r="S22" s="299">
        <v>355</v>
      </c>
      <c r="T22" s="268" t="s">
        <v>392</v>
      </c>
      <c r="U22" s="298">
        <v>0.45</v>
      </c>
      <c r="V22" s="290">
        <f>+U22*$R$19</f>
        <v>117560.42014499998</v>
      </c>
      <c r="W22" s="290">
        <f t="shared" si="4"/>
        <v>-1445.5033326995624</v>
      </c>
      <c r="X22" s="288">
        <f>VLOOKUP(S22,'Dep Rates'!$A$2:$C$131,3,FALSE)</f>
        <v>2.2700000000000001E-2</v>
      </c>
      <c r="Y22" s="290">
        <f t="shared" si="3"/>
        <v>2668.6215372914999</v>
      </c>
    </row>
    <row r="23" spans="1:25" s="268" customFormat="1" outlineLevel="1" x14ac:dyDescent="0.35">
      <c r="A23" s="274">
        <f t="shared" si="1"/>
        <v>18</v>
      </c>
      <c r="B23" s="274">
        <v>202174</v>
      </c>
      <c r="C23" s="306" t="s">
        <v>10</v>
      </c>
      <c r="D23" s="306" t="s">
        <v>370</v>
      </c>
      <c r="E23" s="297">
        <v>44105</v>
      </c>
      <c r="F23" s="295" t="s">
        <v>330</v>
      </c>
      <c r="G23" s="309">
        <v>12.5</v>
      </c>
      <c r="H23" s="308">
        <f t="shared" si="2"/>
        <v>66.666666666666671</v>
      </c>
      <c r="I23" s="303">
        <v>3401518.81</v>
      </c>
      <c r="J23" s="303">
        <v>657805.92000000004</v>
      </c>
      <c r="K23" s="303">
        <v>9770.369999999999</v>
      </c>
      <c r="L23" s="303">
        <v>8258</v>
      </c>
      <c r="M23" s="301">
        <f>SUM(I23:L23)</f>
        <v>4077353.1</v>
      </c>
      <c r="N23" s="302"/>
      <c r="O23" s="290">
        <f t="shared" si="5"/>
        <v>4077353.1</v>
      </c>
      <c r="P23" s="307" t="s">
        <v>369</v>
      </c>
      <c r="Q23" s="288">
        <f>VLOOKUP(P23,Factors!$B$3:$D$25,3,FALSE)</f>
        <v>0.10809999999999997</v>
      </c>
      <c r="R23" s="290">
        <f>+O23*Q23</f>
        <v>440761.8701099999</v>
      </c>
      <c r="S23" s="299">
        <v>352</v>
      </c>
      <c r="T23" s="268" t="s">
        <v>371</v>
      </c>
      <c r="U23" s="298">
        <v>1</v>
      </c>
      <c r="V23" s="290">
        <f>+U23*$R$23</f>
        <v>440761.8701099999</v>
      </c>
      <c r="W23" s="290">
        <f t="shared" si="4"/>
        <v>-6886.9042204687485</v>
      </c>
      <c r="X23" s="288">
        <f>VLOOKUP(S23,'Dep Rates'!$A$2:$C$131,3,FALSE)</f>
        <v>1.4999999999999999E-2</v>
      </c>
      <c r="Y23" s="290">
        <f t="shared" si="3"/>
        <v>6611.4280516499985</v>
      </c>
    </row>
    <row r="24" spans="1:25" s="268" customFormat="1" outlineLevel="1" x14ac:dyDescent="0.35">
      <c r="A24" s="274">
        <f t="shared" si="1"/>
        <v>19</v>
      </c>
      <c r="B24" s="274">
        <v>202008</v>
      </c>
      <c r="C24" s="268" t="s">
        <v>16</v>
      </c>
      <c r="D24" s="268" t="s">
        <v>370</v>
      </c>
      <c r="E24" s="297">
        <v>44105</v>
      </c>
      <c r="F24" s="295" t="s">
        <v>330</v>
      </c>
      <c r="G24" s="309">
        <v>12.5</v>
      </c>
      <c r="H24" s="308">
        <f t="shared" si="2"/>
        <v>48.543689320388346</v>
      </c>
      <c r="I24" s="303">
        <v>980557.59</v>
      </c>
      <c r="J24" s="303">
        <v>173018.12</v>
      </c>
      <c r="K24" s="303">
        <v>3752.48</v>
      </c>
      <c r="L24" s="303">
        <v>26</v>
      </c>
      <c r="M24" s="301">
        <f>SUM(I24:L24)</f>
        <v>1157354.19</v>
      </c>
      <c r="N24" s="302"/>
      <c r="O24" s="290">
        <f t="shared" si="5"/>
        <v>1157354.19</v>
      </c>
      <c r="P24" s="307" t="s">
        <v>369</v>
      </c>
      <c r="Q24" s="288">
        <f>VLOOKUP(P24,Factors!$B$3:$D$25,3,FALSE)</f>
        <v>0.10809999999999997</v>
      </c>
      <c r="R24" s="290">
        <f>+O24*Q24</f>
        <v>125109.98793899997</v>
      </c>
      <c r="S24" s="299">
        <v>353</v>
      </c>
      <c r="T24" s="268" t="s">
        <v>368</v>
      </c>
      <c r="U24" s="298">
        <v>1</v>
      </c>
      <c r="V24" s="290">
        <f>+U24*$R$24</f>
        <v>125109.98793899997</v>
      </c>
      <c r="W24" s="290">
        <f t="shared" si="4"/>
        <v>-2684.6518245243747</v>
      </c>
      <c r="X24" s="288">
        <f>VLOOKUP(S24,'Dep Rates'!$A$2:$C$131,3,FALSE)</f>
        <v>2.06E-2</v>
      </c>
      <c r="Y24" s="290">
        <f t="shared" si="3"/>
        <v>2577.2657515433993</v>
      </c>
    </row>
    <row r="25" spans="1:25" s="268" customFormat="1" outlineLevel="1" x14ac:dyDescent="0.35">
      <c r="A25" s="274">
        <f t="shared" si="1"/>
        <v>20</v>
      </c>
      <c r="B25" s="274">
        <v>202075</v>
      </c>
      <c r="C25" s="306" t="s">
        <v>12</v>
      </c>
      <c r="D25" s="306" t="s">
        <v>370</v>
      </c>
      <c r="E25" s="297">
        <v>44105</v>
      </c>
      <c r="F25" s="295" t="s">
        <v>330</v>
      </c>
      <c r="G25" s="309">
        <v>12.5</v>
      </c>
      <c r="H25" s="308">
        <f t="shared" si="2"/>
        <v>44.052863436123346</v>
      </c>
      <c r="I25" s="303">
        <v>1556311.25</v>
      </c>
      <c r="J25" s="303">
        <v>258177.25</v>
      </c>
      <c r="K25" s="303">
        <v>5709.37</v>
      </c>
      <c r="L25" s="303">
        <v>3099</v>
      </c>
      <c r="M25" s="301">
        <f>SUM(I25:L25)</f>
        <v>1823296.87</v>
      </c>
      <c r="N25" s="302"/>
      <c r="O25" s="290">
        <f t="shared" si="5"/>
        <v>1823296.87</v>
      </c>
      <c r="P25" s="307" t="s">
        <v>369</v>
      </c>
      <c r="Q25" s="288">
        <f>VLOOKUP(P25,Factors!$B$3:$D$25,3,FALSE)</f>
        <v>0.10809999999999997</v>
      </c>
      <c r="R25" s="290">
        <f>+O25*Q25</f>
        <v>197098.39164699995</v>
      </c>
      <c r="S25" s="299">
        <v>355</v>
      </c>
      <c r="T25" s="268" t="s">
        <v>392</v>
      </c>
      <c r="U25" s="298">
        <v>1</v>
      </c>
      <c r="V25" s="290">
        <f>+U25*$R$25</f>
        <v>197098.39164699995</v>
      </c>
      <c r="W25" s="290">
        <f t="shared" si="4"/>
        <v>-4660.5557191530206</v>
      </c>
      <c r="X25" s="288">
        <f>VLOOKUP(S25,'Dep Rates'!$A$2:$C$131,3,FALSE)</f>
        <v>2.2700000000000001E-2</v>
      </c>
      <c r="Y25" s="290">
        <f t="shared" si="3"/>
        <v>4474.1334903868992</v>
      </c>
    </row>
    <row r="26" spans="1:25" s="268" customFormat="1" outlineLevel="1" x14ac:dyDescent="0.35">
      <c r="A26" s="274">
        <f t="shared" si="1"/>
        <v>21</v>
      </c>
      <c r="B26" s="274">
        <v>202045</v>
      </c>
      <c r="C26" s="306" t="s">
        <v>13</v>
      </c>
      <c r="D26" s="306" t="s">
        <v>370</v>
      </c>
      <c r="E26" s="297">
        <v>44105</v>
      </c>
      <c r="F26" s="295" t="s">
        <v>330</v>
      </c>
      <c r="G26" s="309">
        <v>12.5</v>
      </c>
      <c r="H26" s="308">
        <f t="shared" si="2"/>
        <v>32.362459546925571</v>
      </c>
      <c r="I26" s="303">
        <v>2428594.9300000002</v>
      </c>
      <c r="J26" s="303">
        <v>386884.04</v>
      </c>
      <c r="K26" s="303">
        <v>25917.21</v>
      </c>
      <c r="L26" s="303">
        <v>6645</v>
      </c>
      <c r="M26" s="301">
        <f>SUM(I26:L26)</f>
        <v>2848041.18</v>
      </c>
      <c r="N26" s="302"/>
      <c r="O26" s="290">
        <f t="shared" si="5"/>
        <v>2848041.18</v>
      </c>
      <c r="P26" s="307" t="s">
        <v>369</v>
      </c>
      <c r="Q26" s="288">
        <f>VLOOKUP(P26,Factors!$B$3:$D$25,3,FALSE)</f>
        <v>0.10809999999999997</v>
      </c>
      <c r="R26" s="290">
        <f>+O26*Q26</f>
        <v>307873.25155799993</v>
      </c>
      <c r="S26" s="299">
        <v>363.22</v>
      </c>
      <c r="T26" s="268" t="s">
        <v>391</v>
      </c>
      <c r="U26" s="298">
        <v>1</v>
      </c>
      <c r="V26" s="290">
        <f>+U26*$R$26</f>
        <v>307873.25155799993</v>
      </c>
      <c r="W26" s="290">
        <f t="shared" si="4"/>
        <v>-9909.670284523123</v>
      </c>
      <c r="X26" s="288">
        <f>VLOOKUP(S26,'Dep Rates'!$A$2:$C$131,3,FALSE)</f>
        <v>3.0899999999999997E-2</v>
      </c>
      <c r="Y26" s="290">
        <f t="shared" si="3"/>
        <v>9513.2834731421972</v>
      </c>
    </row>
    <row r="27" spans="1:25" s="268" customFormat="1" outlineLevel="1" x14ac:dyDescent="0.35">
      <c r="A27" s="274">
        <f t="shared" si="1"/>
        <v>22</v>
      </c>
      <c r="B27" s="274">
        <v>201748</v>
      </c>
      <c r="C27" s="268" t="s">
        <v>139</v>
      </c>
      <c r="D27" s="268" t="s">
        <v>381</v>
      </c>
      <c r="E27" s="297">
        <v>44105</v>
      </c>
      <c r="F27" s="295" t="s">
        <v>330</v>
      </c>
      <c r="G27" s="309">
        <v>12.5</v>
      </c>
      <c r="H27" s="308">
        <f t="shared" si="2"/>
        <v>14.749262536873157</v>
      </c>
      <c r="I27" s="303">
        <v>10204042.1152</v>
      </c>
      <c r="J27" s="303">
        <v>980776.60639999993</v>
      </c>
      <c r="K27" s="303">
        <v>572718.6496</v>
      </c>
      <c r="L27" s="303">
        <v>28015</v>
      </c>
      <c r="M27" s="301">
        <f>SUM(I27:L27)</f>
        <v>11785552.371199999</v>
      </c>
      <c r="N27" s="302"/>
      <c r="O27" s="290">
        <f t="shared" si="5"/>
        <v>11785552.371199999</v>
      </c>
      <c r="P27" s="300" t="s">
        <v>380</v>
      </c>
      <c r="Q27" s="288">
        <f>VLOOKUP(P27,Factors!$B$3:$D$25,3,FALSE)</f>
        <v>0.11529999999999996</v>
      </c>
      <c r="R27" s="290">
        <f>+O27*Q27</f>
        <v>1358874.1883993594</v>
      </c>
      <c r="S27" s="332">
        <v>303.10000000000002</v>
      </c>
      <c r="T27" s="268" t="s">
        <v>383</v>
      </c>
      <c r="U27" s="298">
        <v>0.06</v>
      </c>
      <c r="V27" s="290">
        <f>+U27*$R$27</f>
        <v>81532.451303961556</v>
      </c>
      <c r="W27" s="290">
        <f t="shared" si="4"/>
        <v>-5758.2293733422848</v>
      </c>
      <c r="X27" s="288">
        <f>VLOOKUP(S27,'Dep Rates'!$A$2:$C$131,3,FALSE)</f>
        <v>6.7799999999999999E-2</v>
      </c>
      <c r="Y27" s="290">
        <f t="shared" si="3"/>
        <v>5527.9001984085935</v>
      </c>
    </row>
    <row r="28" spans="1:25" s="268" customFormat="1" outlineLevel="1" x14ac:dyDescent="0.35">
      <c r="A28" s="274">
        <f t="shared" si="1"/>
        <v>23</v>
      </c>
      <c r="B28" s="274"/>
      <c r="D28" s="268" t="s">
        <v>381</v>
      </c>
      <c r="E28" s="297"/>
      <c r="F28" s="295" t="s">
        <v>330</v>
      </c>
      <c r="G28" s="309">
        <f>G27</f>
        <v>12.5</v>
      </c>
      <c r="H28" s="308">
        <f t="shared" si="2"/>
        <v>5</v>
      </c>
      <c r="I28" s="311"/>
      <c r="J28" s="311"/>
      <c r="K28" s="311"/>
      <c r="L28" s="311"/>
      <c r="M28" s="302"/>
      <c r="N28" s="302"/>
      <c r="O28" s="290">
        <f t="shared" si="5"/>
        <v>0</v>
      </c>
      <c r="P28" s="300"/>
      <c r="Q28" s="288"/>
      <c r="R28" s="290"/>
      <c r="S28" s="299">
        <v>391.2</v>
      </c>
      <c r="T28" s="268" t="s">
        <v>379</v>
      </c>
      <c r="U28" s="298">
        <v>0.94</v>
      </c>
      <c r="V28" s="290">
        <f>+U28*$R$27</f>
        <v>1277341.7370953977</v>
      </c>
      <c r="W28" s="290">
        <f t="shared" si="4"/>
        <v>-266112.86189487448</v>
      </c>
      <c r="X28" s="288">
        <f>VLOOKUP(S28,'Dep Rates'!$A$2:$C$131,3,FALSE)</f>
        <v>0.2</v>
      </c>
      <c r="Y28" s="290">
        <f t="shared" si="3"/>
        <v>255468.34741907954</v>
      </c>
    </row>
    <row r="29" spans="1:25" s="268" customFormat="1" outlineLevel="1" x14ac:dyDescent="0.35">
      <c r="A29" s="274">
        <f t="shared" si="1"/>
        <v>24</v>
      </c>
      <c r="B29" s="274">
        <v>201748</v>
      </c>
      <c r="C29" s="268" t="s">
        <v>140</v>
      </c>
      <c r="D29" s="268" t="s">
        <v>381</v>
      </c>
      <c r="E29" s="297">
        <v>44105</v>
      </c>
      <c r="F29" s="295" t="s">
        <v>330</v>
      </c>
      <c r="G29" s="309">
        <v>12.5</v>
      </c>
      <c r="H29" s="308">
        <f t="shared" si="2"/>
        <v>3</v>
      </c>
      <c r="I29" s="303">
        <v>425168.75480000005</v>
      </c>
      <c r="J29" s="303">
        <v>40865.4836</v>
      </c>
      <c r="K29" s="303">
        <v>23818.110400000001</v>
      </c>
      <c r="L29" s="303">
        <v>1081</v>
      </c>
      <c r="M29" s="301">
        <f t="shared" ref="M29:M35" si="6">SUM(I29:L29)</f>
        <v>490933.34880000004</v>
      </c>
      <c r="N29" s="302"/>
      <c r="O29" s="290">
        <f t="shared" si="5"/>
        <v>490933.34880000004</v>
      </c>
      <c r="P29" s="300" t="s">
        <v>380</v>
      </c>
      <c r="Q29" s="288">
        <f>VLOOKUP(P29,Factors!$B$3:$D$25,3,FALSE)</f>
        <v>0.11529999999999996</v>
      </c>
      <c r="R29" s="290">
        <f t="shared" ref="R29:R35" si="7">+O29*Q29</f>
        <v>56604.615116639987</v>
      </c>
      <c r="S29" s="299">
        <v>303.7</v>
      </c>
      <c r="T29" s="268" t="s">
        <v>382</v>
      </c>
      <c r="U29" s="298">
        <v>1</v>
      </c>
      <c r="V29" s="290">
        <f t="shared" ref="V29:V34" si="8">+U29*$R29</f>
        <v>56604.615116639987</v>
      </c>
      <c r="W29" s="290">
        <f t="shared" si="4"/>
        <v>-19654.380248833328</v>
      </c>
      <c r="X29" s="288">
        <f>1/3</f>
        <v>0.33333333333333331</v>
      </c>
      <c r="Y29" s="290">
        <f t="shared" si="3"/>
        <v>18868.205038879994</v>
      </c>
    </row>
    <row r="30" spans="1:25" s="268" customFormat="1" outlineLevel="1" x14ac:dyDescent="0.35">
      <c r="A30" s="274">
        <f t="shared" si="1"/>
        <v>25</v>
      </c>
      <c r="B30" s="274">
        <v>201897</v>
      </c>
      <c r="C30" s="268" t="s">
        <v>390</v>
      </c>
      <c r="D30" s="268" t="s">
        <v>381</v>
      </c>
      <c r="E30" s="297">
        <v>44105</v>
      </c>
      <c r="F30" s="295" t="s">
        <v>330</v>
      </c>
      <c r="G30" s="309">
        <v>12.5</v>
      </c>
      <c r="H30" s="308">
        <f t="shared" si="2"/>
        <v>14.749262536873157</v>
      </c>
      <c r="I30" s="303">
        <v>4541948.7300000004</v>
      </c>
      <c r="J30" s="303">
        <v>346914.12</v>
      </c>
      <c r="K30" s="303">
        <v>97597.89</v>
      </c>
      <c r="L30" s="303">
        <v>9905</v>
      </c>
      <c r="M30" s="301">
        <f t="shared" si="6"/>
        <v>4996365.74</v>
      </c>
      <c r="N30" s="331"/>
      <c r="O30" s="290">
        <f t="shared" si="5"/>
        <v>4996365.74</v>
      </c>
      <c r="P30" s="300" t="s">
        <v>380</v>
      </c>
      <c r="Q30" s="288">
        <f>VLOOKUP(P30,Factors!$B$3:$D$25,3,FALSE)</f>
        <v>0.11529999999999996</v>
      </c>
      <c r="R30" s="290">
        <f t="shared" si="7"/>
        <v>576080.96982199978</v>
      </c>
      <c r="S30" s="299">
        <v>303.10000000000002</v>
      </c>
      <c r="T30" s="268" t="s">
        <v>383</v>
      </c>
      <c r="U30" s="298">
        <v>1</v>
      </c>
      <c r="V30" s="290">
        <f t="shared" si="8"/>
        <v>576080.96982199978</v>
      </c>
      <c r="W30" s="290">
        <f t="shared" si="4"/>
        <v>-40685.718493678731</v>
      </c>
      <c r="X30" s="288">
        <f>VLOOKUP(S30,'Dep Rates'!$A$2:$C$131,3,FALSE)</f>
        <v>6.7799999999999999E-2</v>
      </c>
      <c r="Y30" s="290">
        <f t="shared" si="3"/>
        <v>39058.289753931582</v>
      </c>
    </row>
    <row r="31" spans="1:25" s="268" customFormat="1" outlineLevel="1" x14ac:dyDescent="0.35">
      <c r="A31" s="274">
        <f t="shared" si="1"/>
        <v>26</v>
      </c>
      <c r="B31" s="274">
        <v>202094</v>
      </c>
      <c r="C31" s="268" t="s">
        <v>148</v>
      </c>
      <c r="D31" s="268" t="s">
        <v>381</v>
      </c>
      <c r="E31" s="319">
        <v>44228</v>
      </c>
      <c r="F31" s="295" t="s">
        <v>330</v>
      </c>
      <c r="G31" s="309">
        <v>8.5</v>
      </c>
      <c r="H31" s="308">
        <f t="shared" si="2"/>
        <v>4</v>
      </c>
      <c r="I31" s="303">
        <v>1559699.0499999998</v>
      </c>
      <c r="J31" s="303">
        <v>99544.13</v>
      </c>
      <c r="K31" s="303">
        <v>6641.54</v>
      </c>
      <c r="L31" s="303">
        <v>5418</v>
      </c>
      <c r="M31" s="301">
        <f t="shared" si="6"/>
        <v>1671302.7199999997</v>
      </c>
      <c r="N31" s="329"/>
      <c r="O31" s="290">
        <f t="shared" si="5"/>
        <v>1671302.7199999997</v>
      </c>
      <c r="P31" s="300" t="s">
        <v>380</v>
      </c>
      <c r="Q31" s="288">
        <f>VLOOKUP(P31,Factors!$B$3:$D$25,3,FALSE)</f>
        <v>0.11529999999999996</v>
      </c>
      <c r="R31" s="290">
        <f t="shared" si="7"/>
        <v>192701.2036159999</v>
      </c>
      <c r="S31" s="299">
        <v>303.7</v>
      </c>
      <c r="T31" s="268" t="s">
        <v>382</v>
      </c>
      <c r="U31" s="298">
        <v>1</v>
      </c>
      <c r="V31" s="290">
        <f t="shared" si="8"/>
        <v>192701.2036159999</v>
      </c>
      <c r="W31" s="290">
        <f t="shared" si="4"/>
        <v>-34124.171473666647</v>
      </c>
      <c r="X31" s="288">
        <f>1/4</f>
        <v>0.25</v>
      </c>
      <c r="Y31" s="290">
        <f t="shared" si="3"/>
        <v>48175.300903999974</v>
      </c>
    </row>
    <row r="32" spans="1:25" s="268" customFormat="1" outlineLevel="1" x14ac:dyDescent="0.35">
      <c r="A32" s="274">
        <f t="shared" si="1"/>
        <v>27</v>
      </c>
      <c r="B32" s="274">
        <v>202182</v>
      </c>
      <c r="C32" s="268" t="s">
        <v>389</v>
      </c>
      <c r="D32" s="268" t="s">
        <v>381</v>
      </c>
      <c r="E32" s="319">
        <v>44348</v>
      </c>
      <c r="F32" s="295" t="s">
        <v>330</v>
      </c>
      <c r="G32" s="309">
        <v>4.5</v>
      </c>
      <c r="H32" s="308">
        <f t="shared" si="2"/>
        <v>10</v>
      </c>
      <c r="I32" s="303">
        <v>1543313.11</v>
      </c>
      <c r="J32" s="303">
        <v>98289.3</v>
      </c>
      <c r="K32" s="303">
        <v>5143.87</v>
      </c>
      <c r="L32" s="303">
        <v>8572</v>
      </c>
      <c r="M32" s="301">
        <f t="shared" si="6"/>
        <v>1655318.2800000003</v>
      </c>
      <c r="N32" s="329"/>
      <c r="O32" s="290">
        <f t="shared" si="5"/>
        <v>1655318.2800000003</v>
      </c>
      <c r="P32" s="300" t="s">
        <v>380</v>
      </c>
      <c r="Q32" s="288">
        <f>VLOOKUP(P32,Factors!$B$3:$D$25,3,FALSE)</f>
        <v>0.11529999999999996</v>
      </c>
      <c r="R32" s="290">
        <f t="shared" si="7"/>
        <v>190858.19768399996</v>
      </c>
      <c r="S32" s="299">
        <v>303.7</v>
      </c>
      <c r="T32" s="268" t="s">
        <v>382</v>
      </c>
      <c r="U32" s="298">
        <v>1</v>
      </c>
      <c r="V32" s="290">
        <f t="shared" si="8"/>
        <v>190858.19768399996</v>
      </c>
      <c r="W32" s="290">
        <f t="shared" si="4"/>
        <v>-7157.1824131499989</v>
      </c>
      <c r="X32" s="288">
        <f>VLOOKUP(S32,'Dep Rates'!$A$2:$C$131,3,FALSE)</f>
        <v>0.1</v>
      </c>
      <c r="Y32" s="290">
        <f t="shared" si="3"/>
        <v>19085.819768399997</v>
      </c>
    </row>
    <row r="33" spans="1:26" s="268" customFormat="1" outlineLevel="1" x14ac:dyDescent="0.35">
      <c r="A33" s="274">
        <f t="shared" si="1"/>
        <v>28</v>
      </c>
      <c r="B33" s="274">
        <v>202016</v>
      </c>
      <c r="C33" s="268" t="s">
        <v>144</v>
      </c>
      <c r="D33" s="268" t="s">
        <v>381</v>
      </c>
      <c r="E33" s="297">
        <v>44105</v>
      </c>
      <c r="F33" s="295" t="s">
        <v>330</v>
      </c>
      <c r="G33" s="309">
        <v>12.5</v>
      </c>
      <c r="H33" s="308">
        <f t="shared" si="2"/>
        <v>14.992503748125937</v>
      </c>
      <c r="I33" s="303">
        <v>2772179.4699999997</v>
      </c>
      <c r="J33" s="303">
        <v>271371.96999999997</v>
      </c>
      <c r="K33" s="303">
        <v>55622.16</v>
      </c>
      <c r="L33" s="303">
        <v>0</v>
      </c>
      <c r="M33" s="301">
        <f t="shared" si="6"/>
        <v>3099173.5999999996</v>
      </c>
      <c r="N33" s="328"/>
      <c r="O33" s="290">
        <f t="shared" si="5"/>
        <v>3099173.5999999996</v>
      </c>
      <c r="P33" s="300" t="s">
        <v>380</v>
      </c>
      <c r="Q33" s="288">
        <f>VLOOKUP(P33,Factors!$B$3:$D$25,3,FALSE)</f>
        <v>0.11529999999999996</v>
      </c>
      <c r="R33" s="290">
        <f t="shared" si="7"/>
        <v>357334.71607999981</v>
      </c>
      <c r="S33" s="299">
        <v>397.2</v>
      </c>
      <c r="T33" s="268" t="s">
        <v>388</v>
      </c>
      <c r="U33" s="298">
        <v>1</v>
      </c>
      <c r="V33" s="290">
        <f t="shared" si="8"/>
        <v>357334.71607999981</v>
      </c>
      <c r="W33" s="290">
        <f t="shared" si="4"/>
        <v>-24827.318294308319</v>
      </c>
      <c r="X33" s="288">
        <f>VLOOKUP(S33,'Dep Rates'!$A$2:$C$131,3,FALSE)</f>
        <v>6.6699999999999995E-2</v>
      </c>
      <c r="Y33" s="290">
        <f t="shared" si="3"/>
        <v>23834.225562535987</v>
      </c>
      <c r="Z33" s="312"/>
    </row>
    <row r="34" spans="1:26" s="268" customFormat="1" outlineLevel="1" x14ac:dyDescent="0.35">
      <c r="A34" s="274">
        <f t="shared" si="1"/>
        <v>29</v>
      </c>
      <c r="B34" s="274">
        <v>202064</v>
      </c>
      <c r="C34" s="268" t="s">
        <v>146</v>
      </c>
      <c r="D34" s="268" t="s">
        <v>381</v>
      </c>
      <c r="E34" s="297">
        <v>44105</v>
      </c>
      <c r="F34" s="295" t="s">
        <v>330</v>
      </c>
      <c r="G34" s="309">
        <v>12.5</v>
      </c>
      <c r="H34" s="308">
        <f t="shared" si="2"/>
        <v>14.749262536873157</v>
      </c>
      <c r="I34" s="303">
        <v>1569827.56</v>
      </c>
      <c r="J34" s="303">
        <v>106501.06000000001</v>
      </c>
      <c r="K34" s="303">
        <v>14297.85</v>
      </c>
      <c r="L34" s="303">
        <v>1765</v>
      </c>
      <c r="M34" s="301">
        <f t="shared" si="6"/>
        <v>1692391.4700000002</v>
      </c>
      <c r="N34" s="328"/>
      <c r="O34" s="290">
        <f t="shared" si="5"/>
        <v>1692391.4700000002</v>
      </c>
      <c r="P34" s="300" t="s">
        <v>380</v>
      </c>
      <c r="Q34" s="288">
        <f>VLOOKUP(P34,Factors!$B$3:$D$25,3,FALSE)</f>
        <v>0.11529999999999996</v>
      </c>
      <c r="R34" s="290">
        <f t="shared" si="7"/>
        <v>195132.73649099996</v>
      </c>
      <c r="S34" s="299">
        <v>303.10000000000002</v>
      </c>
      <c r="T34" s="268" t="s">
        <v>383</v>
      </c>
      <c r="U34" s="298">
        <v>1</v>
      </c>
      <c r="V34" s="290">
        <f t="shared" si="8"/>
        <v>195132.73649099996</v>
      </c>
      <c r="W34" s="290">
        <f t="shared" si="4"/>
        <v>-13781.249514676872</v>
      </c>
      <c r="X34" s="288">
        <f>VLOOKUP(S34,'Dep Rates'!$A$2:$C$131,3,FALSE)</f>
        <v>6.7799999999999999E-2</v>
      </c>
      <c r="Y34" s="290">
        <f t="shared" si="3"/>
        <v>13229.999534089797</v>
      </c>
      <c r="Z34" s="312"/>
    </row>
    <row r="35" spans="1:26" s="373" customFormat="1" outlineLevel="1" x14ac:dyDescent="0.35">
      <c r="A35" s="360">
        <f t="shared" si="1"/>
        <v>30</v>
      </c>
      <c r="B35" s="360">
        <v>201425</v>
      </c>
      <c r="C35" s="361" t="s">
        <v>2</v>
      </c>
      <c r="D35" s="361" t="s">
        <v>370</v>
      </c>
      <c r="E35" s="362">
        <v>44256</v>
      </c>
      <c r="F35" s="363" t="s">
        <v>330</v>
      </c>
      <c r="G35" s="364">
        <v>7.5</v>
      </c>
      <c r="H35" s="365">
        <f>IF(X35=0,0,1/X35)</f>
        <v>66.666666666666671</v>
      </c>
      <c r="I35" s="366">
        <v>621458.21</v>
      </c>
      <c r="J35" s="366">
        <v>98227.88</v>
      </c>
      <c r="K35" s="366">
        <v>28233.279999999999</v>
      </c>
      <c r="L35" s="366">
        <v>4682</v>
      </c>
      <c r="M35" s="367">
        <f t="shared" si="6"/>
        <v>752601.37</v>
      </c>
      <c r="N35" s="368"/>
      <c r="O35" s="369">
        <f t="shared" si="5"/>
        <v>752601.37</v>
      </c>
      <c r="P35" s="370" t="s">
        <v>376</v>
      </c>
      <c r="Q35" s="371">
        <f>VLOOKUP(P35,Factors!$B$3:$D$25,3,FALSE)</f>
        <v>1</v>
      </c>
      <c r="R35" s="369">
        <f t="shared" si="7"/>
        <v>752601.37</v>
      </c>
      <c r="S35" s="372">
        <v>375</v>
      </c>
      <c r="T35" s="373" t="s">
        <v>375</v>
      </c>
      <c r="U35" s="374">
        <v>0.63900000000000001</v>
      </c>
      <c r="V35" s="369">
        <f>+$R$35*U35</f>
        <v>480912.27542999998</v>
      </c>
      <c r="W35" s="369">
        <f>IF(H35=0,0,-(V35/H35)/12*G35)</f>
        <v>-4508.5525821562496</v>
      </c>
      <c r="X35" s="371">
        <f>VLOOKUP(S35,'Dep Rates'!$A$2:$C$131,3,FALSE)</f>
        <v>1.4999999999999999E-2</v>
      </c>
      <c r="Y35" s="369">
        <f t="shared" si="3"/>
        <v>7213.6841314499998</v>
      </c>
      <c r="Z35" s="375"/>
    </row>
    <row r="36" spans="1:26" s="373" customFormat="1" outlineLevel="1" x14ac:dyDescent="0.35">
      <c r="A36" s="360">
        <f t="shared" si="1"/>
        <v>31</v>
      </c>
      <c r="B36" s="360"/>
      <c r="C36" s="361"/>
      <c r="D36" s="361" t="s">
        <v>370</v>
      </c>
      <c r="E36" s="362"/>
      <c r="F36" s="363" t="s">
        <v>330</v>
      </c>
      <c r="G36" s="376">
        <f>G35</f>
        <v>7.5</v>
      </c>
      <c r="H36" s="365">
        <f>IF(X36=0,0,1/X36)</f>
        <v>43.103448275862071</v>
      </c>
      <c r="I36" s="377"/>
      <c r="J36" s="377"/>
      <c r="K36" s="377"/>
      <c r="L36" s="377"/>
      <c r="M36" s="368"/>
      <c r="N36" s="368"/>
      <c r="O36" s="369">
        <f t="shared" si="5"/>
        <v>0</v>
      </c>
      <c r="P36" s="370"/>
      <c r="Q36" s="371"/>
      <c r="R36" s="369"/>
      <c r="S36" s="372">
        <v>376.12</v>
      </c>
      <c r="T36" s="373" t="s">
        <v>374</v>
      </c>
      <c r="U36" s="374">
        <v>4.2999999999999997E-2</v>
      </c>
      <c r="V36" s="369">
        <f>+$R$35*U36</f>
        <v>32361.858909999999</v>
      </c>
      <c r="W36" s="369">
        <f t="shared" ref="W36:W42" si="9">-(V36/H36)/12*G36</f>
        <v>-469.24695419499994</v>
      </c>
      <c r="X36" s="371">
        <f>VLOOKUP(S36,'Dep Rates'!$A$2:$C$131,3,FALSE)</f>
        <v>2.3199999999999998E-2</v>
      </c>
      <c r="Y36" s="369">
        <f t="shared" si="3"/>
        <v>750.79512671199996</v>
      </c>
      <c r="Z36" s="378"/>
    </row>
    <row r="37" spans="1:26" s="373" customFormat="1" outlineLevel="1" x14ac:dyDescent="0.35">
      <c r="A37" s="360">
        <f t="shared" si="1"/>
        <v>32</v>
      </c>
      <c r="B37" s="360"/>
      <c r="C37" s="361"/>
      <c r="D37" s="361" t="s">
        <v>370</v>
      </c>
      <c r="E37" s="362"/>
      <c r="F37" s="363" t="s">
        <v>330</v>
      </c>
      <c r="G37" s="376">
        <f>G36</f>
        <v>7.5</v>
      </c>
      <c r="H37" s="365">
        <f>IF(X37=0,0,1/X37)</f>
        <v>45.871559633027523</v>
      </c>
      <c r="I37" s="377"/>
      <c r="J37" s="377"/>
      <c r="K37" s="377"/>
      <c r="L37" s="377"/>
      <c r="M37" s="368"/>
      <c r="N37" s="368"/>
      <c r="O37" s="369">
        <f t="shared" si="5"/>
        <v>0</v>
      </c>
      <c r="P37" s="370"/>
      <c r="Q37" s="371"/>
      <c r="R37" s="369"/>
      <c r="S37" s="372">
        <v>378</v>
      </c>
      <c r="T37" s="373" t="s">
        <v>373</v>
      </c>
      <c r="U37" s="374">
        <v>0.28199999999999997</v>
      </c>
      <c r="V37" s="369">
        <f>+$R$35*U37</f>
        <v>212233.58633999998</v>
      </c>
      <c r="W37" s="369">
        <f t="shared" si="9"/>
        <v>-2891.6826138824995</v>
      </c>
      <c r="X37" s="371">
        <f>VLOOKUP(S37,'Dep Rates'!$A$2:$C$131,3,FALSE)</f>
        <v>2.18E-2</v>
      </c>
      <c r="Y37" s="369">
        <f t="shared" si="3"/>
        <v>4626.6921822119994</v>
      </c>
      <c r="Z37" s="378"/>
    </row>
    <row r="38" spans="1:26" s="373" customFormat="1" outlineLevel="1" x14ac:dyDescent="0.35">
      <c r="A38" s="360">
        <f t="shared" si="1"/>
        <v>33</v>
      </c>
      <c r="B38" s="360"/>
      <c r="C38" s="361"/>
      <c r="D38" s="361" t="s">
        <v>370</v>
      </c>
      <c r="E38" s="362"/>
      <c r="F38" s="363" t="s">
        <v>330</v>
      </c>
      <c r="G38" s="376">
        <f>G37</f>
        <v>7.5</v>
      </c>
      <c r="H38" s="365">
        <f>IF(X38=0,0,1/X38)</f>
        <v>33.11258278145695</v>
      </c>
      <c r="I38" s="377"/>
      <c r="J38" s="377"/>
      <c r="K38" s="377"/>
      <c r="L38" s="377"/>
      <c r="M38" s="368"/>
      <c r="N38" s="368"/>
      <c r="O38" s="369">
        <f t="shared" si="5"/>
        <v>0</v>
      </c>
      <c r="P38" s="370"/>
      <c r="Q38" s="371"/>
      <c r="R38" s="369"/>
      <c r="S38" s="372">
        <v>397.3</v>
      </c>
      <c r="T38" s="373" t="s">
        <v>372</v>
      </c>
      <c r="U38" s="374">
        <v>3.5999999999999997E-2</v>
      </c>
      <c r="V38" s="369">
        <f>+$R$35*U38</f>
        <v>27093.649319999997</v>
      </c>
      <c r="W38" s="369">
        <f t="shared" si="9"/>
        <v>-511.39263091499998</v>
      </c>
      <c r="X38" s="371">
        <f>VLOOKUP(S38,'Dep Rates'!$A$2:$C$131,3,FALSE)</f>
        <v>3.0200000000000001E-2</v>
      </c>
      <c r="Y38" s="369">
        <f t="shared" si="3"/>
        <v>818.22820946399997</v>
      </c>
      <c r="Z38" s="378"/>
    </row>
    <row r="39" spans="1:26" s="268" customFormat="1" outlineLevel="1" x14ac:dyDescent="0.35">
      <c r="A39" s="274">
        <f t="shared" si="1"/>
        <v>34</v>
      </c>
      <c r="B39" s="274">
        <v>202003</v>
      </c>
      <c r="C39" s="306" t="s">
        <v>19</v>
      </c>
      <c r="D39" s="306" t="s">
        <v>384</v>
      </c>
      <c r="E39" s="297">
        <v>44166</v>
      </c>
      <c r="F39" s="295" t="s">
        <v>330</v>
      </c>
      <c r="G39" s="309">
        <v>12.5</v>
      </c>
      <c r="H39" s="308">
        <f>1/X39</f>
        <v>44.052863436123346</v>
      </c>
      <c r="I39" s="303">
        <v>10255436.689999999</v>
      </c>
      <c r="J39" s="303">
        <v>857935.78</v>
      </c>
      <c r="K39" s="303">
        <v>59712.04</v>
      </c>
      <c r="L39" s="303">
        <v>39801</v>
      </c>
      <c r="M39" s="301">
        <f>SUM(I39:L39)</f>
        <v>11212885.509999998</v>
      </c>
      <c r="N39" s="302"/>
      <c r="O39" s="290">
        <f t="shared" si="5"/>
        <v>11212885.509999998</v>
      </c>
      <c r="P39" s="300" t="s">
        <v>376</v>
      </c>
      <c r="Q39" s="288">
        <f>VLOOKUP(P39,Factors!$B$3:$D$25,3,FALSE)</f>
        <v>1</v>
      </c>
      <c r="R39" s="290">
        <f>+O39*Q39</f>
        <v>11212885.509999998</v>
      </c>
      <c r="S39" s="299">
        <v>390</v>
      </c>
      <c r="T39" s="268" t="s">
        <v>375</v>
      </c>
      <c r="U39" s="298">
        <v>1</v>
      </c>
      <c r="V39" s="290">
        <f>R39*U39</f>
        <v>11212885.509999998</v>
      </c>
      <c r="W39" s="290">
        <f t="shared" si="9"/>
        <v>-265138.02195520827</v>
      </c>
      <c r="X39" s="288">
        <f>VLOOKUP(S39,'Dep Rates'!$A$2:$C$131,3,FALSE)</f>
        <v>2.2700000000000001E-2</v>
      </c>
      <c r="Y39" s="290">
        <f t="shared" si="3"/>
        <v>254532.50107699996</v>
      </c>
      <c r="Z39" s="312"/>
    </row>
    <row r="40" spans="1:26" s="268" customFormat="1" outlineLevel="1" x14ac:dyDescent="0.35">
      <c r="A40" s="274">
        <f t="shared" si="1"/>
        <v>35</v>
      </c>
      <c r="B40" s="274">
        <v>202194</v>
      </c>
      <c r="C40" s="268" t="s">
        <v>142</v>
      </c>
      <c r="D40" s="268" t="s">
        <v>381</v>
      </c>
      <c r="E40" s="319">
        <v>44166</v>
      </c>
      <c r="F40" s="295" t="s">
        <v>330</v>
      </c>
      <c r="G40" s="309">
        <v>10.5</v>
      </c>
      <c r="H40" s="308">
        <f>1/X40</f>
        <v>14.749262536873157</v>
      </c>
      <c r="I40" s="303">
        <v>887735.67499999993</v>
      </c>
      <c r="J40" s="303">
        <v>71148.485000000001</v>
      </c>
      <c r="K40" s="303">
        <v>3574.74</v>
      </c>
      <c r="L40" s="303">
        <v>3669</v>
      </c>
      <c r="M40" s="301">
        <f>SUM(I40:L40)</f>
        <v>966127.89999999991</v>
      </c>
      <c r="N40" s="329"/>
      <c r="O40" s="290">
        <f t="shared" si="5"/>
        <v>966127.89999999991</v>
      </c>
      <c r="P40" s="300" t="s">
        <v>380</v>
      </c>
      <c r="Q40" s="288">
        <f>VLOOKUP(P40,Factors!$B$3:$D$25,3,FALSE)</f>
        <v>0.11529999999999996</v>
      </c>
      <c r="R40" s="290">
        <f>+O40*Q40</f>
        <v>111394.54686999995</v>
      </c>
      <c r="S40" s="299">
        <v>303.10000000000002</v>
      </c>
      <c r="T40" s="268" t="s">
        <v>383</v>
      </c>
      <c r="U40" s="298">
        <v>1</v>
      </c>
      <c r="V40" s="290">
        <f>R40*U40</f>
        <v>111394.54686999995</v>
      </c>
      <c r="W40" s="290">
        <f t="shared" si="9"/>
        <v>-6608.4814930627463</v>
      </c>
      <c r="X40" s="288">
        <f>VLOOKUP(S40,'Dep Rates'!$A$2:$C$131,3,FALSE)</f>
        <v>6.7799999999999999E-2</v>
      </c>
      <c r="Y40" s="290">
        <f t="shared" si="3"/>
        <v>7552.5502777859965</v>
      </c>
      <c r="Z40" s="312"/>
    </row>
    <row r="41" spans="1:26" s="268" customFormat="1" outlineLevel="1" x14ac:dyDescent="0.35">
      <c r="A41" s="274">
        <f t="shared" si="1"/>
        <v>36</v>
      </c>
      <c r="B41" s="274">
        <v>202194</v>
      </c>
      <c r="C41" s="268" t="s">
        <v>143</v>
      </c>
      <c r="D41" s="268" t="s">
        <v>381</v>
      </c>
      <c r="E41" s="319">
        <v>44166</v>
      </c>
      <c r="F41" s="295" t="s">
        <v>330</v>
      </c>
      <c r="G41" s="309">
        <v>10.5</v>
      </c>
      <c r="H41" s="308">
        <f>1/X41</f>
        <v>5</v>
      </c>
      <c r="I41" s="303">
        <v>887735.67499999993</v>
      </c>
      <c r="J41" s="303">
        <v>71148.485000000001</v>
      </c>
      <c r="K41" s="303">
        <v>3574.74</v>
      </c>
      <c r="L41" s="303">
        <v>3669</v>
      </c>
      <c r="M41" s="301">
        <f>SUM(I41:L41)</f>
        <v>966127.89999999991</v>
      </c>
      <c r="N41" s="328"/>
      <c r="O41" s="290">
        <f t="shared" si="5"/>
        <v>966127.89999999991</v>
      </c>
      <c r="P41" s="300" t="s">
        <v>380</v>
      </c>
      <c r="Q41" s="288">
        <f>VLOOKUP(P41,Factors!$B$3:$D$25,3,FALSE)</f>
        <v>0.11529999999999996</v>
      </c>
      <c r="R41" s="290">
        <f>+O41*Q41</f>
        <v>111394.54686999995</v>
      </c>
      <c r="S41" s="299">
        <v>391.2</v>
      </c>
      <c r="T41" s="268" t="s">
        <v>379</v>
      </c>
      <c r="U41" s="298">
        <v>1</v>
      </c>
      <c r="V41" s="290">
        <f>R41*U41</f>
        <v>111394.54686999995</v>
      </c>
      <c r="W41" s="290">
        <f t="shared" si="9"/>
        <v>-19494.04570224999</v>
      </c>
      <c r="X41" s="288">
        <f>VLOOKUP(S41,'Dep Rates'!$A$2:$C$131,3,FALSE)</f>
        <v>0.2</v>
      </c>
      <c r="Y41" s="290">
        <f t="shared" si="3"/>
        <v>22278.909373999992</v>
      </c>
      <c r="Z41" s="312"/>
    </row>
    <row r="42" spans="1:26" s="268" customFormat="1" outlineLevel="1" x14ac:dyDescent="0.35">
      <c r="A42" s="274">
        <f t="shared" si="1"/>
        <v>37</v>
      </c>
      <c r="B42" s="320">
        <v>202264</v>
      </c>
      <c r="C42" s="314" t="s">
        <v>145</v>
      </c>
      <c r="D42" s="314" t="s">
        <v>381</v>
      </c>
      <c r="E42" s="319">
        <v>44440</v>
      </c>
      <c r="F42" s="295" t="s">
        <v>330</v>
      </c>
      <c r="G42" s="309">
        <v>1.5</v>
      </c>
      <c r="H42" s="308">
        <f>1/X42</f>
        <v>10</v>
      </c>
      <c r="I42" s="303">
        <v>1758837</v>
      </c>
      <c r="J42" s="303">
        <v>143549</v>
      </c>
      <c r="K42" s="303">
        <v>6940</v>
      </c>
      <c r="L42" s="303">
        <v>16632</v>
      </c>
      <c r="M42" s="301">
        <f>SUM(I42:L42)</f>
        <v>1925958</v>
      </c>
      <c r="N42" s="302">
        <v>467479</v>
      </c>
      <c r="O42" s="290">
        <f t="shared" si="5"/>
        <v>2393437</v>
      </c>
      <c r="P42" s="300" t="s">
        <v>380</v>
      </c>
      <c r="Q42" s="288">
        <f>VLOOKUP(P42,Factors!$B$3:$D$25,3,FALSE)</f>
        <v>0.11529999999999996</v>
      </c>
      <c r="R42" s="290">
        <f>+O42*Q42</f>
        <v>275963.28609999991</v>
      </c>
      <c r="S42" s="299">
        <v>303.7</v>
      </c>
      <c r="T42" s="268" t="s">
        <v>382</v>
      </c>
      <c r="U42" s="298">
        <v>1</v>
      </c>
      <c r="V42" s="290">
        <f>R42*U42</f>
        <v>275963.28609999991</v>
      </c>
      <c r="W42" s="290">
        <f t="shared" si="9"/>
        <v>-3449.5410762499987</v>
      </c>
      <c r="X42" s="288">
        <f>VLOOKUP(S42,'Dep Rates'!$A$2:$C$131,3,FALSE)</f>
        <v>0.1</v>
      </c>
      <c r="Y42" s="290">
        <f t="shared" si="3"/>
        <v>27596.328609999993</v>
      </c>
      <c r="Z42" s="312"/>
    </row>
    <row r="43" spans="1:26" s="373" customFormat="1" outlineLevel="1" x14ac:dyDescent="0.35">
      <c r="A43" s="360">
        <f t="shared" si="1"/>
        <v>38</v>
      </c>
      <c r="B43" s="380">
        <v>201979</v>
      </c>
      <c r="C43" s="381" t="s">
        <v>147</v>
      </c>
      <c r="D43" s="381" t="s">
        <v>381</v>
      </c>
      <c r="E43" s="382" t="s">
        <v>387</v>
      </c>
      <c r="F43" s="363" t="s">
        <v>330</v>
      </c>
      <c r="G43" s="365" t="s">
        <v>386</v>
      </c>
      <c r="H43" s="365">
        <f>1/X43</f>
        <v>14.749262536873157</v>
      </c>
      <c r="I43" s="366">
        <v>1198599.7009100001</v>
      </c>
      <c r="J43" s="366">
        <v>79151</v>
      </c>
      <c r="K43" s="366">
        <v>0</v>
      </c>
      <c r="L43" s="366">
        <v>0</v>
      </c>
      <c r="M43" s="367">
        <f>SUM(I43:L43)</f>
        <v>1277750.7009100001</v>
      </c>
      <c r="N43" s="383"/>
      <c r="O43" s="369">
        <f t="shared" si="5"/>
        <v>1277750.7009100001</v>
      </c>
      <c r="P43" s="370" t="s">
        <v>380</v>
      </c>
      <c r="Q43" s="371">
        <f>VLOOKUP(P43,Factors!$B$3:$D$25,3,FALSE)</f>
        <v>0.11529999999999996</v>
      </c>
      <c r="R43" s="369">
        <f>+O43*Q43</f>
        <v>147324.65581492297</v>
      </c>
      <c r="S43" s="372">
        <v>303.10000000000002</v>
      </c>
      <c r="T43" s="373" t="s">
        <v>383</v>
      </c>
      <c r="U43" s="374">
        <v>1</v>
      </c>
      <c r="V43" s="369">
        <f>R43*U43</f>
        <v>147324.65581492297</v>
      </c>
      <c r="W43" s="369">
        <f>-SUM('BI Strategy_Power BI'!C16:M16)</f>
        <v>-6351.5967583056663</v>
      </c>
      <c r="X43" s="371">
        <f>VLOOKUP(S43,'Dep Rates'!$A$2:$C$131,3,FALSE)</f>
        <v>6.7799999999999999E-2</v>
      </c>
      <c r="Y43" s="369">
        <f t="shared" si="3"/>
        <v>9988.6116642517773</v>
      </c>
      <c r="Z43" s="375"/>
    </row>
    <row r="44" spans="1:26" outlineLevel="1" x14ac:dyDescent="0.35">
      <c r="A44" s="274">
        <f t="shared" si="1"/>
        <v>39</v>
      </c>
      <c r="B44" s="320"/>
      <c r="C44" s="314"/>
      <c r="D44" s="314"/>
      <c r="E44" s="297"/>
      <c r="F44" s="295"/>
      <c r="G44" s="327"/>
      <c r="H44" s="308"/>
      <c r="I44" s="303"/>
      <c r="J44" s="303"/>
      <c r="K44" s="303"/>
      <c r="L44" s="303"/>
      <c r="M44" s="301"/>
      <c r="N44" s="294"/>
      <c r="O44" s="290"/>
      <c r="P44" s="300"/>
      <c r="Q44" s="291"/>
      <c r="R44" s="290"/>
      <c r="S44" s="299"/>
      <c r="T44" s="268"/>
      <c r="U44" s="298"/>
      <c r="V44" s="290"/>
      <c r="W44" s="290"/>
      <c r="X44" s="288"/>
      <c r="Y44" s="265"/>
      <c r="Z44" s="322"/>
    </row>
    <row r="45" spans="1:26" outlineLevel="1" x14ac:dyDescent="0.35">
      <c r="A45" s="274">
        <f t="shared" si="1"/>
        <v>40</v>
      </c>
      <c r="E45" s="297"/>
      <c r="F45" s="295"/>
      <c r="G45" s="295"/>
      <c r="H45" s="305"/>
      <c r="I45" s="295"/>
      <c r="J45" s="295"/>
      <c r="K45" s="295"/>
      <c r="L45" s="295"/>
      <c r="M45" s="294"/>
      <c r="O45" s="290"/>
      <c r="P45" s="292"/>
      <c r="Q45" s="291"/>
      <c r="R45" s="290"/>
      <c r="S45" s="289"/>
      <c r="T45" s="268"/>
      <c r="X45" s="291"/>
      <c r="Y45" s="265"/>
      <c r="Z45" s="322"/>
    </row>
    <row r="46" spans="1:26" x14ac:dyDescent="0.35">
      <c r="A46" s="274">
        <f t="shared" si="1"/>
        <v>41</v>
      </c>
      <c r="B46" s="283" t="s">
        <v>385</v>
      </c>
      <c r="C46" s="284"/>
      <c r="D46" s="284"/>
      <c r="E46" s="284"/>
      <c r="F46" s="284"/>
      <c r="G46" s="284"/>
      <c r="H46" s="326"/>
      <c r="I46" s="284"/>
      <c r="J46" s="284"/>
      <c r="K46" s="284"/>
      <c r="L46" s="284"/>
      <c r="M46" s="278">
        <f>SUM(M6:M45)</f>
        <v>87754119.220910013</v>
      </c>
      <c r="N46" s="284"/>
      <c r="O46" s="278">
        <f>SUM(O6:O45)</f>
        <v>88221598.220910013</v>
      </c>
      <c r="P46" s="325"/>
      <c r="Q46" s="324"/>
      <c r="R46" s="278">
        <f>SUM(R6:R45)</f>
        <v>22598984.60858592</v>
      </c>
      <c r="S46" s="323"/>
      <c r="T46" s="284"/>
      <c r="U46" s="285"/>
      <c r="V46" s="278">
        <f>SUM(V6:V45)</f>
        <v>22598984.608585924</v>
      </c>
      <c r="W46" s="278">
        <f>SUM(W6:W45)</f>
        <v>-863218.77373537712</v>
      </c>
      <c r="X46" s="284"/>
      <c r="Y46" s="278">
        <f>SUM(Y6:Y45)</f>
        <v>906066.07278298936</v>
      </c>
      <c r="Z46" s="322"/>
    </row>
    <row r="47" spans="1:26" s="268" customFormat="1" outlineLevel="1" x14ac:dyDescent="0.35">
      <c r="A47" s="274">
        <f t="shared" si="1"/>
        <v>42</v>
      </c>
      <c r="B47" s="274" t="s">
        <v>131</v>
      </c>
      <c r="C47" s="306" t="s">
        <v>20</v>
      </c>
      <c r="D47" s="306" t="s">
        <v>384</v>
      </c>
      <c r="E47" s="297">
        <v>44835</v>
      </c>
      <c r="F47" s="295" t="s">
        <v>329</v>
      </c>
      <c r="G47" s="313">
        <v>0.5</v>
      </c>
      <c r="H47" s="305">
        <f t="shared" ref="H47:H61" si="10">1/X47</f>
        <v>44.052863436123346</v>
      </c>
      <c r="I47" s="303">
        <v>4000000</v>
      </c>
      <c r="J47" s="303">
        <v>630761</v>
      </c>
      <c r="K47" s="303">
        <v>10567</v>
      </c>
      <c r="L47" s="303">
        <v>25412</v>
      </c>
      <c r="M47" s="301">
        <f t="shared" ref="M47:M56" si="11">SUM(I47:L47)</f>
        <v>4666740</v>
      </c>
      <c r="N47" s="302"/>
      <c r="O47" s="290">
        <f t="shared" ref="O47:O71" si="12">SUM(M47:N47)</f>
        <v>4666740</v>
      </c>
      <c r="P47" s="300" t="s">
        <v>376</v>
      </c>
      <c r="Q47" s="288">
        <f>VLOOKUP(P47,Factors!$B$3:$D$25,3,FALSE)</f>
        <v>1</v>
      </c>
      <c r="R47" s="290">
        <f t="shared" ref="R47:R56" si="13">+O47*Q47</f>
        <v>4666740</v>
      </c>
      <c r="S47" s="299">
        <v>390</v>
      </c>
      <c r="T47" s="268" t="s">
        <v>375</v>
      </c>
      <c r="U47" s="298">
        <v>1</v>
      </c>
      <c r="V47" s="290">
        <f>R47*U47</f>
        <v>4666740</v>
      </c>
      <c r="W47" s="290">
        <f t="shared" ref="W47:W61" si="14">-(V47/H47)/12*G47</f>
        <v>-4413.9582500000006</v>
      </c>
      <c r="X47" s="288">
        <f>VLOOKUP(S47,'Dep Rates'!$A$2:$C$131,3,FALSE)</f>
        <v>2.2700000000000001E-2</v>
      </c>
      <c r="Y47" s="290">
        <f t="shared" ref="Y47:Y71" si="15">SUM(V47)*X47</f>
        <v>105934.99800000001</v>
      </c>
      <c r="Z47" s="312"/>
    </row>
    <row r="48" spans="1:26" s="268" customFormat="1" outlineLevel="1" x14ac:dyDescent="0.35">
      <c r="A48" s="274">
        <f t="shared" si="1"/>
        <v>43</v>
      </c>
      <c r="B48" s="274">
        <v>202168</v>
      </c>
      <c r="C48" s="306" t="s">
        <v>133</v>
      </c>
      <c r="D48" s="306" t="s">
        <v>381</v>
      </c>
      <c r="E48" s="297">
        <v>44166</v>
      </c>
      <c r="F48" s="295" t="s">
        <v>329</v>
      </c>
      <c r="G48" s="309">
        <v>22.5</v>
      </c>
      <c r="H48" s="308">
        <f t="shared" si="10"/>
        <v>14.749262536873157</v>
      </c>
      <c r="I48" s="303">
        <v>1803847.7900000003</v>
      </c>
      <c r="J48" s="303">
        <v>152845.65</v>
      </c>
      <c r="K48" s="303">
        <v>8714.6299999999992</v>
      </c>
      <c r="L48" s="303">
        <v>274</v>
      </c>
      <c r="M48" s="301">
        <f t="shared" si="11"/>
        <v>1965682.07</v>
      </c>
      <c r="N48" s="302"/>
      <c r="O48" s="290">
        <f t="shared" si="12"/>
        <v>1965682.07</v>
      </c>
      <c r="P48" s="300" t="s">
        <v>380</v>
      </c>
      <c r="Q48" s="288">
        <f>VLOOKUP(P48,Factors!$B$3:$D$25,3,FALSE)</f>
        <v>0.11529999999999996</v>
      </c>
      <c r="R48" s="290">
        <f t="shared" si="13"/>
        <v>226643.14267099992</v>
      </c>
      <c r="S48" s="299">
        <v>303.10000000000002</v>
      </c>
      <c r="T48" s="268" t="s">
        <v>383</v>
      </c>
      <c r="U48" s="298">
        <v>1</v>
      </c>
      <c r="V48" s="290">
        <f>R48*U48</f>
        <v>226643.14267099992</v>
      </c>
      <c r="W48" s="290">
        <f t="shared" si="14"/>
        <v>-28812.009512050867</v>
      </c>
      <c r="X48" s="288">
        <f>VLOOKUP(S48,'Dep Rates'!$A$2:$C$131,3,FALSE)</f>
        <v>6.7799999999999999E-2</v>
      </c>
      <c r="Y48" s="301">
        <f t="shared" si="15"/>
        <v>15366.405073093794</v>
      </c>
      <c r="Z48" s="312"/>
    </row>
    <row r="49" spans="1:26" s="314" customFormat="1" outlineLevel="1" x14ac:dyDescent="0.35">
      <c r="A49" s="274">
        <f t="shared" si="1"/>
        <v>44</v>
      </c>
      <c r="B49" s="320" t="s">
        <v>131</v>
      </c>
      <c r="C49" s="314" t="s">
        <v>198</v>
      </c>
      <c r="D49" s="306" t="s">
        <v>381</v>
      </c>
      <c r="E49" s="319">
        <v>44470</v>
      </c>
      <c r="F49" s="295" t="s">
        <v>329</v>
      </c>
      <c r="G49" s="318">
        <v>12.5</v>
      </c>
      <c r="H49" s="304">
        <f t="shared" si="10"/>
        <v>14.749262536873157</v>
      </c>
      <c r="I49" s="303">
        <v>267700</v>
      </c>
      <c r="J49" s="303">
        <v>18404</v>
      </c>
      <c r="K49" s="303">
        <v>766</v>
      </c>
      <c r="L49" s="303">
        <v>1855</v>
      </c>
      <c r="M49" s="301">
        <f t="shared" si="11"/>
        <v>288725</v>
      </c>
      <c r="N49" s="321"/>
      <c r="O49" s="301">
        <f t="shared" si="12"/>
        <v>288725</v>
      </c>
      <c r="P49" s="300" t="s">
        <v>380</v>
      </c>
      <c r="Q49" s="288">
        <f>VLOOKUP(P49,Factors!$B$3:$D$25,3,FALSE)</f>
        <v>0.11529999999999996</v>
      </c>
      <c r="R49" s="301">
        <f t="shared" si="13"/>
        <v>33289.992499999986</v>
      </c>
      <c r="S49" s="316">
        <v>303.10000000000002</v>
      </c>
      <c r="T49" s="314" t="s">
        <v>383</v>
      </c>
      <c r="U49" s="315">
        <v>1</v>
      </c>
      <c r="V49" s="301">
        <f>+U49*$R49</f>
        <v>33289.992499999986</v>
      </c>
      <c r="W49" s="301">
        <f t="shared" si="14"/>
        <v>-2351.1057203124988</v>
      </c>
      <c r="X49" s="288">
        <f>VLOOKUP(S49,'Dep Rates'!$A$2:$C$131,3,FALSE)</f>
        <v>6.7799999999999999E-2</v>
      </c>
      <c r="Y49" s="301">
        <f t="shared" si="15"/>
        <v>2257.0614914999992</v>
      </c>
    </row>
    <row r="50" spans="1:26" s="314" customFormat="1" outlineLevel="1" x14ac:dyDescent="0.35">
      <c r="A50" s="274">
        <f t="shared" si="1"/>
        <v>45</v>
      </c>
      <c r="B50" s="320" t="s">
        <v>131</v>
      </c>
      <c r="C50" s="314" t="s">
        <v>199</v>
      </c>
      <c r="D50" s="306" t="s">
        <v>381</v>
      </c>
      <c r="E50" s="319">
        <v>44470</v>
      </c>
      <c r="F50" s="295" t="s">
        <v>329</v>
      </c>
      <c r="G50" s="318">
        <v>12.5</v>
      </c>
      <c r="H50" s="304">
        <f t="shared" si="10"/>
        <v>10</v>
      </c>
      <c r="I50" s="303">
        <v>3327300</v>
      </c>
      <c r="J50" s="303">
        <v>228742</v>
      </c>
      <c r="K50" s="303">
        <v>9515</v>
      </c>
      <c r="L50" s="303">
        <v>23058</v>
      </c>
      <c r="M50" s="301">
        <f t="shared" si="11"/>
        <v>3588615</v>
      </c>
      <c r="N50" s="317"/>
      <c r="O50" s="301">
        <f t="shared" si="12"/>
        <v>3588615</v>
      </c>
      <c r="P50" s="300" t="s">
        <v>380</v>
      </c>
      <c r="Q50" s="288">
        <f>VLOOKUP(P50,Factors!$B$3:$D$25,3,FALSE)</f>
        <v>0.11529999999999996</v>
      </c>
      <c r="R50" s="301">
        <f t="shared" si="13"/>
        <v>413767.30949999986</v>
      </c>
      <c r="S50" s="316">
        <v>303.7</v>
      </c>
      <c r="T50" s="314" t="s">
        <v>382</v>
      </c>
      <c r="U50" s="315">
        <v>1</v>
      </c>
      <c r="V50" s="301">
        <f>+U50*$R50</f>
        <v>413767.30949999986</v>
      </c>
      <c r="W50" s="301">
        <f t="shared" si="14"/>
        <v>-43100.761406249985</v>
      </c>
      <c r="X50" s="288">
        <f>VLOOKUP(S50,'Dep Rates'!$A$2:$C$131,3,FALSE)</f>
        <v>0.1</v>
      </c>
      <c r="Y50" s="301">
        <f t="shared" si="15"/>
        <v>41376.73094999999</v>
      </c>
    </row>
    <row r="51" spans="1:26" s="268" customFormat="1" outlineLevel="1" x14ac:dyDescent="0.35">
      <c r="A51" s="274">
        <f t="shared" si="1"/>
        <v>46</v>
      </c>
      <c r="B51" s="274" t="s">
        <v>131</v>
      </c>
      <c r="C51" s="306" t="s">
        <v>200</v>
      </c>
      <c r="D51" s="306" t="s">
        <v>381</v>
      </c>
      <c r="E51" s="297">
        <v>44805</v>
      </c>
      <c r="F51" s="295" t="s">
        <v>329</v>
      </c>
      <c r="G51" s="313">
        <v>1.5</v>
      </c>
      <c r="H51" s="305">
        <f t="shared" si="10"/>
        <v>14.749262536873157</v>
      </c>
      <c r="I51" s="303">
        <v>664340</v>
      </c>
      <c r="J51" s="303">
        <v>45671</v>
      </c>
      <c r="K51" s="303">
        <v>5925</v>
      </c>
      <c r="L51" s="303">
        <v>14210</v>
      </c>
      <c r="M51" s="301">
        <f t="shared" si="11"/>
        <v>730146</v>
      </c>
      <c r="N51" s="302"/>
      <c r="O51" s="290">
        <f t="shared" si="12"/>
        <v>730146</v>
      </c>
      <c r="P51" s="300" t="s">
        <v>380</v>
      </c>
      <c r="Q51" s="288">
        <f>VLOOKUP(P51,Factors!$B$3:$D$25,3,FALSE)</f>
        <v>0.11529999999999996</v>
      </c>
      <c r="R51" s="290">
        <f t="shared" si="13"/>
        <v>84185.833799999964</v>
      </c>
      <c r="S51" s="299">
        <v>303.10000000000002</v>
      </c>
      <c r="T51" s="268" t="s">
        <v>383</v>
      </c>
      <c r="U51" s="298">
        <v>1</v>
      </c>
      <c r="V51" s="290">
        <f>R51*U51</f>
        <v>84185.833799999964</v>
      </c>
      <c r="W51" s="290">
        <f t="shared" si="14"/>
        <v>-713.47494145499968</v>
      </c>
      <c r="X51" s="288">
        <f>VLOOKUP(S51,'Dep Rates'!$A$2:$C$131,3,FALSE)</f>
        <v>6.7799999999999999E-2</v>
      </c>
      <c r="Y51" s="301">
        <f t="shared" si="15"/>
        <v>5707.7995316399974</v>
      </c>
      <c r="Z51" s="312"/>
    </row>
    <row r="52" spans="1:26" s="268" customFormat="1" outlineLevel="1" x14ac:dyDescent="0.35">
      <c r="A52" s="274">
        <f t="shared" si="1"/>
        <v>47</v>
      </c>
      <c r="B52" s="274" t="s">
        <v>131</v>
      </c>
      <c r="C52" s="306" t="s">
        <v>201</v>
      </c>
      <c r="D52" s="306" t="s">
        <v>381</v>
      </c>
      <c r="E52" s="297">
        <v>44805</v>
      </c>
      <c r="F52" s="295" t="s">
        <v>329</v>
      </c>
      <c r="G52" s="313">
        <v>1.5</v>
      </c>
      <c r="H52" s="305">
        <f t="shared" si="10"/>
        <v>10</v>
      </c>
      <c r="I52" s="303">
        <v>461660</v>
      </c>
      <c r="J52" s="303">
        <v>31738</v>
      </c>
      <c r="K52" s="303">
        <v>4117</v>
      </c>
      <c r="L52" s="303">
        <v>9874</v>
      </c>
      <c r="M52" s="301">
        <f t="shared" si="11"/>
        <v>507389</v>
      </c>
      <c r="N52" s="302"/>
      <c r="O52" s="290">
        <f t="shared" si="12"/>
        <v>507389</v>
      </c>
      <c r="P52" s="300" t="s">
        <v>380</v>
      </c>
      <c r="Q52" s="288">
        <f>VLOOKUP(P52,Factors!$B$3:$D$25,3,FALSE)</f>
        <v>0.11529999999999996</v>
      </c>
      <c r="R52" s="290">
        <f t="shared" si="13"/>
        <v>58501.951699999976</v>
      </c>
      <c r="S52" s="299">
        <v>303.7</v>
      </c>
      <c r="T52" s="268" t="s">
        <v>382</v>
      </c>
      <c r="U52" s="298">
        <v>1</v>
      </c>
      <c r="V52" s="290">
        <f>R52*U52</f>
        <v>58501.951699999976</v>
      </c>
      <c r="W52" s="290">
        <f t="shared" si="14"/>
        <v>-731.27439624999965</v>
      </c>
      <c r="X52" s="288">
        <f>VLOOKUP(S52,'Dep Rates'!$A$2:$C$131,3,FALSE)</f>
        <v>0.1</v>
      </c>
      <c r="Y52" s="301">
        <f t="shared" si="15"/>
        <v>5850.1951699999981</v>
      </c>
      <c r="Z52" s="312"/>
    </row>
    <row r="53" spans="1:26" s="268" customFormat="1" outlineLevel="1" x14ac:dyDescent="0.35">
      <c r="A53" s="274">
        <f t="shared" si="1"/>
        <v>48</v>
      </c>
      <c r="B53" s="274" t="s">
        <v>131</v>
      </c>
      <c r="C53" s="306" t="s">
        <v>324</v>
      </c>
      <c r="D53" s="306" t="s">
        <v>381</v>
      </c>
      <c r="E53" s="297">
        <v>44805</v>
      </c>
      <c r="F53" s="295" t="s">
        <v>329</v>
      </c>
      <c r="G53" s="313">
        <v>1.5</v>
      </c>
      <c r="H53" s="304">
        <f t="shared" si="10"/>
        <v>14.749262536873157</v>
      </c>
      <c r="I53" s="303">
        <v>34482216.037770003</v>
      </c>
      <c r="J53" s="303">
        <v>2509256.1330444631</v>
      </c>
      <c r="K53" s="303">
        <v>163043.18912550743</v>
      </c>
      <c r="L53" s="303">
        <v>389323.17437176639</v>
      </c>
      <c r="M53" s="301">
        <f t="shared" si="11"/>
        <v>37543838.534311742</v>
      </c>
      <c r="N53" s="302">
        <v>342876.6797310175</v>
      </c>
      <c r="O53" s="301">
        <f t="shared" si="12"/>
        <v>37886715.21404276</v>
      </c>
      <c r="P53" s="300" t="s">
        <v>380</v>
      </c>
      <c r="Q53" s="288">
        <f>VLOOKUP(P53,Factors!$B$3:$D$25,3,FALSE)</f>
        <v>0.11529999999999996</v>
      </c>
      <c r="R53" s="290">
        <f t="shared" si="13"/>
        <v>4368338.2641791292</v>
      </c>
      <c r="S53" s="299">
        <v>303.10000000000002</v>
      </c>
      <c r="T53" s="268" t="s">
        <v>383</v>
      </c>
      <c r="U53" s="298">
        <v>1</v>
      </c>
      <c r="V53" s="290">
        <f>R53*U53</f>
        <v>4368338.2641791292</v>
      </c>
      <c r="W53" s="290">
        <f t="shared" si="14"/>
        <v>-37021.666788918119</v>
      </c>
      <c r="X53" s="288">
        <f>VLOOKUP(S53,'Dep Rates'!$A$2:$C$131,3,FALSE)</f>
        <v>6.7799999999999999E-2</v>
      </c>
      <c r="Y53" s="301">
        <f t="shared" si="15"/>
        <v>296173.33431134495</v>
      </c>
    </row>
    <row r="54" spans="1:26" s="268" customFormat="1" outlineLevel="1" x14ac:dyDescent="0.35">
      <c r="A54" s="274">
        <f t="shared" si="1"/>
        <v>49</v>
      </c>
      <c r="B54" s="274" t="s">
        <v>131</v>
      </c>
      <c r="C54" s="306" t="s">
        <v>325</v>
      </c>
      <c r="D54" s="306" t="s">
        <v>381</v>
      </c>
      <c r="E54" s="297">
        <v>44805</v>
      </c>
      <c r="F54" s="295" t="s">
        <v>329</v>
      </c>
      <c r="G54" s="313">
        <v>1.5</v>
      </c>
      <c r="H54" s="304">
        <f t="shared" si="10"/>
        <v>10</v>
      </c>
      <c r="I54" s="303">
        <v>25146588.87723</v>
      </c>
      <c r="J54" s="303">
        <v>1829002</v>
      </c>
      <c r="K54" s="303">
        <v>118927</v>
      </c>
      <c r="L54" s="303">
        <v>283981</v>
      </c>
      <c r="M54" s="301">
        <f t="shared" si="11"/>
        <v>27378498.87723</v>
      </c>
      <c r="N54" s="302">
        <v>250047.12259041809</v>
      </c>
      <c r="O54" s="301">
        <f t="shared" si="12"/>
        <v>27628545.999820419</v>
      </c>
      <c r="P54" s="300" t="s">
        <v>380</v>
      </c>
      <c r="Q54" s="288">
        <f>VLOOKUP(P54,Factors!$B$3:$D$25,3,FALSE)</f>
        <v>0.11529999999999996</v>
      </c>
      <c r="R54" s="290">
        <f t="shared" si="13"/>
        <v>3185571.3537792931</v>
      </c>
      <c r="S54" s="299">
        <v>303.7</v>
      </c>
      <c r="T54" s="268" t="s">
        <v>382</v>
      </c>
      <c r="U54" s="298">
        <v>1</v>
      </c>
      <c r="V54" s="290">
        <f>R54*U54</f>
        <v>3185571.3537792931</v>
      </c>
      <c r="W54" s="290">
        <f t="shared" si="14"/>
        <v>-39819.641922241164</v>
      </c>
      <c r="X54" s="288">
        <f>VLOOKUP(S54,'Dep Rates'!$A$2:$C$131,3,FALSE)</f>
        <v>0.1</v>
      </c>
      <c r="Y54" s="301">
        <f t="shared" si="15"/>
        <v>318557.13537792931</v>
      </c>
    </row>
    <row r="55" spans="1:26" s="268" customFormat="1" outlineLevel="1" x14ac:dyDescent="0.35">
      <c r="A55" s="274">
        <f t="shared" si="1"/>
        <v>50</v>
      </c>
      <c r="B55" s="274" t="s">
        <v>131</v>
      </c>
      <c r="C55" s="306" t="s">
        <v>326</v>
      </c>
      <c r="D55" s="306" t="s">
        <v>381</v>
      </c>
      <c r="E55" s="297">
        <v>44805</v>
      </c>
      <c r="F55" s="295" t="s">
        <v>329</v>
      </c>
      <c r="G55" s="313">
        <v>1.5</v>
      </c>
      <c r="H55" s="304">
        <f t="shared" si="10"/>
        <v>5</v>
      </c>
      <c r="I55" s="303">
        <v>510500</v>
      </c>
      <c r="J55" s="303">
        <v>37148.866955536883</v>
      </c>
      <c r="K55" s="303">
        <v>2413.8108744925703</v>
      </c>
      <c r="L55" s="303">
        <v>5763.8256282336079</v>
      </c>
      <c r="M55" s="301">
        <f t="shared" si="11"/>
        <v>555826.50345826312</v>
      </c>
      <c r="N55" s="302">
        <v>5076.1976785644056</v>
      </c>
      <c r="O55" s="301">
        <f t="shared" si="12"/>
        <v>560902.70113682747</v>
      </c>
      <c r="P55" s="300" t="s">
        <v>380</v>
      </c>
      <c r="Q55" s="288">
        <f>VLOOKUP(P55,Factors!$B$3:$D$25,3,FALSE)</f>
        <v>0.11529999999999996</v>
      </c>
      <c r="R55" s="290">
        <f t="shared" si="13"/>
        <v>64672.081441076181</v>
      </c>
      <c r="S55" s="299">
        <v>391.2</v>
      </c>
      <c r="T55" s="268" t="s">
        <v>379</v>
      </c>
      <c r="U55" s="298">
        <v>1</v>
      </c>
      <c r="V55" s="290">
        <f>R55*U55</f>
        <v>64672.081441076181</v>
      </c>
      <c r="W55" s="290">
        <f t="shared" si="14"/>
        <v>-1616.8020360269043</v>
      </c>
      <c r="X55" s="288">
        <f>VLOOKUP(S55,'Dep Rates'!$A$2:$C$131,3,FALSE)</f>
        <v>0.2</v>
      </c>
      <c r="Y55" s="301">
        <f t="shared" si="15"/>
        <v>12934.416288215238</v>
      </c>
    </row>
    <row r="56" spans="1:26" s="268" customFormat="1" outlineLevel="1" x14ac:dyDescent="0.35">
      <c r="A56" s="274">
        <f t="shared" si="1"/>
        <v>51</v>
      </c>
      <c r="B56" s="274" t="s">
        <v>131</v>
      </c>
      <c r="C56" s="306" t="s">
        <v>14</v>
      </c>
      <c r="D56" s="306" t="s">
        <v>370</v>
      </c>
      <c r="E56" s="297">
        <v>44470</v>
      </c>
      <c r="F56" s="295" t="s">
        <v>329</v>
      </c>
      <c r="G56" s="309">
        <v>12.5</v>
      </c>
      <c r="H56" s="308">
        <f t="shared" si="10"/>
        <v>53.191489361702132</v>
      </c>
      <c r="I56" s="303">
        <v>1500375</v>
      </c>
      <c r="J56" s="303">
        <v>752719</v>
      </c>
      <c r="K56" s="303">
        <v>2854</v>
      </c>
      <c r="L56" s="303">
        <v>6882</v>
      </c>
      <c r="M56" s="301">
        <f t="shared" si="11"/>
        <v>2262830</v>
      </c>
      <c r="N56" s="302"/>
      <c r="O56" s="290">
        <f t="shared" si="12"/>
        <v>2262830</v>
      </c>
      <c r="P56" s="307" t="s">
        <v>376</v>
      </c>
      <c r="Q56" s="288">
        <f>VLOOKUP(P56,Factors!$B$3:$D$25,3,FALSE)</f>
        <v>1</v>
      </c>
      <c r="R56" s="290">
        <f t="shared" si="13"/>
        <v>2262830</v>
      </c>
      <c r="S56" s="299">
        <v>367</v>
      </c>
      <c r="T56" s="268" t="s">
        <v>378</v>
      </c>
      <c r="U56" s="298">
        <v>0.2</v>
      </c>
      <c r="V56" s="290">
        <f>+$R$56*U56</f>
        <v>452566</v>
      </c>
      <c r="W56" s="290">
        <f t="shared" si="14"/>
        <v>-8862.7508333333317</v>
      </c>
      <c r="X56" s="288">
        <f>VLOOKUP(S56,'Dep Rates'!$A$2:$C$131,3,FALSE)</f>
        <v>1.8799999999999997E-2</v>
      </c>
      <c r="Y56" s="290">
        <f t="shared" si="15"/>
        <v>8508.2407999999996</v>
      </c>
    </row>
    <row r="57" spans="1:26" s="268" customFormat="1" outlineLevel="1" x14ac:dyDescent="0.35">
      <c r="A57" s="274">
        <f t="shared" si="1"/>
        <v>52</v>
      </c>
      <c r="B57" s="274"/>
      <c r="C57" s="306"/>
      <c r="D57" s="306" t="s">
        <v>370</v>
      </c>
      <c r="E57" s="297"/>
      <c r="F57" s="295" t="s">
        <v>329</v>
      </c>
      <c r="G57" s="309">
        <f>G56</f>
        <v>12.5</v>
      </c>
      <c r="H57" s="308">
        <f t="shared" si="10"/>
        <v>39.370078740157481</v>
      </c>
      <c r="I57" s="311"/>
      <c r="J57" s="311"/>
      <c r="K57" s="311"/>
      <c r="L57" s="311"/>
      <c r="M57" s="302"/>
      <c r="N57" s="302"/>
      <c r="O57" s="290">
        <f t="shared" si="12"/>
        <v>0</v>
      </c>
      <c r="P57" s="300"/>
      <c r="Q57" s="288"/>
      <c r="R57" s="290"/>
      <c r="S57" s="299">
        <v>376.11</v>
      </c>
      <c r="T57" s="268" t="s">
        <v>377</v>
      </c>
      <c r="U57" s="298">
        <v>0.42</v>
      </c>
      <c r="V57" s="290">
        <f>+$R$56*U57</f>
        <v>950388.6</v>
      </c>
      <c r="W57" s="290">
        <f t="shared" si="14"/>
        <v>-25145.698374999996</v>
      </c>
      <c r="X57" s="288">
        <f>VLOOKUP(S57,'Dep Rates'!$A$2:$C$131,3,FALSE)</f>
        <v>2.5399999999999999E-2</v>
      </c>
      <c r="Y57" s="290">
        <f t="shared" si="15"/>
        <v>24139.870439999999</v>
      </c>
    </row>
    <row r="58" spans="1:26" s="268" customFormat="1" outlineLevel="1" x14ac:dyDescent="0.35">
      <c r="A58" s="274">
        <f t="shared" si="1"/>
        <v>53</v>
      </c>
      <c r="B58" s="274"/>
      <c r="C58" s="306"/>
      <c r="D58" s="306" t="s">
        <v>370</v>
      </c>
      <c r="E58" s="297"/>
      <c r="F58" s="295" t="s">
        <v>329</v>
      </c>
      <c r="G58" s="309">
        <f>G57</f>
        <v>12.5</v>
      </c>
      <c r="H58" s="308">
        <f t="shared" si="10"/>
        <v>43.103448275862071</v>
      </c>
      <c r="I58" s="311"/>
      <c r="J58" s="311"/>
      <c r="K58" s="311"/>
      <c r="L58" s="311"/>
      <c r="M58" s="302"/>
      <c r="N58" s="302"/>
      <c r="O58" s="290">
        <f t="shared" si="12"/>
        <v>0</v>
      </c>
      <c r="P58" s="300"/>
      <c r="Q58" s="288"/>
      <c r="R58" s="290"/>
      <c r="S58" s="299">
        <v>376.12</v>
      </c>
      <c r="T58" s="268" t="s">
        <v>374</v>
      </c>
      <c r="U58" s="298">
        <v>0.38</v>
      </c>
      <c r="V58" s="290">
        <f>+$R$56*U58</f>
        <v>859875.4</v>
      </c>
      <c r="W58" s="290">
        <f t="shared" si="14"/>
        <v>-20780.322166666669</v>
      </c>
      <c r="X58" s="288">
        <f>VLOOKUP(S58,'Dep Rates'!$A$2:$C$131,3,FALSE)</f>
        <v>2.3199999999999998E-2</v>
      </c>
      <c r="Y58" s="290">
        <f t="shared" si="15"/>
        <v>19949.109280000001</v>
      </c>
    </row>
    <row r="59" spans="1:26" s="268" customFormat="1" outlineLevel="1" x14ac:dyDescent="0.35">
      <c r="A59" s="274">
        <f t="shared" si="1"/>
        <v>54</v>
      </c>
      <c r="B59" s="274">
        <v>202110</v>
      </c>
      <c r="C59" s="306" t="s">
        <v>23</v>
      </c>
      <c r="D59" s="306" t="s">
        <v>370</v>
      </c>
      <c r="E59" s="297">
        <v>44470</v>
      </c>
      <c r="F59" s="295" t="s">
        <v>329</v>
      </c>
      <c r="G59" s="309">
        <v>12.5</v>
      </c>
      <c r="H59" s="308">
        <f t="shared" si="10"/>
        <v>53.191489361702132</v>
      </c>
      <c r="I59" s="303">
        <v>1758378.52</v>
      </c>
      <c r="J59" s="303">
        <v>881064.58</v>
      </c>
      <c r="K59" s="303">
        <v>3796.65</v>
      </c>
      <c r="L59" s="303">
        <v>8244</v>
      </c>
      <c r="M59" s="301">
        <f>SUM(I59:L59)</f>
        <v>2651483.75</v>
      </c>
      <c r="N59" s="302"/>
      <c r="O59" s="290">
        <f t="shared" si="12"/>
        <v>2651483.75</v>
      </c>
      <c r="P59" s="300" t="s">
        <v>376</v>
      </c>
      <c r="Q59" s="288">
        <f>VLOOKUP(P59,Factors!$B$3:$D$25,3,FALSE)</f>
        <v>1</v>
      </c>
      <c r="R59" s="290">
        <f>+O59*Q59</f>
        <v>2651483.75</v>
      </c>
      <c r="S59" s="299">
        <v>367</v>
      </c>
      <c r="T59" s="268" t="s">
        <v>378</v>
      </c>
      <c r="U59" s="298">
        <v>0.85</v>
      </c>
      <c r="V59" s="290">
        <f>+$R$59*U59</f>
        <v>2253761.1875</v>
      </c>
      <c r="W59" s="290">
        <f t="shared" si="14"/>
        <v>-44136.156588541664</v>
      </c>
      <c r="X59" s="288">
        <f>VLOOKUP(S59,'Dep Rates'!$A$2:$C$131,3,FALSE)</f>
        <v>1.8799999999999997E-2</v>
      </c>
      <c r="Y59" s="290">
        <f t="shared" si="15"/>
        <v>42370.710324999993</v>
      </c>
    </row>
    <row r="60" spans="1:26" s="268" customFormat="1" outlineLevel="1" x14ac:dyDescent="0.35">
      <c r="A60" s="274">
        <f t="shared" si="1"/>
        <v>55</v>
      </c>
      <c r="B60" s="274"/>
      <c r="C60" s="306"/>
      <c r="D60" s="306" t="s">
        <v>370</v>
      </c>
      <c r="E60" s="297"/>
      <c r="F60" s="295" t="s">
        <v>329</v>
      </c>
      <c r="G60" s="309">
        <f>G59</f>
        <v>12.5</v>
      </c>
      <c r="H60" s="308">
        <f t="shared" si="10"/>
        <v>39.370078740157481</v>
      </c>
      <c r="I60" s="311"/>
      <c r="J60" s="311"/>
      <c r="K60" s="311"/>
      <c r="L60" s="311"/>
      <c r="M60" s="302"/>
      <c r="N60" s="302"/>
      <c r="O60" s="290">
        <f t="shared" si="12"/>
        <v>0</v>
      </c>
      <c r="P60" s="300"/>
      <c r="Q60" s="288"/>
      <c r="R60" s="290"/>
      <c r="S60" s="299">
        <v>376.11</v>
      </c>
      <c r="T60" s="268" t="s">
        <v>377</v>
      </c>
      <c r="U60" s="298">
        <v>0.05</v>
      </c>
      <c r="V60" s="290">
        <f>+$R$59*U60</f>
        <v>132574.1875</v>
      </c>
      <c r="W60" s="290">
        <f t="shared" si="14"/>
        <v>-3507.6920442708333</v>
      </c>
      <c r="X60" s="288">
        <f>VLOOKUP(S60,'Dep Rates'!$A$2:$C$131,3,FALSE)</f>
        <v>2.5399999999999999E-2</v>
      </c>
      <c r="Y60" s="290">
        <f t="shared" si="15"/>
        <v>3367.3843625</v>
      </c>
    </row>
    <row r="61" spans="1:26" s="268" customFormat="1" outlineLevel="1" x14ac:dyDescent="0.35">
      <c r="A61" s="274">
        <f t="shared" si="1"/>
        <v>56</v>
      </c>
      <c r="B61" s="274"/>
      <c r="C61" s="306"/>
      <c r="D61" s="306" t="s">
        <v>370</v>
      </c>
      <c r="E61" s="297"/>
      <c r="F61" s="295" t="s">
        <v>329</v>
      </c>
      <c r="G61" s="309">
        <f>G60</f>
        <v>12.5</v>
      </c>
      <c r="H61" s="308">
        <f t="shared" si="10"/>
        <v>43.103448275862071</v>
      </c>
      <c r="I61" s="311"/>
      <c r="J61" s="311"/>
      <c r="K61" s="311"/>
      <c r="L61" s="311"/>
      <c r="M61" s="302"/>
      <c r="N61" s="302"/>
      <c r="O61" s="290">
        <f t="shared" si="12"/>
        <v>0</v>
      </c>
      <c r="P61" s="300"/>
      <c r="Q61" s="288"/>
      <c r="R61" s="290"/>
      <c r="S61" s="299">
        <v>376.12</v>
      </c>
      <c r="T61" s="268" t="s">
        <v>374</v>
      </c>
      <c r="U61" s="298">
        <v>0.1</v>
      </c>
      <c r="V61" s="290">
        <f>+$R$59*U61</f>
        <v>265148.375</v>
      </c>
      <c r="W61" s="290">
        <f t="shared" si="14"/>
        <v>-6407.7523958333331</v>
      </c>
      <c r="X61" s="288">
        <f>VLOOKUP(S61,'Dep Rates'!$A$2:$C$131,3,FALSE)</f>
        <v>2.3199999999999998E-2</v>
      </c>
      <c r="Y61" s="290">
        <f t="shared" si="15"/>
        <v>6151.4422999999997</v>
      </c>
    </row>
    <row r="62" spans="1:26" s="268" customFormat="1" outlineLevel="1" x14ac:dyDescent="0.35">
      <c r="A62" s="274">
        <f t="shared" si="1"/>
        <v>57</v>
      </c>
      <c r="B62" s="274" t="s">
        <v>131</v>
      </c>
      <c r="C62" s="306" t="s">
        <v>44</v>
      </c>
      <c r="D62" s="306" t="s">
        <v>370</v>
      </c>
      <c r="E62" s="297">
        <v>44470</v>
      </c>
      <c r="F62" s="295" t="s">
        <v>329</v>
      </c>
      <c r="G62" s="309">
        <v>12.5</v>
      </c>
      <c r="H62" s="308">
        <f t="shared" ref="H62:H69" si="16">IF(X62=0,0,1/X62)</f>
        <v>66.666666666666671</v>
      </c>
      <c r="I62" s="303">
        <v>1165000</v>
      </c>
      <c r="J62" s="303">
        <v>198678</v>
      </c>
      <c r="K62" s="303">
        <v>1589</v>
      </c>
      <c r="L62" s="303">
        <v>3849</v>
      </c>
      <c r="M62" s="301">
        <f>SUM(I62:L62)</f>
        <v>1369116</v>
      </c>
      <c r="N62" s="302"/>
      <c r="O62" s="290">
        <f t="shared" si="12"/>
        <v>1369116</v>
      </c>
      <c r="P62" s="300" t="s">
        <v>376</v>
      </c>
      <c r="Q62" s="288">
        <f>VLOOKUP(P62,Factors!$B$3:$D$25,3,FALSE)</f>
        <v>1</v>
      </c>
      <c r="R62" s="290">
        <f>+O62*Q62</f>
        <v>1369116</v>
      </c>
      <c r="S62" s="299">
        <v>375</v>
      </c>
      <c r="T62" s="268" t="s">
        <v>375</v>
      </c>
      <c r="U62" s="298">
        <v>0.63900000000000001</v>
      </c>
      <c r="V62" s="301">
        <f>+$R$62*U62</f>
        <v>874865.12400000007</v>
      </c>
      <c r="W62" s="290">
        <f t="shared" ref="W62:W69" si="17">IF(H62=0,0,-(V62/H62)/12*G62)</f>
        <v>-13669.767562500001</v>
      </c>
      <c r="X62" s="288">
        <f>VLOOKUP(S62,'Dep Rates'!$A$2:$C$131,3,FALSE)</f>
        <v>1.4999999999999999E-2</v>
      </c>
      <c r="Y62" s="290">
        <f t="shared" si="15"/>
        <v>13122.976860000001</v>
      </c>
      <c r="Z62" s="312"/>
    </row>
    <row r="63" spans="1:26" s="268" customFormat="1" outlineLevel="1" x14ac:dyDescent="0.35">
      <c r="A63" s="274">
        <f t="shared" si="1"/>
        <v>58</v>
      </c>
      <c r="B63" s="274"/>
      <c r="C63" s="306"/>
      <c r="D63" s="306" t="s">
        <v>370</v>
      </c>
      <c r="E63" s="297"/>
      <c r="F63" s="295" t="s">
        <v>329</v>
      </c>
      <c r="G63" s="309">
        <f>G62</f>
        <v>12.5</v>
      </c>
      <c r="H63" s="308">
        <f t="shared" si="16"/>
        <v>43.103448275862071</v>
      </c>
      <c r="I63" s="311"/>
      <c r="J63" s="311"/>
      <c r="K63" s="311"/>
      <c r="L63" s="311"/>
      <c r="M63" s="302"/>
      <c r="N63" s="302"/>
      <c r="O63" s="290">
        <f t="shared" si="12"/>
        <v>0</v>
      </c>
      <c r="P63" s="300"/>
      <c r="Q63" s="288"/>
      <c r="R63" s="290"/>
      <c r="S63" s="299">
        <v>376.12</v>
      </c>
      <c r="T63" s="268" t="s">
        <v>374</v>
      </c>
      <c r="U63" s="298">
        <v>4.2999999999999997E-2</v>
      </c>
      <c r="V63" s="301">
        <f>+$R$62*U63</f>
        <v>58871.987999999998</v>
      </c>
      <c r="W63" s="290">
        <f t="shared" si="17"/>
        <v>-1422.7397099999998</v>
      </c>
      <c r="X63" s="288">
        <f>VLOOKUP(S63,'Dep Rates'!$A$2:$C$131,3,FALSE)</f>
        <v>2.3199999999999998E-2</v>
      </c>
      <c r="Y63" s="290">
        <f t="shared" si="15"/>
        <v>1365.8301215999998</v>
      </c>
      <c r="Z63" s="310"/>
    </row>
    <row r="64" spans="1:26" s="268" customFormat="1" outlineLevel="1" x14ac:dyDescent="0.35">
      <c r="A64" s="274">
        <f t="shared" si="1"/>
        <v>59</v>
      </c>
      <c r="B64" s="274"/>
      <c r="C64" s="306"/>
      <c r="D64" s="306" t="s">
        <v>370</v>
      </c>
      <c r="E64" s="297"/>
      <c r="F64" s="295" t="s">
        <v>329</v>
      </c>
      <c r="G64" s="309">
        <f>G63</f>
        <v>12.5</v>
      </c>
      <c r="H64" s="308">
        <f t="shared" si="16"/>
        <v>45.871559633027523</v>
      </c>
      <c r="I64" s="311"/>
      <c r="J64" s="311"/>
      <c r="K64" s="311"/>
      <c r="L64" s="311"/>
      <c r="M64" s="302"/>
      <c r="N64" s="302"/>
      <c r="O64" s="290">
        <f t="shared" si="12"/>
        <v>0</v>
      </c>
      <c r="P64" s="300"/>
      <c r="Q64" s="288"/>
      <c r="R64" s="290"/>
      <c r="S64" s="299">
        <v>378</v>
      </c>
      <c r="T64" s="268" t="s">
        <v>373</v>
      </c>
      <c r="U64" s="298">
        <v>0.28199999999999997</v>
      </c>
      <c r="V64" s="301">
        <f>+$R$62*U64</f>
        <v>386090.71199999994</v>
      </c>
      <c r="W64" s="290">
        <f t="shared" si="17"/>
        <v>-8767.4765849999985</v>
      </c>
      <c r="X64" s="288">
        <f>VLOOKUP(S64,'Dep Rates'!$A$2:$C$131,3,FALSE)</f>
        <v>2.18E-2</v>
      </c>
      <c r="Y64" s="290">
        <f t="shared" si="15"/>
        <v>8416.7775215999991</v>
      </c>
      <c r="Z64" s="310"/>
    </row>
    <row r="65" spans="1:26" s="268" customFormat="1" outlineLevel="1" x14ac:dyDescent="0.35">
      <c r="A65" s="274">
        <f t="shared" si="1"/>
        <v>60</v>
      </c>
      <c r="B65" s="274"/>
      <c r="C65" s="306"/>
      <c r="D65" s="306" t="s">
        <v>370</v>
      </c>
      <c r="E65" s="297"/>
      <c r="F65" s="295" t="s">
        <v>329</v>
      </c>
      <c r="G65" s="309">
        <f>G64</f>
        <v>12.5</v>
      </c>
      <c r="H65" s="308">
        <f t="shared" si="16"/>
        <v>33.11258278145695</v>
      </c>
      <c r="I65" s="311"/>
      <c r="J65" s="311"/>
      <c r="K65" s="311"/>
      <c r="L65" s="311"/>
      <c r="M65" s="302"/>
      <c r="N65" s="302"/>
      <c r="O65" s="290">
        <f t="shared" si="12"/>
        <v>0</v>
      </c>
      <c r="P65" s="300"/>
      <c r="Q65" s="288"/>
      <c r="R65" s="290"/>
      <c r="S65" s="299">
        <v>397.3</v>
      </c>
      <c r="T65" s="268" t="s">
        <v>372</v>
      </c>
      <c r="U65" s="298">
        <v>3.5999999999999997E-2</v>
      </c>
      <c r="V65" s="301">
        <f>+$R$62*U65</f>
        <v>49288.175999999999</v>
      </c>
      <c r="W65" s="290">
        <f t="shared" si="17"/>
        <v>-1550.5238700000002</v>
      </c>
      <c r="X65" s="288">
        <f>VLOOKUP(S65,'Dep Rates'!$A$2:$C$131,3,FALSE)</f>
        <v>3.0200000000000001E-2</v>
      </c>
      <c r="Y65" s="290">
        <f t="shared" si="15"/>
        <v>1488.5029152</v>
      </c>
      <c r="Z65" s="310"/>
    </row>
    <row r="66" spans="1:26" s="268" customFormat="1" outlineLevel="1" x14ac:dyDescent="0.35">
      <c r="A66" s="274">
        <f t="shared" si="1"/>
        <v>61</v>
      </c>
      <c r="B66" s="274" t="s">
        <v>131</v>
      </c>
      <c r="C66" s="306" t="s">
        <v>45</v>
      </c>
      <c r="D66" s="306" t="s">
        <v>370</v>
      </c>
      <c r="E66" s="297">
        <v>44470</v>
      </c>
      <c r="F66" s="295" t="s">
        <v>329</v>
      </c>
      <c r="G66" s="309">
        <v>12.5</v>
      </c>
      <c r="H66" s="308">
        <f t="shared" si="16"/>
        <v>66.666666666666671</v>
      </c>
      <c r="I66" s="303">
        <v>1329500</v>
      </c>
      <c r="J66" s="303">
        <v>327451</v>
      </c>
      <c r="K66" s="303">
        <v>2813</v>
      </c>
      <c r="L66" s="303">
        <v>6811</v>
      </c>
      <c r="M66" s="301">
        <f>SUM(I66:L66)</f>
        <v>1666575</v>
      </c>
      <c r="N66" s="302"/>
      <c r="O66" s="290">
        <f t="shared" si="12"/>
        <v>1666575</v>
      </c>
      <c r="P66" s="300" t="s">
        <v>376</v>
      </c>
      <c r="Q66" s="288">
        <f>VLOOKUP(P66,Factors!$B$3:$D$25,3,FALSE)</f>
        <v>1</v>
      </c>
      <c r="R66" s="290">
        <f>+O66*Q66</f>
        <v>1666575</v>
      </c>
      <c r="S66" s="299">
        <v>375</v>
      </c>
      <c r="T66" s="268" t="s">
        <v>375</v>
      </c>
      <c r="U66" s="298">
        <v>0.63900000000000001</v>
      </c>
      <c r="V66" s="301">
        <f>+$R$66*U66</f>
        <v>1064941.425</v>
      </c>
      <c r="W66" s="290">
        <f t="shared" si="17"/>
        <v>-16639.709765625001</v>
      </c>
      <c r="X66" s="288">
        <f>VLOOKUP(S66,'Dep Rates'!$A$2:$C$131,3,FALSE)</f>
        <v>1.4999999999999999E-2</v>
      </c>
      <c r="Y66" s="290">
        <f t="shared" si="15"/>
        <v>15974.121375000001</v>
      </c>
      <c r="Z66" s="310"/>
    </row>
    <row r="67" spans="1:26" s="268" customFormat="1" outlineLevel="1" x14ac:dyDescent="0.35">
      <c r="A67" s="274">
        <f t="shared" si="1"/>
        <v>62</v>
      </c>
      <c r="B67" s="274"/>
      <c r="C67" s="306"/>
      <c r="D67" s="306" t="s">
        <v>370</v>
      </c>
      <c r="E67" s="297"/>
      <c r="F67" s="295" t="s">
        <v>329</v>
      </c>
      <c r="G67" s="309">
        <f>G66</f>
        <v>12.5</v>
      </c>
      <c r="H67" s="308">
        <f t="shared" si="16"/>
        <v>43.103448275862071</v>
      </c>
      <c r="I67" s="311"/>
      <c r="J67" s="311"/>
      <c r="K67" s="311"/>
      <c r="L67" s="311"/>
      <c r="M67" s="302"/>
      <c r="N67" s="302"/>
      <c r="O67" s="290">
        <f t="shared" si="12"/>
        <v>0</v>
      </c>
      <c r="P67" s="300"/>
      <c r="Q67" s="288"/>
      <c r="R67" s="290"/>
      <c r="S67" s="299">
        <v>376.12</v>
      </c>
      <c r="T67" s="268" t="s">
        <v>374</v>
      </c>
      <c r="U67" s="298">
        <v>4.2999999999999997E-2</v>
      </c>
      <c r="V67" s="301">
        <f>+$R$66*U67</f>
        <v>71662.724999999991</v>
      </c>
      <c r="W67" s="290">
        <f t="shared" si="17"/>
        <v>-1731.8491874999995</v>
      </c>
      <c r="X67" s="288">
        <f>VLOOKUP(S67,'Dep Rates'!$A$2:$C$131,3,FALSE)</f>
        <v>2.3199999999999998E-2</v>
      </c>
      <c r="Y67" s="290">
        <f t="shared" si="15"/>
        <v>1662.5752199999997</v>
      </c>
      <c r="Z67" s="310"/>
    </row>
    <row r="68" spans="1:26" s="268" customFormat="1" outlineLevel="1" x14ac:dyDescent="0.35">
      <c r="A68" s="274">
        <f t="shared" si="1"/>
        <v>63</v>
      </c>
      <c r="B68" s="274"/>
      <c r="C68" s="306"/>
      <c r="D68" s="306" t="s">
        <v>370</v>
      </c>
      <c r="E68" s="297"/>
      <c r="F68" s="295" t="s">
        <v>329</v>
      </c>
      <c r="G68" s="309">
        <f>G67</f>
        <v>12.5</v>
      </c>
      <c r="H68" s="308">
        <f t="shared" si="16"/>
        <v>45.871559633027523</v>
      </c>
      <c r="I68" s="311"/>
      <c r="J68" s="311"/>
      <c r="K68" s="311"/>
      <c r="L68" s="311"/>
      <c r="M68" s="302"/>
      <c r="N68" s="302"/>
      <c r="O68" s="290">
        <f t="shared" si="12"/>
        <v>0</v>
      </c>
      <c r="P68" s="300"/>
      <c r="Q68" s="288"/>
      <c r="R68" s="290"/>
      <c r="S68" s="299">
        <v>378</v>
      </c>
      <c r="T68" s="268" t="s">
        <v>373</v>
      </c>
      <c r="U68" s="298">
        <v>0.28199999999999997</v>
      </c>
      <c r="V68" s="301">
        <f>+$R$66*U68</f>
        <v>469974.14999999997</v>
      </c>
      <c r="W68" s="290">
        <f t="shared" si="17"/>
        <v>-10672.329656249998</v>
      </c>
      <c r="X68" s="288">
        <f>VLOOKUP(S68,'Dep Rates'!$A$2:$C$131,3,FALSE)</f>
        <v>2.18E-2</v>
      </c>
      <c r="Y68" s="290">
        <f t="shared" si="15"/>
        <v>10245.436469999999</v>
      </c>
      <c r="Z68" s="310"/>
    </row>
    <row r="69" spans="1:26" s="268" customFormat="1" outlineLevel="1" x14ac:dyDescent="0.35">
      <c r="A69" s="274">
        <f t="shared" si="1"/>
        <v>64</v>
      </c>
      <c r="B69" s="274"/>
      <c r="C69" s="306"/>
      <c r="D69" s="306" t="s">
        <v>370</v>
      </c>
      <c r="E69" s="297"/>
      <c r="F69" s="295" t="s">
        <v>329</v>
      </c>
      <c r="G69" s="309">
        <f>G68</f>
        <v>12.5</v>
      </c>
      <c r="H69" s="308">
        <f t="shared" si="16"/>
        <v>33.11258278145695</v>
      </c>
      <c r="I69" s="311"/>
      <c r="J69" s="311"/>
      <c r="K69" s="311"/>
      <c r="L69" s="311"/>
      <c r="M69" s="302"/>
      <c r="N69" s="302"/>
      <c r="O69" s="290">
        <f t="shared" si="12"/>
        <v>0</v>
      </c>
      <c r="P69" s="300"/>
      <c r="Q69" s="288"/>
      <c r="R69" s="290"/>
      <c r="S69" s="299">
        <v>397.3</v>
      </c>
      <c r="T69" s="268" t="s">
        <v>372</v>
      </c>
      <c r="U69" s="298">
        <v>3.5999999999999997E-2</v>
      </c>
      <c r="V69" s="301">
        <f>+$R$66*U69</f>
        <v>59996.7</v>
      </c>
      <c r="W69" s="290">
        <f t="shared" si="17"/>
        <v>-1887.3961875000002</v>
      </c>
      <c r="X69" s="288">
        <f>VLOOKUP(S69,'Dep Rates'!$A$2:$C$131,3,FALSE)</f>
        <v>3.0200000000000001E-2</v>
      </c>
      <c r="Y69" s="290">
        <f t="shared" si="15"/>
        <v>1811.9003399999999</v>
      </c>
      <c r="Z69" s="310"/>
    </row>
    <row r="70" spans="1:26" s="268" customFormat="1" outlineLevel="1" x14ac:dyDescent="0.35">
      <c r="A70" s="274">
        <f t="shared" si="1"/>
        <v>65</v>
      </c>
      <c r="B70" s="274">
        <v>202029</v>
      </c>
      <c r="C70" s="306" t="s">
        <v>11</v>
      </c>
      <c r="D70" s="306" t="s">
        <v>370</v>
      </c>
      <c r="E70" s="297">
        <v>44470</v>
      </c>
      <c r="F70" s="295" t="s">
        <v>329</v>
      </c>
      <c r="G70" s="309">
        <v>12.5</v>
      </c>
      <c r="H70" s="308">
        <f>1/X70</f>
        <v>66.666666666666671</v>
      </c>
      <c r="I70" s="303">
        <v>2810000</v>
      </c>
      <c r="J70" s="303">
        <v>515859</v>
      </c>
      <c r="K70" s="303">
        <v>6668</v>
      </c>
      <c r="L70" s="303">
        <v>15948</v>
      </c>
      <c r="M70" s="301">
        <f>SUM(I70:L70)</f>
        <v>3348475</v>
      </c>
      <c r="N70" s="302"/>
      <c r="O70" s="290">
        <f t="shared" si="12"/>
        <v>3348475</v>
      </c>
      <c r="P70" s="307" t="s">
        <v>369</v>
      </c>
      <c r="Q70" s="288">
        <f>VLOOKUP(P70,Factors!$B$3:$D$25,3,FALSE)</f>
        <v>0.10809999999999997</v>
      </c>
      <c r="R70" s="290">
        <f>+O70*Q70</f>
        <v>361970.1474999999</v>
      </c>
      <c r="S70" s="299">
        <v>352</v>
      </c>
      <c r="T70" s="268" t="s">
        <v>371</v>
      </c>
      <c r="U70" s="298">
        <v>1</v>
      </c>
      <c r="V70" s="290">
        <f>+U70*$R$70</f>
        <v>361970.1474999999</v>
      </c>
      <c r="W70" s="290">
        <f>-(V70/H70)/12*G70</f>
        <v>-5655.7835546874976</v>
      </c>
      <c r="X70" s="288">
        <f>VLOOKUP(S70,'Dep Rates'!$A$2:$C$131,3,FALSE)</f>
        <v>1.4999999999999999E-2</v>
      </c>
      <c r="Y70" s="290">
        <f t="shared" si="15"/>
        <v>5429.5522124999979</v>
      </c>
    </row>
    <row r="71" spans="1:26" s="268" customFormat="1" outlineLevel="1" x14ac:dyDescent="0.35">
      <c r="A71" s="274">
        <f t="shared" si="1"/>
        <v>66</v>
      </c>
      <c r="B71" s="274">
        <v>202170</v>
      </c>
      <c r="C71" s="268" t="s">
        <v>17</v>
      </c>
      <c r="D71" s="268" t="s">
        <v>370</v>
      </c>
      <c r="E71" s="297">
        <v>44470</v>
      </c>
      <c r="F71" s="295" t="s">
        <v>329</v>
      </c>
      <c r="G71" s="309">
        <v>12.5</v>
      </c>
      <c r="H71" s="308">
        <f>1/X71</f>
        <v>48.543689320388346</v>
      </c>
      <c r="I71" s="303">
        <v>2671966.98</v>
      </c>
      <c r="J71" s="303">
        <v>489631.99</v>
      </c>
      <c r="K71" s="303">
        <v>5903.46</v>
      </c>
      <c r="L71" s="303">
        <v>13071</v>
      </c>
      <c r="M71" s="301">
        <f>SUM(I71:L71)</f>
        <v>3180573.4299999997</v>
      </c>
      <c r="N71" s="302"/>
      <c r="O71" s="290">
        <f t="shared" si="12"/>
        <v>3180573.4299999997</v>
      </c>
      <c r="P71" s="307" t="s">
        <v>369</v>
      </c>
      <c r="Q71" s="288">
        <f>VLOOKUP(P71,Factors!$B$3:$D$25,3,FALSE)</f>
        <v>0.10809999999999997</v>
      </c>
      <c r="R71" s="290">
        <f>+O71*Q71</f>
        <v>343819.98778299987</v>
      </c>
      <c r="S71" s="299">
        <v>353</v>
      </c>
      <c r="T71" s="268" t="s">
        <v>368</v>
      </c>
      <c r="U71" s="298">
        <v>1</v>
      </c>
      <c r="V71" s="290">
        <f>+U71*$R$71</f>
        <v>343819.98778299987</v>
      </c>
      <c r="W71" s="290">
        <f>-(V71/H71)/12*G71</f>
        <v>-7377.8039045102059</v>
      </c>
      <c r="X71" s="288">
        <f>VLOOKUP(S71,'Dep Rates'!$A$2:$C$131,3,FALSE)</f>
        <v>2.06E-2</v>
      </c>
      <c r="Y71" s="290">
        <f t="shared" si="15"/>
        <v>7082.6917483297975</v>
      </c>
    </row>
    <row r="72" spans="1:26" s="268" customFormat="1" outlineLevel="1" x14ac:dyDescent="0.35">
      <c r="A72" s="274">
        <f t="shared" ref="A72:A82" si="18">A71+1</f>
        <v>67</v>
      </c>
      <c r="B72" s="274"/>
      <c r="C72" s="306"/>
      <c r="D72" s="306"/>
      <c r="E72" s="297"/>
      <c r="F72" s="295"/>
      <c r="G72" s="305"/>
      <c r="H72" s="304"/>
      <c r="I72" s="303"/>
      <c r="J72" s="303"/>
      <c r="K72" s="303"/>
      <c r="L72" s="303"/>
      <c r="M72" s="301"/>
      <c r="N72" s="302"/>
      <c r="O72" s="301"/>
      <c r="P72" s="300"/>
      <c r="Q72" s="288"/>
      <c r="R72" s="290"/>
      <c r="S72" s="299"/>
      <c r="U72" s="298"/>
      <c r="V72" s="290"/>
      <c r="W72" s="290"/>
      <c r="X72" s="288"/>
      <c r="Y72" s="290"/>
    </row>
    <row r="73" spans="1:26" outlineLevel="1" x14ac:dyDescent="0.35">
      <c r="A73" s="274">
        <f t="shared" si="18"/>
        <v>68</v>
      </c>
      <c r="E73" s="297"/>
      <c r="F73" s="295"/>
      <c r="G73" s="295"/>
      <c r="H73" s="296"/>
      <c r="I73" s="295"/>
      <c r="J73" s="295"/>
      <c r="K73" s="295"/>
      <c r="L73" s="295"/>
      <c r="M73" s="294"/>
      <c r="N73" s="293"/>
      <c r="O73" s="265"/>
      <c r="P73" s="292"/>
      <c r="Q73" s="291"/>
      <c r="R73" s="290"/>
      <c r="S73" s="289"/>
      <c r="T73" s="268"/>
      <c r="X73" s="288"/>
      <c r="Y73" s="265"/>
    </row>
    <row r="74" spans="1:26" x14ac:dyDescent="0.35">
      <c r="A74" s="274">
        <f t="shared" si="18"/>
        <v>69</v>
      </c>
      <c r="B74" s="283" t="s">
        <v>367</v>
      </c>
      <c r="C74" s="284"/>
      <c r="D74" s="284"/>
      <c r="E74" s="284"/>
      <c r="F74" s="284"/>
      <c r="G74" s="284"/>
      <c r="H74" s="287"/>
      <c r="I74" s="284"/>
      <c r="J74" s="284"/>
      <c r="K74" s="284"/>
      <c r="L74" s="284"/>
      <c r="M74" s="278">
        <f>SUM(M47:M73)</f>
        <v>91704514.164999992</v>
      </c>
      <c r="N74" s="284"/>
      <c r="O74" s="278">
        <f>SUM(O47:O73)</f>
        <v>92302514.165000021</v>
      </c>
      <c r="P74" s="284"/>
      <c r="Q74" s="284"/>
      <c r="R74" s="278">
        <f>SUM(R47:R73)</f>
        <v>21757504.814853497</v>
      </c>
      <c r="S74" s="286"/>
      <c r="T74" s="284"/>
      <c r="U74" s="285"/>
      <c r="V74" s="278">
        <f>SUM(V47:V73)</f>
        <v>21757504.814853501</v>
      </c>
      <c r="W74" s="278">
        <f>SUM(W47:W73)</f>
        <v>-336796.4473607231</v>
      </c>
      <c r="X74" s="284"/>
      <c r="Y74" s="278">
        <f>SUM(Y47:Y73)</f>
        <v>975245.19848545303</v>
      </c>
    </row>
    <row r="75" spans="1:26" x14ac:dyDescent="0.35">
      <c r="A75" s="274">
        <f t="shared" si="18"/>
        <v>70</v>
      </c>
      <c r="H75" s="277"/>
    </row>
    <row r="76" spans="1:26" x14ac:dyDescent="0.35">
      <c r="A76" s="274">
        <f t="shared" si="18"/>
        <v>71</v>
      </c>
      <c r="B76" s="283" t="s">
        <v>183</v>
      </c>
      <c r="C76" s="279"/>
      <c r="D76" s="279"/>
      <c r="E76" s="279"/>
      <c r="F76" s="279"/>
      <c r="G76" s="279"/>
      <c r="H76" s="282"/>
      <c r="I76" s="279"/>
      <c r="J76" s="279"/>
      <c r="K76" s="279"/>
      <c r="L76" s="279"/>
      <c r="M76" s="278">
        <f>M46+M74</f>
        <v>179458633.38591</v>
      </c>
      <c r="N76" s="279"/>
      <c r="O76" s="278">
        <f>O46+O74</f>
        <v>180524112.38591003</v>
      </c>
      <c r="P76" s="279"/>
      <c r="Q76" s="279"/>
      <c r="R76" s="278">
        <f>R46+R74</f>
        <v>44356489.423439413</v>
      </c>
      <c r="S76" s="281"/>
      <c r="T76" s="279"/>
      <c r="U76" s="280"/>
      <c r="V76" s="278">
        <f>V46+V74</f>
        <v>44356489.423439428</v>
      </c>
      <c r="W76" s="278">
        <f>W46+W74</f>
        <v>-1200015.2210961003</v>
      </c>
      <c r="X76" s="279"/>
      <c r="Y76" s="278">
        <f>Y46+Y74</f>
        <v>1881311.2712684423</v>
      </c>
    </row>
    <row r="77" spans="1:26" x14ac:dyDescent="0.35">
      <c r="A77" s="274">
        <f t="shared" si="18"/>
        <v>72</v>
      </c>
      <c r="H77" s="277"/>
    </row>
    <row r="78" spans="1:26" x14ac:dyDescent="0.35">
      <c r="A78" s="274">
        <f t="shared" si="18"/>
        <v>73</v>
      </c>
      <c r="H78" s="277"/>
      <c r="U78" s="266" t="s">
        <v>330</v>
      </c>
      <c r="V78" s="265" t="s">
        <v>536</v>
      </c>
      <c r="W78" s="275">
        <f>Summary!FK50</f>
        <v>21735765.834850535</v>
      </c>
      <c r="X78" s="276"/>
      <c r="Y78" s="275">
        <f>Summary!FG50</f>
        <v>906066.07278298936</v>
      </c>
    </row>
    <row r="79" spans="1:26" x14ac:dyDescent="0.35">
      <c r="A79" s="274">
        <f t="shared" si="18"/>
        <v>74</v>
      </c>
      <c r="U79" s="266" t="s">
        <v>329</v>
      </c>
      <c r="V79" s="265" t="s">
        <v>536</v>
      </c>
      <c r="W79" s="275">
        <f>Summary!FK51</f>
        <v>21420708.367492773</v>
      </c>
      <c r="X79" s="276"/>
      <c r="Y79" s="275">
        <f>Summary!FG51</f>
        <v>975245.19848545315</v>
      </c>
    </row>
    <row r="80" spans="1:26" x14ac:dyDescent="0.35">
      <c r="A80" s="274">
        <f t="shared" si="18"/>
        <v>75</v>
      </c>
    </row>
    <row r="81" spans="1:25" x14ac:dyDescent="0.35">
      <c r="A81" s="274">
        <f t="shared" si="18"/>
        <v>76</v>
      </c>
      <c r="U81" s="273" t="s">
        <v>330</v>
      </c>
      <c r="V81" s="272" t="s">
        <v>303</v>
      </c>
      <c r="W81" s="271">
        <f>SUM(V46:W46)-W78</f>
        <v>0</v>
      </c>
      <c r="X81" s="271"/>
      <c r="Y81" s="271">
        <f>Y46-Y78</f>
        <v>0</v>
      </c>
    </row>
    <row r="82" spans="1:25" x14ac:dyDescent="0.35">
      <c r="A82" s="274">
        <f t="shared" si="18"/>
        <v>77</v>
      </c>
      <c r="U82" s="273" t="s">
        <v>329</v>
      </c>
      <c r="V82" s="272" t="s">
        <v>303</v>
      </c>
      <c r="W82" s="271">
        <f>SUM(V74:W74)-W79</f>
        <v>0</v>
      </c>
      <c r="X82" s="271"/>
      <c r="Y82" s="271">
        <f>Y74-Y79</f>
        <v>0</v>
      </c>
    </row>
  </sheetData>
  <autoFilter ref="A5:Z76" xr:uid="{D4793EBA-1237-4F50-AF65-304C4D3EF588}"/>
  <pageMargins left="0.45" right="0.45" top="0.5" bottom="0.5" header="0.3" footer="0.3"/>
  <pageSetup paperSize="5" scale="5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EF13-A05D-40B0-A7A5-930C31C5001C}">
  <dimension ref="A1:F131"/>
  <sheetViews>
    <sheetView showGridLines="0" workbookViewId="0">
      <selection activeCell="B94" sqref="B94"/>
    </sheetView>
  </sheetViews>
  <sheetFormatPr defaultColWidth="9.1796875" defaultRowHeight="14.5" x14ac:dyDescent="0.35"/>
  <cols>
    <col min="1" max="1" width="9.1796875" style="62"/>
    <col min="2" max="2" width="33.54296875" style="62" bestFit="1" customWidth="1"/>
    <col min="3" max="3" width="12.54296875" style="340" customWidth="1"/>
    <col min="4" max="4" width="13.7265625" style="62" customWidth="1"/>
    <col min="5" max="5" width="9.1796875" style="62"/>
    <col min="6" max="6" width="50" style="62" bestFit="1" customWidth="1"/>
    <col min="7" max="16384" width="9.1796875" style="62"/>
  </cols>
  <sheetData>
    <row r="1" spans="1:5" x14ac:dyDescent="0.35">
      <c r="C1" s="344" t="s">
        <v>514</v>
      </c>
      <c r="D1" s="343" t="s">
        <v>513</v>
      </c>
    </row>
    <row r="2" spans="1:5" x14ac:dyDescent="0.35">
      <c r="A2" s="62">
        <v>301</v>
      </c>
      <c r="B2" s="62" t="s">
        <v>512</v>
      </c>
      <c r="C2" s="340">
        <v>0</v>
      </c>
      <c r="D2" s="340">
        <v>0</v>
      </c>
    </row>
    <row r="3" spans="1:5" x14ac:dyDescent="0.35">
      <c r="A3" s="62">
        <v>302</v>
      </c>
      <c r="B3" s="62" t="s">
        <v>511</v>
      </c>
      <c r="C3" s="340">
        <v>0</v>
      </c>
      <c r="D3" s="340">
        <v>0</v>
      </c>
    </row>
    <row r="4" spans="1:5" x14ac:dyDescent="0.35">
      <c r="A4" s="358">
        <v>303.10000000000002</v>
      </c>
      <c r="B4" s="62" t="s">
        <v>383</v>
      </c>
      <c r="C4" s="340">
        <v>6.7799999999999999E-2</v>
      </c>
      <c r="D4" s="340">
        <v>0</v>
      </c>
    </row>
    <row r="5" spans="1:5" x14ac:dyDescent="0.35">
      <c r="A5" s="62">
        <v>303.2</v>
      </c>
      <c r="B5" s="62" t="s">
        <v>433</v>
      </c>
      <c r="C5" s="340">
        <v>1E-4</v>
      </c>
      <c r="D5" s="340">
        <v>0</v>
      </c>
    </row>
    <row r="6" spans="1:5" x14ac:dyDescent="0.35">
      <c r="A6" s="62">
        <v>303.3</v>
      </c>
      <c r="B6" s="62" t="s">
        <v>510</v>
      </c>
      <c r="C6" s="340">
        <v>0</v>
      </c>
      <c r="D6" s="340">
        <v>0</v>
      </c>
    </row>
    <row r="7" spans="1:5" x14ac:dyDescent="0.35">
      <c r="A7" s="62">
        <v>303.39999999999998</v>
      </c>
      <c r="B7" s="62" t="s">
        <v>509</v>
      </c>
      <c r="C7" s="340">
        <v>0.1096</v>
      </c>
      <c r="D7" s="340">
        <v>0</v>
      </c>
    </row>
    <row r="8" spans="1:5" x14ac:dyDescent="0.35">
      <c r="A8" s="62">
        <v>303.5</v>
      </c>
      <c r="B8" s="62" t="s">
        <v>508</v>
      </c>
      <c r="C8" s="340">
        <v>0</v>
      </c>
      <c r="D8" s="340">
        <v>0</v>
      </c>
    </row>
    <row r="9" spans="1:5" x14ac:dyDescent="0.35">
      <c r="A9" s="62">
        <v>303.7</v>
      </c>
      <c r="B9" s="59" t="s">
        <v>382</v>
      </c>
      <c r="C9" s="340">
        <v>0.1</v>
      </c>
      <c r="D9" s="340">
        <v>0</v>
      </c>
      <c r="E9" s="342"/>
    </row>
    <row r="10" spans="1:5" x14ac:dyDescent="0.35">
      <c r="A10" s="62">
        <v>304.10000000000002</v>
      </c>
      <c r="B10" s="62" t="s">
        <v>437</v>
      </c>
      <c r="C10" s="340">
        <v>0</v>
      </c>
      <c r="D10" s="340">
        <v>0</v>
      </c>
    </row>
    <row r="11" spans="1:5" x14ac:dyDescent="0.35">
      <c r="A11" s="62">
        <v>305.11</v>
      </c>
      <c r="B11" s="62" t="s">
        <v>507</v>
      </c>
      <c r="C11" s="340">
        <v>0</v>
      </c>
      <c r="D11" s="340">
        <v>0</v>
      </c>
    </row>
    <row r="12" spans="1:5" x14ac:dyDescent="0.35">
      <c r="A12" s="62">
        <v>305.17</v>
      </c>
      <c r="B12" s="62" t="s">
        <v>506</v>
      </c>
      <c r="C12" s="340">
        <v>0</v>
      </c>
      <c r="D12" s="340">
        <v>0</v>
      </c>
    </row>
    <row r="13" spans="1:5" x14ac:dyDescent="0.35">
      <c r="A13" s="62">
        <v>305.2</v>
      </c>
      <c r="B13" s="62" t="s">
        <v>505</v>
      </c>
      <c r="C13" s="340">
        <v>0</v>
      </c>
      <c r="D13" s="340">
        <v>0</v>
      </c>
    </row>
    <row r="14" spans="1:5" x14ac:dyDescent="0.35">
      <c r="A14" s="62">
        <v>305.5</v>
      </c>
      <c r="B14" s="62" t="s">
        <v>504</v>
      </c>
      <c r="C14" s="340">
        <v>0</v>
      </c>
      <c r="D14" s="340">
        <v>0</v>
      </c>
    </row>
    <row r="15" spans="1:5" x14ac:dyDescent="0.35">
      <c r="A15" s="62">
        <v>311</v>
      </c>
      <c r="B15" s="62" t="s">
        <v>503</v>
      </c>
      <c r="C15" s="340">
        <v>0</v>
      </c>
      <c r="D15" s="340">
        <v>0</v>
      </c>
    </row>
    <row r="16" spans="1:5" x14ac:dyDescent="0.35">
      <c r="A16" s="62">
        <v>311.39999999999998</v>
      </c>
      <c r="B16" s="62" t="s">
        <v>502</v>
      </c>
      <c r="C16" s="340">
        <v>0</v>
      </c>
      <c r="D16" s="340">
        <v>0</v>
      </c>
    </row>
    <row r="17" spans="1:4" x14ac:dyDescent="0.35">
      <c r="A17" s="62">
        <v>311.7</v>
      </c>
      <c r="B17" s="62" t="s">
        <v>501</v>
      </c>
      <c r="C17" s="340">
        <v>0</v>
      </c>
      <c r="D17" s="340">
        <v>0</v>
      </c>
    </row>
    <row r="18" spans="1:4" x14ac:dyDescent="0.35">
      <c r="A18" s="62">
        <v>311.8</v>
      </c>
      <c r="B18" s="62" t="s">
        <v>500</v>
      </c>
      <c r="C18" s="340">
        <v>0</v>
      </c>
      <c r="D18" s="340">
        <v>0</v>
      </c>
    </row>
    <row r="19" spans="1:4" x14ac:dyDescent="0.35">
      <c r="A19" s="62">
        <v>312.3</v>
      </c>
      <c r="B19" s="62" t="s">
        <v>499</v>
      </c>
      <c r="C19" s="340">
        <v>0</v>
      </c>
      <c r="D19" s="340">
        <v>0</v>
      </c>
    </row>
    <row r="20" spans="1:4" x14ac:dyDescent="0.35">
      <c r="A20" s="62">
        <v>318.3</v>
      </c>
      <c r="B20" s="62" t="s">
        <v>498</v>
      </c>
      <c r="C20" s="340">
        <v>0</v>
      </c>
      <c r="D20" s="340">
        <v>0</v>
      </c>
    </row>
    <row r="21" spans="1:4" x14ac:dyDescent="0.35">
      <c r="A21" s="62">
        <v>318.5</v>
      </c>
      <c r="B21" s="62" t="s">
        <v>497</v>
      </c>
      <c r="C21" s="340">
        <v>0</v>
      </c>
      <c r="D21" s="340">
        <v>0</v>
      </c>
    </row>
    <row r="22" spans="1:4" x14ac:dyDescent="0.35">
      <c r="A22" s="62">
        <v>319</v>
      </c>
      <c r="B22" s="62" t="s">
        <v>496</v>
      </c>
      <c r="C22" s="340">
        <v>0</v>
      </c>
      <c r="D22" s="340">
        <v>0</v>
      </c>
    </row>
    <row r="23" spans="1:4" x14ac:dyDescent="0.35">
      <c r="A23" s="62">
        <v>325</v>
      </c>
      <c r="B23" s="62" t="s">
        <v>495</v>
      </c>
      <c r="C23" s="340">
        <v>0</v>
      </c>
      <c r="D23" s="340">
        <v>0</v>
      </c>
    </row>
    <row r="24" spans="1:4" x14ac:dyDescent="0.35">
      <c r="A24" s="62">
        <v>327</v>
      </c>
      <c r="B24" s="62" t="s">
        <v>494</v>
      </c>
      <c r="C24" s="340">
        <v>0</v>
      </c>
      <c r="D24" s="340">
        <v>0</v>
      </c>
    </row>
    <row r="25" spans="1:4" x14ac:dyDescent="0.35">
      <c r="A25" s="62">
        <v>328</v>
      </c>
      <c r="B25" s="62" t="s">
        <v>495</v>
      </c>
      <c r="C25" s="340">
        <v>0</v>
      </c>
      <c r="D25" s="340">
        <v>0</v>
      </c>
    </row>
    <row r="26" spans="1:4" x14ac:dyDescent="0.35">
      <c r="A26" s="62">
        <v>331</v>
      </c>
      <c r="B26" s="62" t="s">
        <v>494</v>
      </c>
      <c r="C26" s="340">
        <v>0</v>
      </c>
      <c r="D26" s="340">
        <v>0</v>
      </c>
    </row>
    <row r="27" spans="1:4" x14ac:dyDescent="0.35">
      <c r="A27" s="62">
        <v>332</v>
      </c>
      <c r="B27" s="62" t="s">
        <v>494</v>
      </c>
      <c r="C27" s="340">
        <v>0</v>
      </c>
      <c r="D27" s="340">
        <v>0</v>
      </c>
    </row>
    <row r="28" spans="1:4" x14ac:dyDescent="0.35">
      <c r="A28" s="62">
        <v>333</v>
      </c>
      <c r="B28" s="62" t="s">
        <v>494</v>
      </c>
      <c r="C28" s="340">
        <v>0</v>
      </c>
      <c r="D28" s="340">
        <v>0</v>
      </c>
    </row>
    <row r="29" spans="1:4" x14ac:dyDescent="0.35">
      <c r="A29" s="62">
        <v>334</v>
      </c>
      <c r="B29" s="62" t="s">
        <v>494</v>
      </c>
      <c r="C29" s="340">
        <v>0</v>
      </c>
      <c r="D29" s="340">
        <v>0</v>
      </c>
    </row>
    <row r="30" spans="1:4" x14ac:dyDescent="0.35">
      <c r="A30" s="62">
        <v>350.1</v>
      </c>
      <c r="B30" s="62" t="s">
        <v>437</v>
      </c>
      <c r="C30" s="340">
        <v>0</v>
      </c>
      <c r="D30" s="340">
        <v>0</v>
      </c>
    </row>
    <row r="31" spans="1:4" x14ac:dyDescent="0.35">
      <c r="A31" s="62">
        <v>350.2</v>
      </c>
      <c r="B31" s="62" t="s">
        <v>493</v>
      </c>
      <c r="C31" s="340">
        <v>1.43E-2</v>
      </c>
      <c r="D31" s="340">
        <v>0</v>
      </c>
    </row>
    <row r="32" spans="1:4" x14ac:dyDescent="0.35">
      <c r="A32" s="62">
        <v>351</v>
      </c>
      <c r="B32" s="62" t="s">
        <v>394</v>
      </c>
      <c r="C32" s="340">
        <v>1.4999999999999999E-2</v>
      </c>
      <c r="D32" s="340">
        <v>0</v>
      </c>
    </row>
    <row r="33" spans="1:6" x14ac:dyDescent="0.35">
      <c r="A33" s="62">
        <v>351.1</v>
      </c>
      <c r="B33" s="62" t="s">
        <v>394</v>
      </c>
      <c r="C33" s="340">
        <v>1.4999999999999999E-2</v>
      </c>
      <c r="D33" s="340">
        <v>0</v>
      </c>
      <c r="E33" s="342"/>
    </row>
    <row r="34" spans="1:6" x14ac:dyDescent="0.35">
      <c r="A34" s="62">
        <v>352</v>
      </c>
      <c r="B34" s="62" t="s">
        <v>371</v>
      </c>
      <c r="C34" s="340">
        <v>1.4999999999999999E-2</v>
      </c>
      <c r="D34" s="340">
        <v>0</v>
      </c>
    </row>
    <row r="35" spans="1:6" x14ac:dyDescent="0.35">
      <c r="A35" s="62">
        <v>352.1</v>
      </c>
      <c r="B35" s="62" t="s">
        <v>492</v>
      </c>
      <c r="C35" s="340">
        <v>1.67E-2</v>
      </c>
      <c r="D35" s="340">
        <v>0</v>
      </c>
    </row>
    <row r="36" spans="1:6" x14ac:dyDescent="0.35">
      <c r="A36" s="62">
        <v>352.2</v>
      </c>
      <c r="B36" s="62" t="s">
        <v>491</v>
      </c>
      <c r="C36" s="340">
        <v>1.7299999999999999E-2</v>
      </c>
      <c r="D36" s="340">
        <v>0</v>
      </c>
    </row>
    <row r="37" spans="1:6" x14ac:dyDescent="0.35">
      <c r="A37" s="62">
        <v>352.3</v>
      </c>
      <c r="B37" s="62" t="s">
        <v>490</v>
      </c>
      <c r="C37" s="340">
        <v>1.5700000000000002E-2</v>
      </c>
      <c r="D37" s="340">
        <v>0</v>
      </c>
    </row>
    <row r="38" spans="1:6" x14ac:dyDescent="0.35">
      <c r="A38" s="62">
        <v>353</v>
      </c>
      <c r="B38" s="62" t="s">
        <v>368</v>
      </c>
      <c r="C38" s="340">
        <v>2.06E-2</v>
      </c>
      <c r="D38" s="340">
        <v>0.15</v>
      </c>
    </row>
    <row r="39" spans="1:6" x14ac:dyDescent="0.35">
      <c r="A39" s="62">
        <v>354</v>
      </c>
      <c r="B39" s="62" t="s">
        <v>393</v>
      </c>
      <c r="C39" s="340">
        <v>1.78E-2</v>
      </c>
      <c r="D39" s="340">
        <v>0.1</v>
      </c>
      <c r="E39" s="342"/>
      <c r="F39" s="342" t="s">
        <v>489</v>
      </c>
    </row>
    <row r="40" spans="1:6" x14ac:dyDescent="0.35">
      <c r="A40" s="62">
        <v>354.1</v>
      </c>
      <c r="B40" s="62" t="s">
        <v>488</v>
      </c>
      <c r="C40" s="340">
        <v>1.5100000000000001E-2</v>
      </c>
      <c r="D40" s="340">
        <v>0.1</v>
      </c>
    </row>
    <row r="41" spans="1:6" x14ac:dyDescent="0.35">
      <c r="A41" s="62">
        <v>354.2</v>
      </c>
      <c r="B41" s="62" t="s">
        <v>487</v>
      </c>
      <c r="C41" s="340">
        <v>1.4800000000000001E-2</v>
      </c>
      <c r="D41" s="340">
        <v>0.1</v>
      </c>
    </row>
    <row r="42" spans="1:6" x14ac:dyDescent="0.35">
      <c r="A42" s="62">
        <v>354.3</v>
      </c>
      <c r="B42" s="62" t="s">
        <v>486</v>
      </c>
      <c r="C42" s="340">
        <v>1.8600000000000002E-2</v>
      </c>
      <c r="D42" s="340">
        <v>0.1</v>
      </c>
    </row>
    <row r="43" spans="1:6" x14ac:dyDescent="0.35">
      <c r="A43" s="62">
        <v>354.4</v>
      </c>
      <c r="B43" s="62" t="s">
        <v>485</v>
      </c>
      <c r="C43" s="340">
        <v>1.9299999999999998E-2</v>
      </c>
      <c r="D43" s="340">
        <v>0.1</v>
      </c>
    </row>
    <row r="44" spans="1:6" x14ac:dyDescent="0.35">
      <c r="A44" s="62">
        <v>354.5</v>
      </c>
      <c r="B44" s="62" t="s">
        <v>484</v>
      </c>
      <c r="C44" s="341">
        <v>2.01E-2</v>
      </c>
      <c r="D44" s="340">
        <v>0.1</v>
      </c>
    </row>
    <row r="45" spans="1:6" x14ac:dyDescent="0.35">
      <c r="A45" s="62">
        <v>354.6</v>
      </c>
      <c r="B45" s="62" t="s">
        <v>483</v>
      </c>
      <c r="C45" s="340">
        <v>2.1899999999999999E-2</v>
      </c>
      <c r="D45" s="340">
        <v>0.1</v>
      </c>
    </row>
    <row r="46" spans="1:6" x14ac:dyDescent="0.35">
      <c r="A46" s="62">
        <v>355</v>
      </c>
      <c r="B46" s="62" t="s">
        <v>392</v>
      </c>
      <c r="C46" s="340">
        <v>2.2700000000000001E-2</v>
      </c>
      <c r="D46" s="340">
        <v>0.1</v>
      </c>
    </row>
    <row r="47" spans="1:6" x14ac:dyDescent="0.35">
      <c r="A47" s="62">
        <v>356</v>
      </c>
      <c r="B47" s="62" t="s">
        <v>482</v>
      </c>
      <c r="C47" s="340">
        <v>1.37E-2</v>
      </c>
      <c r="D47" s="340">
        <v>0.05</v>
      </c>
    </row>
    <row r="48" spans="1:6" x14ac:dyDescent="0.35">
      <c r="A48" s="62">
        <v>357</v>
      </c>
      <c r="B48" s="62" t="s">
        <v>395</v>
      </c>
      <c r="C48" s="340">
        <v>2.1700000000000001E-2</v>
      </c>
      <c r="D48" s="340">
        <v>0</v>
      </c>
    </row>
    <row r="49" spans="1:4" x14ac:dyDescent="0.35">
      <c r="A49" s="62">
        <v>360.11</v>
      </c>
      <c r="B49" s="62" t="s">
        <v>481</v>
      </c>
      <c r="C49" s="340">
        <v>0</v>
      </c>
      <c r="D49" s="340">
        <v>0</v>
      </c>
    </row>
    <row r="50" spans="1:4" x14ac:dyDescent="0.35">
      <c r="A50" s="62">
        <v>360.12</v>
      </c>
      <c r="B50" s="62" t="s">
        <v>480</v>
      </c>
      <c r="C50" s="340">
        <v>0</v>
      </c>
      <c r="D50" s="340">
        <v>0</v>
      </c>
    </row>
    <row r="51" spans="1:4" x14ac:dyDescent="0.35">
      <c r="A51" s="62">
        <v>360.2</v>
      </c>
      <c r="B51" s="62" t="s">
        <v>479</v>
      </c>
      <c r="C51" s="340">
        <v>0</v>
      </c>
      <c r="D51" s="340">
        <v>0</v>
      </c>
    </row>
    <row r="52" spans="1:4" x14ac:dyDescent="0.35">
      <c r="A52" s="62">
        <v>361</v>
      </c>
      <c r="B52" s="62" t="s">
        <v>375</v>
      </c>
      <c r="C52" s="340">
        <v>0</v>
      </c>
      <c r="D52" s="340">
        <v>0</v>
      </c>
    </row>
    <row r="53" spans="1:4" x14ac:dyDescent="0.35">
      <c r="A53" s="62">
        <v>361.11</v>
      </c>
      <c r="B53" s="62" t="s">
        <v>375</v>
      </c>
      <c r="C53" s="340">
        <v>3.7900000000000003E-2</v>
      </c>
      <c r="D53" s="340">
        <v>0</v>
      </c>
    </row>
    <row r="54" spans="1:4" x14ac:dyDescent="0.35">
      <c r="A54" s="62">
        <v>361.12</v>
      </c>
      <c r="B54" s="62" t="s">
        <v>375</v>
      </c>
      <c r="C54" s="340">
        <v>4.3299999999999998E-2</v>
      </c>
      <c r="D54" s="340">
        <v>0</v>
      </c>
    </row>
    <row r="55" spans="1:4" x14ac:dyDescent="0.35">
      <c r="A55" s="62">
        <v>361.2</v>
      </c>
      <c r="B55" s="62" t="s">
        <v>462</v>
      </c>
      <c r="C55" s="340">
        <v>1.77E-2</v>
      </c>
      <c r="D55" s="340">
        <v>0</v>
      </c>
    </row>
    <row r="56" spans="1:4" x14ac:dyDescent="0.35">
      <c r="A56" s="62">
        <v>362</v>
      </c>
      <c r="B56" s="62" t="s">
        <v>478</v>
      </c>
      <c r="C56" s="340">
        <v>0</v>
      </c>
      <c r="D56" s="340">
        <v>0</v>
      </c>
    </row>
    <row r="57" spans="1:4" x14ac:dyDescent="0.35">
      <c r="A57" s="62">
        <v>362.11</v>
      </c>
      <c r="B57" s="62" t="s">
        <v>477</v>
      </c>
      <c r="C57" s="340">
        <v>2.58E-2</v>
      </c>
      <c r="D57" s="340">
        <v>0.2</v>
      </c>
    </row>
    <row r="58" spans="1:4" x14ac:dyDescent="0.35">
      <c r="A58" s="62">
        <v>362.12</v>
      </c>
      <c r="B58" s="62" t="s">
        <v>476</v>
      </c>
      <c r="C58" s="340">
        <v>2.4300000000000002E-2</v>
      </c>
      <c r="D58" s="340">
        <v>0.2</v>
      </c>
    </row>
    <row r="59" spans="1:4" x14ac:dyDescent="0.35">
      <c r="A59" s="62">
        <v>362.2</v>
      </c>
      <c r="B59" s="62" t="s">
        <v>475</v>
      </c>
      <c r="C59" s="340">
        <v>0.01</v>
      </c>
      <c r="D59" s="340">
        <v>0.2</v>
      </c>
    </row>
    <row r="60" spans="1:4" x14ac:dyDescent="0.35">
      <c r="A60" s="62">
        <v>363</v>
      </c>
      <c r="B60" s="62" t="s">
        <v>474</v>
      </c>
      <c r="C60" s="340">
        <v>0</v>
      </c>
      <c r="D60" s="340">
        <v>0</v>
      </c>
    </row>
    <row r="61" spans="1:4" x14ac:dyDescent="0.35">
      <c r="A61" s="62">
        <v>363.11</v>
      </c>
      <c r="B61" s="62" t="s">
        <v>473</v>
      </c>
      <c r="C61" s="340">
        <v>1.3100000000000001E-2</v>
      </c>
      <c r="D61" s="340">
        <v>0.05</v>
      </c>
    </row>
    <row r="62" spans="1:4" x14ac:dyDescent="0.35">
      <c r="A62" s="62">
        <v>363.12</v>
      </c>
      <c r="B62" s="62" t="s">
        <v>472</v>
      </c>
      <c r="C62" s="340">
        <v>6.7000000000000002E-3</v>
      </c>
      <c r="D62" s="340">
        <v>0.05</v>
      </c>
    </row>
    <row r="63" spans="1:4" x14ac:dyDescent="0.35">
      <c r="A63" s="62">
        <v>363.2</v>
      </c>
      <c r="B63" s="62" t="s">
        <v>471</v>
      </c>
      <c r="C63" s="340">
        <v>0</v>
      </c>
      <c r="D63" s="340">
        <v>0</v>
      </c>
    </row>
    <row r="64" spans="1:4" x14ac:dyDescent="0.35">
      <c r="A64" s="62">
        <v>363.21</v>
      </c>
      <c r="B64" s="62" t="s">
        <v>391</v>
      </c>
      <c r="C64" s="340">
        <v>4.6999999999999993E-3</v>
      </c>
      <c r="D64" s="340">
        <v>0.05</v>
      </c>
    </row>
    <row r="65" spans="1:4" x14ac:dyDescent="0.35">
      <c r="A65" s="62">
        <v>363.22</v>
      </c>
      <c r="B65" s="62" t="s">
        <v>470</v>
      </c>
      <c r="C65" s="340">
        <v>3.0899999999999997E-2</v>
      </c>
      <c r="D65" s="340">
        <v>0.05</v>
      </c>
    </row>
    <row r="66" spans="1:4" x14ac:dyDescent="0.35">
      <c r="A66" s="62">
        <v>363.3</v>
      </c>
      <c r="B66" s="62" t="s">
        <v>469</v>
      </c>
      <c r="C66" s="340">
        <v>0</v>
      </c>
      <c r="D66" s="340">
        <v>0</v>
      </c>
    </row>
    <row r="67" spans="1:4" x14ac:dyDescent="0.35">
      <c r="A67" s="62">
        <v>363.31</v>
      </c>
      <c r="B67" s="62" t="s">
        <v>468</v>
      </c>
      <c r="C67" s="340">
        <v>0</v>
      </c>
      <c r="D67" s="340">
        <v>0.05</v>
      </c>
    </row>
    <row r="68" spans="1:4" x14ac:dyDescent="0.35">
      <c r="A68" s="62">
        <v>363.32</v>
      </c>
      <c r="B68" s="62" t="s">
        <v>467</v>
      </c>
      <c r="C68" s="340">
        <v>7.5800000000000006E-2</v>
      </c>
      <c r="D68" s="340">
        <v>0.05</v>
      </c>
    </row>
    <row r="69" spans="1:4" x14ac:dyDescent="0.35">
      <c r="A69" s="62">
        <v>363.4</v>
      </c>
      <c r="B69" s="62" t="s">
        <v>466</v>
      </c>
      <c r="C69" s="340">
        <v>0</v>
      </c>
      <c r="D69" s="340">
        <v>0</v>
      </c>
    </row>
    <row r="70" spans="1:4" x14ac:dyDescent="0.35">
      <c r="A70" s="62">
        <v>363.41</v>
      </c>
      <c r="B70" s="62" t="s">
        <v>465</v>
      </c>
      <c r="C70" s="340">
        <v>3.9900000000000005E-2</v>
      </c>
      <c r="D70" s="340">
        <v>0.05</v>
      </c>
    </row>
    <row r="71" spans="1:4" x14ac:dyDescent="0.35">
      <c r="A71" s="62">
        <v>363.42</v>
      </c>
      <c r="B71" s="62" t="s">
        <v>465</v>
      </c>
      <c r="C71" s="340">
        <v>1.2999999999999999E-3</v>
      </c>
      <c r="D71" s="340">
        <v>0.05</v>
      </c>
    </row>
    <row r="72" spans="1:4" x14ac:dyDescent="0.35">
      <c r="A72" s="62">
        <v>363.5</v>
      </c>
      <c r="B72" s="62" t="s">
        <v>464</v>
      </c>
      <c r="C72" s="340">
        <v>2.6200000000000001E-2</v>
      </c>
      <c r="D72" s="340">
        <v>0.05</v>
      </c>
    </row>
    <row r="73" spans="1:4" x14ac:dyDescent="0.35">
      <c r="A73" s="62">
        <v>363.6</v>
      </c>
      <c r="B73" s="62" t="s">
        <v>463</v>
      </c>
      <c r="C73" s="340">
        <v>2.3E-3</v>
      </c>
      <c r="D73" s="340">
        <v>0.05</v>
      </c>
    </row>
    <row r="74" spans="1:4" x14ac:dyDescent="0.35">
      <c r="A74" s="62">
        <v>365.1</v>
      </c>
      <c r="B74" s="62" t="s">
        <v>437</v>
      </c>
      <c r="C74" s="340">
        <v>0</v>
      </c>
      <c r="D74" s="340">
        <v>0</v>
      </c>
    </row>
    <row r="75" spans="1:4" x14ac:dyDescent="0.35">
      <c r="A75" s="62">
        <v>365.2</v>
      </c>
      <c r="B75" s="62" t="s">
        <v>453</v>
      </c>
      <c r="C75" s="340">
        <v>1.52E-2</v>
      </c>
      <c r="D75" s="340">
        <v>0</v>
      </c>
    </row>
    <row r="76" spans="1:4" x14ac:dyDescent="0.35">
      <c r="A76" s="62">
        <v>366.3</v>
      </c>
      <c r="B76" s="62" t="s">
        <v>462</v>
      </c>
      <c r="C76" s="340">
        <v>1.7500000000000002E-2</v>
      </c>
      <c r="D76" s="340">
        <v>0</v>
      </c>
    </row>
    <row r="77" spans="1:4" x14ac:dyDescent="0.35">
      <c r="A77" s="62">
        <v>367</v>
      </c>
      <c r="B77" s="62" t="s">
        <v>378</v>
      </c>
      <c r="C77" s="340">
        <v>1.8799999999999997E-2</v>
      </c>
      <c r="D77" s="340">
        <v>0.3</v>
      </c>
    </row>
    <row r="78" spans="1:4" x14ac:dyDescent="0.35">
      <c r="A78" s="62">
        <v>367.21</v>
      </c>
      <c r="B78" s="62" t="s">
        <v>461</v>
      </c>
      <c r="C78" s="340">
        <v>1.72E-2</v>
      </c>
      <c r="D78" s="340">
        <v>0.3</v>
      </c>
    </row>
    <row r="79" spans="1:4" x14ac:dyDescent="0.35">
      <c r="A79" s="62">
        <v>367.22</v>
      </c>
      <c r="B79" s="62" t="s">
        <v>460</v>
      </c>
      <c r="C79" s="340">
        <v>1.5900000000000001E-2</v>
      </c>
      <c r="D79" s="340">
        <v>0.3</v>
      </c>
    </row>
    <row r="80" spans="1:4" x14ac:dyDescent="0.35">
      <c r="A80" s="62">
        <v>367.23</v>
      </c>
      <c r="B80" s="62" t="s">
        <v>460</v>
      </c>
      <c r="C80" s="340">
        <v>1.9400000000000001E-2</v>
      </c>
      <c r="D80" s="340">
        <v>0.3</v>
      </c>
    </row>
    <row r="81" spans="1:6" x14ac:dyDescent="0.35">
      <c r="A81" s="62">
        <v>367.24</v>
      </c>
      <c r="B81" s="62" t="s">
        <v>459</v>
      </c>
      <c r="C81" s="340">
        <v>1.9400000000000001E-2</v>
      </c>
      <c r="D81" s="340">
        <v>0.3</v>
      </c>
    </row>
    <row r="82" spans="1:6" x14ac:dyDescent="0.35">
      <c r="A82" s="62">
        <v>367.25</v>
      </c>
      <c r="B82" s="62" t="s">
        <v>458</v>
      </c>
      <c r="C82" s="340">
        <v>1.95E-2</v>
      </c>
      <c r="D82" s="340">
        <v>0.3</v>
      </c>
    </row>
    <row r="83" spans="1:6" x14ac:dyDescent="0.35">
      <c r="A83" s="62">
        <v>367.26</v>
      </c>
      <c r="B83" s="62" t="s">
        <v>457</v>
      </c>
      <c r="C83" s="340">
        <v>1.95E-2</v>
      </c>
      <c r="D83" s="340">
        <v>0.3</v>
      </c>
    </row>
    <row r="84" spans="1:6" x14ac:dyDescent="0.35">
      <c r="A84" s="62">
        <v>368</v>
      </c>
      <c r="B84" s="62" t="s">
        <v>456</v>
      </c>
      <c r="C84" s="341">
        <v>2.1499999999999998E-2</v>
      </c>
      <c r="D84" s="340">
        <v>0.05</v>
      </c>
    </row>
    <row r="85" spans="1:6" x14ac:dyDescent="0.35">
      <c r="A85" s="62">
        <v>369</v>
      </c>
      <c r="B85" s="62" t="s">
        <v>455</v>
      </c>
      <c r="C85" s="340">
        <v>2.1299999999999999E-2</v>
      </c>
      <c r="D85" s="340">
        <v>0.08</v>
      </c>
    </row>
    <row r="86" spans="1:6" x14ac:dyDescent="0.35">
      <c r="A86" s="62">
        <v>370</v>
      </c>
      <c r="B86" s="59" t="s">
        <v>454</v>
      </c>
      <c r="C86" s="340">
        <v>0</v>
      </c>
      <c r="D86" s="340">
        <v>0</v>
      </c>
    </row>
    <row r="87" spans="1:6" x14ac:dyDescent="0.35">
      <c r="A87" s="62">
        <v>374.1</v>
      </c>
      <c r="B87" s="62" t="s">
        <v>437</v>
      </c>
      <c r="C87" s="340">
        <v>0</v>
      </c>
      <c r="D87" s="340">
        <v>0</v>
      </c>
    </row>
    <row r="88" spans="1:6" x14ac:dyDescent="0.35">
      <c r="A88" s="62">
        <v>374.2</v>
      </c>
      <c r="B88" s="62" t="s">
        <v>453</v>
      </c>
      <c r="C88" s="340">
        <v>5.6000000000000008E-3</v>
      </c>
      <c r="D88" s="340">
        <v>0</v>
      </c>
    </row>
    <row r="89" spans="1:6" x14ac:dyDescent="0.35">
      <c r="A89" s="62">
        <v>375</v>
      </c>
      <c r="B89" s="62" t="s">
        <v>375</v>
      </c>
      <c r="C89" s="340">
        <v>1.4999999999999999E-2</v>
      </c>
      <c r="D89" s="340">
        <v>0</v>
      </c>
      <c r="F89" s="342" t="s">
        <v>452</v>
      </c>
    </row>
    <row r="90" spans="1:6" x14ac:dyDescent="0.35">
      <c r="A90" s="62">
        <v>376.11</v>
      </c>
      <c r="B90" s="62" t="s">
        <v>377</v>
      </c>
      <c r="C90" s="340">
        <v>2.5399999999999999E-2</v>
      </c>
      <c r="D90" s="340">
        <v>0.75</v>
      </c>
    </row>
    <row r="91" spans="1:6" x14ac:dyDescent="0.35">
      <c r="A91" s="62">
        <v>376.12</v>
      </c>
      <c r="B91" s="62" t="s">
        <v>374</v>
      </c>
      <c r="C91" s="340">
        <v>2.3199999999999998E-2</v>
      </c>
      <c r="D91" s="340">
        <v>0.56000000000000005</v>
      </c>
    </row>
    <row r="92" spans="1:6" x14ac:dyDescent="0.35">
      <c r="A92" s="62">
        <v>377</v>
      </c>
      <c r="B92" s="62" t="s">
        <v>393</v>
      </c>
      <c r="C92" s="340">
        <v>1.32E-2</v>
      </c>
      <c r="D92" s="340">
        <v>0.05</v>
      </c>
    </row>
    <row r="93" spans="1:6" x14ac:dyDescent="0.35">
      <c r="A93" s="62">
        <v>378</v>
      </c>
      <c r="B93" s="62" t="s">
        <v>373</v>
      </c>
      <c r="C93" s="340">
        <v>2.18E-2</v>
      </c>
      <c r="D93" s="340">
        <v>0.2</v>
      </c>
    </row>
    <row r="94" spans="1:6" x14ac:dyDescent="0.35">
      <c r="A94" s="62">
        <v>379</v>
      </c>
      <c r="B94" s="62" t="s">
        <v>451</v>
      </c>
      <c r="C94" s="340">
        <v>2.12E-2</v>
      </c>
      <c r="D94" s="340">
        <v>0.2</v>
      </c>
    </row>
    <row r="95" spans="1:6" x14ac:dyDescent="0.35">
      <c r="A95" s="62">
        <v>380</v>
      </c>
      <c r="B95" s="62" t="s">
        <v>450</v>
      </c>
      <c r="C95" s="340">
        <v>2.87E-2</v>
      </c>
      <c r="D95" s="340">
        <v>0.8</v>
      </c>
    </row>
    <row r="96" spans="1:6" x14ac:dyDescent="0.35">
      <c r="A96" s="62">
        <v>381</v>
      </c>
      <c r="B96" s="62" t="s">
        <v>449</v>
      </c>
      <c r="C96" s="340">
        <v>2.23E-2</v>
      </c>
      <c r="D96" s="340">
        <v>0</v>
      </c>
    </row>
    <row r="97" spans="1:4" x14ac:dyDescent="0.35">
      <c r="A97" s="62">
        <v>381.1</v>
      </c>
      <c r="B97" s="62" t="s">
        <v>448</v>
      </c>
      <c r="C97" s="340">
        <v>2.8900000000000002E-2</v>
      </c>
      <c r="D97" s="340">
        <v>0</v>
      </c>
    </row>
    <row r="98" spans="1:4" x14ac:dyDescent="0.35">
      <c r="A98" s="62">
        <v>381.2</v>
      </c>
      <c r="B98" s="62" t="s">
        <v>447</v>
      </c>
      <c r="C98" s="340">
        <v>5.8499999999999996E-2</v>
      </c>
      <c r="D98" s="340">
        <v>0</v>
      </c>
    </row>
    <row r="99" spans="1:4" x14ac:dyDescent="0.35">
      <c r="A99" s="62">
        <v>382</v>
      </c>
      <c r="B99" s="62" t="s">
        <v>446</v>
      </c>
      <c r="C99" s="340">
        <v>4.8399999999999999E-2</v>
      </c>
      <c r="D99" s="340">
        <v>0</v>
      </c>
    </row>
    <row r="100" spans="1:4" x14ac:dyDescent="0.35">
      <c r="A100" s="62">
        <v>382.1</v>
      </c>
      <c r="B100" s="62" t="s">
        <v>445</v>
      </c>
      <c r="C100" s="340">
        <v>8.6099999999999996E-2</v>
      </c>
      <c r="D100" s="340">
        <v>0</v>
      </c>
    </row>
    <row r="101" spans="1:4" x14ac:dyDescent="0.35">
      <c r="A101" s="62">
        <v>382.2</v>
      </c>
      <c r="B101" s="62" t="s">
        <v>444</v>
      </c>
      <c r="C101" s="340">
        <v>3.9E-2</v>
      </c>
      <c r="D101" s="340">
        <v>0</v>
      </c>
    </row>
    <row r="102" spans="1:4" x14ac:dyDescent="0.35">
      <c r="A102" s="62">
        <v>383</v>
      </c>
      <c r="B102" s="62" t="s">
        <v>443</v>
      </c>
      <c r="C102" s="340">
        <v>2.92E-2</v>
      </c>
      <c r="D102" s="340">
        <v>0</v>
      </c>
    </row>
    <row r="103" spans="1:4" x14ac:dyDescent="0.35">
      <c r="A103" s="62">
        <v>386</v>
      </c>
      <c r="B103" s="62" t="s">
        <v>442</v>
      </c>
      <c r="C103" s="340">
        <v>0</v>
      </c>
      <c r="D103" s="340">
        <v>0</v>
      </c>
    </row>
    <row r="104" spans="1:4" x14ac:dyDescent="0.35">
      <c r="A104" s="62">
        <v>386.1</v>
      </c>
      <c r="B104" s="62" t="s">
        <v>441</v>
      </c>
      <c r="C104" s="340">
        <v>0</v>
      </c>
      <c r="D104" s="340">
        <v>0</v>
      </c>
    </row>
    <row r="105" spans="1:4" x14ac:dyDescent="0.35">
      <c r="A105" s="62">
        <v>387.1</v>
      </c>
      <c r="B105" s="62" t="s">
        <v>440</v>
      </c>
      <c r="C105" s="340">
        <v>8.199999999999999E-3</v>
      </c>
      <c r="D105" s="340">
        <v>0</v>
      </c>
    </row>
    <row r="106" spans="1:4" x14ac:dyDescent="0.35">
      <c r="A106" s="62">
        <v>387.2</v>
      </c>
      <c r="B106" s="62" t="s">
        <v>439</v>
      </c>
      <c r="C106" s="340">
        <v>0</v>
      </c>
      <c r="D106" s="340">
        <v>0</v>
      </c>
    </row>
    <row r="107" spans="1:4" x14ac:dyDescent="0.35">
      <c r="A107" s="62">
        <v>387.3</v>
      </c>
      <c r="B107" s="62" t="s">
        <v>438</v>
      </c>
      <c r="C107" s="340">
        <v>0</v>
      </c>
      <c r="D107" s="340">
        <v>0</v>
      </c>
    </row>
    <row r="108" spans="1:4" x14ac:dyDescent="0.35">
      <c r="A108" s="62">
        <v>389</v>
      </c>
      <c r="B108" s="62" t="s">
        <v>437</v>
      </c>
      <c r="C108" s="340">
        <v>0</v>
      </c>
      <c r="D108" s="340">
        <v>0</v>
      </c>
    </row>
    <row r="109" spans="1:4" x14ac:dyDescent="0.35">
      <c r="A109" s="62">
        <v>390</v>
      </c>
      <c r="B109" s="62" t="s">
        <v>375</v>
      </c>
      <c r="C109" s="340">
        <v>2.2700000000000001E-2</v>
      </c>
      <c r="D109" s="340">
        <v>0.04</v>
      </c>
    </row>
    <row r="110" spans="1:4" x14ac:dyDescent="0.35">
      <c r="A110" s="62">
        <v>390.1</v>
      </c>
      <c r="B110" s="62" t="s">
        <v>436</v>
      </c>
      <c r="C110" s="340">
        <v>2.1499999999999998E-2</v>
      </c>
      <c r="D110" s="340">
        <v>0.04</v>
      </c>
    </row>
    <row r="111" spans="1:4" x14ac:dyDescent="0.35">
      <c r="A111" s="62">
        <v>391.1</v>
      </c>
      <c r="B111" s="62" t="s">
        <v>435</v>
      </c>
      <c r="C111" s="340">
        <v>0.05</v>
      </c>
      <c r="D111" s="340">
        <v>0</v>
      </c>
    </row>
    <row r="112" spans="1:4" x14ac:dyDescent="0.35">
      <c r="A112" s="62">
        <v>391.2</v>
      </c>
      <c r="B112" s="62" t="s">
        <v>379</v>
      </c>
      <c r="C112" s="340">
        <v>0.2</v>
      </c>
      <c r="D112" s="340">
        <v>0</v>
      </c>
    </row>
    <row r="113" spans="1:6" x14ac:dyDescent="0.35">
      <c r="A113" s="62">
        <v>391.3</v>
      </c>
      <c r="B113" s="59" t="s">
        <v>434</v>
      </c>
      <c r="C113" s="340">
        <v>0</v>
      </c>
      <c r="D113" s="340">
        <v>0</v>
      </c>
    </row>
    <row r="114" spans="1:6" x14ac:dyDescent="0.35">
      <c r="A114" s="62">
        <v>391.4</v>
      </c>
      <c r="B114" s="59" t="s">
        <v>433</v>
      </c>
      <c r="C114" s="340">
        <v>0</v>
      </c>
      <c r="D114" s="340">
        <v>0</v>
      </c>
    </row>
    <row r="115" spans="1:6" x14ac:dyDescent="0.35">
      <c r="A115" s="62">
        <v>392</v>
      </c>
      <c r="B115" s="62" t="s">
        <v>432</v>
      </c>
      <c r="C115" s="340">
        <v>6.8600000000000008E-2</v>
      </c>
      <c r="D115" s="340">
        <v>0.1</v>
      </c>
    </row>
    <row r="116" spans="1:6" x14ac:dyDescent="0.35">
      <c r="A116" s="62">
        <v>393</v>
      </c>
      <c r="B116" s="62" t="s">
        <v>431</v>
      </c>
      <c r="C116" s="340">
        <v>0</v>
      </c>
      <c r="D116" s="340">
        <v>0</v>
      </c>
    </row>
    <row r="117" spans="1:6" x14ac:dyDescent="0.35">
      <c r="A117" s="62">
        <v>394</v>
      </c>
      <c r="B117" s="62" t="s">
        <v>430</v>
      </c>
      <c r="C117" s="340">
        <v>0.04</v>
      </c>
      <c r="D117" s="340">
        <v>0</v>
      </c>
    </row>
    <row r="118" spans="1:6" x14ac:dyDescent="0.35">
      <c r="A118" s="62">
        <v>395</v>
      </c>
      <c r="B118" s="62" t="s">
        <v>429</v>
      </c>
      <c r="C118" s="340">
        <v>0.05</v>
      </c>
      <c r="D118" s="340">
        <v>0</v>
      </c>
    </row>
    <row r="119" spans="1:6" x14ac:dyDescent="0.35">
      <c r="A119" s="62">
        <v>396</v>
      </c>
      <c r="B119" s="62" t="s">
        <v>428</v>
      </c>
      <c r="C119" s="340">
        <v>3.4000000000000002E-2</v>
      </c>
      <c r="D119" s="340">
        <v>0.2</v>
      </c>
    </row>
    <row r="120" spans="1:6" x14ac:dyDescent="0.35">
      <c r="A120" s="62">
        <v>397</v>
      </c>
      <c r="B120" s="62" t="s">
        <v>427</v>
      </c>
      <c r="C120" s="340">
        <v>6.6699999999999995E-2</v>
      </c>
      <c r="D120" s="340">
        <v>0</v>
      </c>
    </row>
    <row r="121" spans="1:6" x14ac:dyDescent="0.35">
      <c r="A121" s="62">
        <v>397.1</v>
      </c>
      <c r="B121" s="62" t="s">
        <v>426</v>
      </c>
      <c r="C121" s="340">
        <v>0.1</v>
      </c>
      <c r="D121" s="340">
        <v>0</v>
      </c>
    </row>
    <row r="122" spans="1:6" x14ac:dyDescent="0.35">
      <c r="A122" s="62">
        <v>397.2</v>
      </c>
      <c r="B122" s="62" t="s">
        <v>388</v>
      </c>
      <c r="C122" s="340">
        <v>6.6699999999999995E-2</v>
      </c>
      <c r="D122" s="340">
        <v>0</v>
      </c>
    </row>
    <row r="123" spans="1:6" x14ac:dyDescent="0.35">
      <c r="A123" s="62">
        <v>397.3</v>
      </c>
      <c r="B123" s="62" t="s">
        <v>372</v>
      </c>
      <c r="C123" s="340">
        <v>3.0200000000000001E-2</v>
      </c>
      <c r="D123" s="340">
        <v>0</v>
      </c>
      <c r="F123" s="342" t="s">
        <v>425</v>
      </c>
    </row>
    <row r="124" spans="1:6" x14ac:dyDescent="0.35">
      <c r="A124" s="62">
        <v>397.4</v>
      </c>
      <c r="B124" s="62" t="s">
        <v>424</v>
      </c>
      <c r="C124" s="340">
        <v>6.6699999999999995E-2</v>
      </c>
      <c r="D124" s="340">
        <v>0</v>
      </c>
    </row>
    <row r="125" spans="1:6" x14ac:dyDescent="0.35">
      <c r="A125" s="62">
        <v>397.5</v>
      </c>
      <c r="B125" s="62" t="s">
        <v>423</v>
      </c>
      <c r="C125" s="340">
        <v>0.1</v>
      </c>
      <c r="D125" s="340">
        <v>0</v>
      </c>
    </row>
    <row r="126" spans="1:6" x14ac:dyDescent="0.35">
      <c r="A126" s="62">
        <v>398</v>
      </c>
      <c r="B126" s="62" t="s">
        <v>422</v>
      </c>
      <c r="C126" s="340">
        <v>0</v>
      </c>
      <c r="D126" s="340">
        <v>0</v>
      </c>
    </row>
    <row r="127" spans="1:6" x14ac:dyDescent="0.35">
      <c r="A127" s="62">
        <v>398.1</v>
      </c>
      <c r="B127" s="62" t="s">
        <v>421</v>
      </c>
      <c r="C127" s="340">
        <v>6.6699999999999995E-2</v>
      </c>
      <c r="D127" s="340">
        <v>0</v>
      </c>
    </row>
    <row r="128" spans="1:6" x14ac:dyDescent="0.35">
      <c r="A128" s="62">
        <v>398.2</v>
      </c>
      <c r="B128" s="62" t="s">
        <v>420</v>
      </c>
      <c r="C128" s="340">
        <v>6.6699999999999995E-2</v>
      </c>
      <c r="D128" s="340">
        <v>0</v>
      </c>
    </row>
    <row r="129" spans="1:4" x14ac:dyDescent="0.35">
      <c r="A129" s="62">
        <v>398.3</v>
      </c>
      <c r="B129" s="62" t="s">
        <v>419</v>
      </c>
      <c r="C129" s="340">
        <v>0</v>
      </c>
      <c r="D129" s="340">
        <v>0</v>
      </c>
    </row>
    <row r="130" spans="1:4" x14ac:dyDescent="0.35">
      <c r="A130" s="62">
        <v>398.4</v>
      </c>
      <c r="B130" s="62" t="s">
        <v>418</v>
      </c>
      <c r="C130" s="340">
        <v>0</v>
      </c>
      <c r="D130" s="340">
        <v>0</v>
      </c>
    </row>
    <row r="131" spans="1:4" x14ac:dyDescent="0.35">
      <c r="A131" s="62">
        <v>398.5</v>
      </c>
      <c r="B131" s="62" t="s">
        <v>417</v>
      </c>
      <c r="C131" s="340">
        <v>0</v>
      </c>
      <c r="D131" s="340"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024B-F6C8-4FD2-94B7-D3FB86417CCB}">
  <dimension ref="A1:K27"/>
  <sheetViews>
    <sheetView showGridLines="0" workbookViewId="0">
      <selection activeCell="D12" sqref="D12"/>
    </sheetView>
  </sheetViews>
  <sheetFormatPr defaultColWidth="9.1796875" defaultRowHeight="14.5" x14ac:dyDescent="0.35"/>
  <cols>
    <col min="1" max="1" width="4.7265625" style="61" customWidth="1"/>
    <col min="2" max="2" width="40.7265625" style="61" bestFit="1" customWidth="1"/>
    <col min="3" max="4" width="14.7265625" style="61" customWidth="1"/>
    <col min="5" max="16384" width="9.1796875" style="61"/>
  </cols>
  <sheetData>
    <row r="1" spans="1:11" x14ac:dyDescent="0.35">
      <c r="A1" s="355" t="s">
        <v>535</v>
      </c>
      <c r="B1" s="354"/>
      <c r="C1" s="353" t="s">
        <v>534</v>
      </c>
      <c r="D1" s="353" t="s">
        <v>533</v>
      </c>
    </row>
    <row r="2" spans="1:11" x14ac:dyDescent="0.35">
      <c r="A2" s="347"/>
      <c r="B2" s="348"/>
      <c r="C2" s="352"/>
      <c r="D2" s="351"/>
    </row>
    <row r="3" spans="1:11" x14ac:dyDescent="0.35">
      <c r="A3" s="347">
        <v>1</v>
      </c>
      <c r="B3" s="349" t="s">
        <v>380</v>
      </c>
      <c r="C3" s="345">
        <f>1-D3</f>
        <v>0.88470000000000004</v>
      </c>
      <c r="D3" s="345">
        <f>'[1]Primary and Summary'!D105</f>
        <v>0.11529999999999996</v>
      </c>
      <c r="J3" s="359"/>
      <c r="K3" s="359"/>
    </row>
    <row r="4" spans="1:11" x14ac:dyDescent="0.35">
      <c r="A4" s="347">
        <f t="shared" ref="A4:A25" si="0">A3+1</f>
        <v>2</v>
      </c>
      <c r="B4" s="349" t="s">
        <v>532</v>
      </c>
      <c r="C4" s="345">
        <f t="shared" ref="C4:C27" si="1">1-D4</f>
        <v>0.88360000000000005</v>
      </c>
      <c r="D4" s="345">
        <f>'[1]Primary and Summary'!D106</f>
        <v>0.11639999999999995</v>
      </c>
      <c r="J4" s="359"/>
      <c r="K4" s="359"/>
    </row>
    <row r="5" spans="1:11" x14ac:dyDescent="0.35">
      <c r="A5" s="347">
        <f t="shared" si="0"/>
        <v>3</v>
      </c>
      <c r="B5" s="349" t="s">
        <v>531</v>
      </c>
      <c r="C5" s="345">
        <f t="shared" si="1"/>
        <v>0.8952</v>
      </c>
      <c r="D5" s="345">
        <f>'[1]Primary and Summary'!D107</f>
        <v>0.1048</v>
      </c>
      <c r="J5" s="359"/>
      <c r="K5" s="359"/>
    </row>
    <row r="6" spans="1:11" x14ac:dyDescent="0.35">
      <c r="A6" s="347">
        <f t="shared" si="0"/>
        <v>4</v>
      </c>
      <c r="B6" s="349" t="s">
        <v>530</v>
      </c>
      <c r="C6" s="345">
        <f t="shared" si="1"/>
        <v>0.91459999999999997</v>
      </c>
      <c r="D6" s="345">
        <f>'[1]Primary and Summary'!D108</f>
        <v>8.5400000000000031E-2</v>
      </c>
      <c r="J6" s="359"/>
      <c r="K6" s="359"/>
    </row>
    <row r="7" spans="1:11" x14ac:dyDescent="0.35">
      <c r="A7" s="347">
        <f t="shared" si="0"/>
        <v>5</v>
      </c>
      <c r="B7" s="349" t="s">
        <v>529</v>
      </c>
      <c r="C7" s="345">
        <f t="shared" si="1"/>
        <v>0.74819999999999998</v>
      </c>
      <c r="D7" s="345">
        <f>'[1]Primary and Summary'!D109</f>
        <v>0.25180000000000002</v>
      </c>
      <c r="J7" s="359"/>
      <c r="K7" s="359"/>
    </row>
    <row r="8" spans="1:11" x14ac:dyDescent="0.35">
      <c r="A8" s="347">
        <f t="shared" si="0"/>
        <v>6</v>
      </c>
      <c r="B8" s="349" t="s">
        <v>528</v>
      </c>
      <c r="C8" s="345">
        <f t="shared" si="1"/>
        <v>0.89039999999999997</v>
      </c>
      <c r="D8" s="345">
        <f>'[1]Primary and Summary'!D110</f>
        <v>0.10960000000000003</v>
      </c>
      <c r="J8" s="359"/>
      <c r="K8" s="359"/>
    </row>
    <row r="9" spans="1:11" x14ac:dyDescent="0.35">
      <c r="A9" s="347">
        <f t="shared" si="0"/>
        <v>7</v>
      </c>
      <c r="B9" s="349" t="s">
        <v>369</v>
      </c>
      <c r="C9" s="345">
        <f t="shared" si="1"/>
        <v>0.89190000000000003</v>
      </c>
      <c r="D9" s="345">
        <f>'[1]Primary and Summary'!D111</f>
        <v>0.10809999999999997</v>
      </c>
      <c r="J9" s="359"/>
      <c r="K9" s="359"/>
    </row>
    <row r="10" spans="1:11" x14ac:dyDescent="0.35">
      <c r="A10" s="347">
        <f t="shared" si="0"/>
        <v>8</v>
      </c>
      <c r="B10" s="349" t="s">
        <v>527</v>
      </c>
      <c r="C10" s="345">
        <f t="shared" si="1"/>
        <v>0.89700000000000002</v>
      </c>
      <c r="D10" s="345">
        <f>'[1]Primary and Summary'!D112</f>
        <v>0.10299999999999998</v>
      </c>
      <c r="J10" s="359"/>
      <c r="K10" s="359"/>
    </row>
    <row r="11" spans="1:11" x14ac:dyDescent="0.35">
      <c r="A11" s="347">
        <f t="shared" si="0"/>
        <v>9</v>
      </c>
      <c r="B11" s="349" t="s">
        <v>526</v>
      </c>
      <c r="C11" s="345">
        <f t="shared" si="1"/>
        <v>0.91439999999999999</v>
      </c>
      <c r="D11" s="345">
        <f>'[1]Primary and Summary'!D113</f>
        <v>8.5600000000000009E-2</v>
      </c>
      <c r="J11" s="359"/>
      <c r="K11" s="359"/>
    </row>
    <row r="12" spans="1:11" x14ac:dyDescent="0.35">
      <c r="A12" s="347">
        <f t="shared" si="0"/>
        <v>10</v>
      </c>
      <c r="B12" s="349" t="s">
        <v>525</v>
      </c>
      <c r="C12" s="345">
        <f t="shared" si="1"/>
        <v>0.90569999999999995</v>
      </c>
      <c r="D12" s="345">
        <f>'[1]Primary and Summary'!D114</f>
        <v>9.430000000000005E-2</v>
      </c>
      <c r="J12" s="359"/>
      <c r="K12" s="359"/>
    </row>
    <row r="13" spans="1:11" x14ac:dyDescent="0.35">
      <c r="A13" s="347">
        <f t="shared" si="0"/>
        <v>11</v>
      </c>
      <c r="B13" s="349" t="s">
        <v>524</v>
      </c>
      <c r="C13" s="345">
        <f t="shared" si="1"/>
        <v>0.89972600000000003</v>
      </c>
      <c r="D13" s="345">
        <f>'[1]Primary and Summary'!D115</f>
        <v>0.100274</v>
      </c>
      <c r="J13" s="359"/>
      <c r="K13" s="359"/>
    </row>
    <row r="14" spans="1:11" x14ac:dyDescent="0.35">
      <c r="A14" s="347">
        <f t="shared" si="0"/>
        <v>12</v>
      </c>
      <c r="B14" s="349" t="s">
        <v>523</v>
      </c>
      <c r="C14" s="345">
        <f t="shared" si="1"/>
        <v>0.88721899999999998</v>
      </c>
      <c r="D14" s="345">
        <f>'[1]Primary and Summary'!D116</f>
        <v>0.11278100000000001</v>
      </c>
      <c r="J14" s="359"/>
      <c r="K14" s="359"/>
    </row>
    <row r="15" spans="1:11" x14ac:dyDescent="0.35">
      <c r="A15" s="347">
        <f t="shared" si="0"/>
        <v>13</v>
      </c>
      <c r="B15" s="349" t="s">
        <v>522</v>
      </c>
      <c r="C15" s="345">
        <f t="shared" si="1"/>
        <v>0.89011200000000001</v>
      </c>
      <c r="D15" s="345">
        <f>'[1]Primary and Summary'!D117</f>
        <v>0.109888</v>
      </c>
      <c r="J15" s="359"/>
      <c r="K15" s="359"/>
    </row>
    <row r="16" spans="1:11" x14ac:dyDescent="0.35">
      <c r="A16" s="347">
        <f t="shared" si="0"/>
        <v>14</v>
      </c>
      <c r="B16" s="349" t="s">
        <v>521</v>
      </c>
      <c r="C16" s="345">
        <f t="shared" si="1"/>
        <v>0.7</v>
      </c>
      <c r="D16" s="345">
        <f>'[1]Primary and Summary'!D118</f>
        <v>0.30000000000000004</v>
      </c>
      <c r="J16" s="359"/>
      <c r="K16" s="359"/>
    </row>
    <row r="17" spans="1:11" x14ac:dyDescent="0.35">
      <c r="A17" s="347">
        <f t="shared" si="0"/>
        <v>15</v>
      </c>
      <c r="B17" s="349" t="s">
        <v>520</v>
      </c>
      <c r="C17" s="345">
        <f t="shared" si="1"/>
        <v>0.88888888888888884</v>
      </c>
      <c r="D17" s="345">
        <f>'[1]Primary and Summary'!D119</f>
        <v>0.11111111111111116</v>
      </c>
      <c r="J17" s="359"/>
      <c r="K17" s="359"/>
    </row>
    <row r="18" spans="1:11" x14ac:dyDescent="0.35">
      <c r="A18" s="347">
        <f t="shared" si="0"/>
        <v>16</v>
      </c>
      <c r="B18" s="350" t="s">
        <v>376</v>
      </c>
      <c r="C18" s="345">
        <f t="shared" si="1"/>
        <v>0</v>
      </c>
      <c r="D18" s="345">
        <f>'[1]Primary and Summary'!D120</f>
        <v>1</v>
      </c>
      <c r="J18" s="359"/>
      <c r="K18" s="359"/>
    </row>
    <row r="19" spans="1:11" x14ac:dyDescent="0.35">
      <c r="A19" s="347">
        <f t="shared" si="0"/>
        <v>17</v>
      </c>
      <c r="B19" s="348" t="s">
        <v>519</v>
      </c>
      <c r="C19" s="345">
        <f t="shared" si="1"/>
        <v>1</v>
      </c>
      <c r="D19" s="345">
        <f>'[1]Primary and Summary'!D121</f>
        <v>0</v>
      </c>
      <c r="J19" s="359"/>
      <c r="K19" s="359"/>
    </row>
    <row r="20" spans="1:11" x14ac:dyDescent="0.35">
      <c r="A20" s="347">
        <f t="shared" si="0"/>
        <v>18</v>
      </c>
      <c r="B20" s="348" t="s">
        <v>518</v>
      </c>
      <c r="C20" s="345">
        <f t="shared" si="1"/>
        <v>0.88029999999999997</v>
      </c>
      <c r="D20" s="345">
        <f>'[1]Primary and Summary'!D122</f>
        <v>0.11970000000000003</v>
      </c>
      <c r="J20" s="359"/>
      <c r="K20" s="359"/>
    </row>
    <row r="21" spans="1:11" x14ac:dyDescent="0.35">
      <c r="A21" s="347">
        <f t="shared" si="0"/>
        <v>19</v>
      </c>
      <c r="B21" s="349" t="s">
        <v>360</v>
      </c>
      <c r="C21" s="345">
        <f t="shared" si="1"/>
        <v>0.98777901275695978</v>
      </c>
      <c r="D21" s="345">
        <f>'[1]Primary and Summary'!D123</f>
        <v>1.2220987243040216E-2</v>
      </c>
      <c r="J21" s="359"/>
      <c r="K21" s="359"/>
    </row>
    <row r="22" spans="1:11" x14ac:dyDescent="0.35">
      <c r="A22" s="347">
        <f t="shared" si="0"/>
        <v>20</v>
      </c>
      <c r="B22" s="349" t="s">
        <v>517</v>
      </c>
      <c r="C22" s="345">
        <f t="shared" si="1"/>
        <v>0.88443916716336679</v>
      </c>
      <c r="D22" s="345">
        <f>'[1]Primary and Summary'!D124</f>
        <v>0.11556083283663321</v>
      </c>
      <c r="J22" s="359"/>
      <c r="K22" s="359"/>
    </row>
    <row r="23" spans="1:11" x14ac:dyDescent="0.35">
      <c r="A23" s="347">
        <f t="shared" si="0"/>
        <v>21</v>
      </c>
      <c r="B23" s="348" t="s">
        <v>359</v>
      </c>
      <c r="C23" s="345">
        <f t="shared" si="1"/>
        <v>0.85734874535595984</v>
      </c>
      <c r="D23" s="345">
        <f>'[1]Primary and Summary'!D125</f>
        <v>0.14265125464404022</v>
      </c>
      <c r="J23" s="359"/>
      <c r="K23" s="359"/>
    </row>
    <row r="24" spans="1:11" x14ac:dyDescent="0.35">
      <c r="A24" s="347">
        <f t="shared" si="0"/>
        <v>22</v>
      </c>
      <c r="B24" s="348" t="s">
        <v>516</v>
      </c>
      <c r="C24" s="345">
        <f t="shared" si="1"/>
        <v>0.9375</v>
      </c>
      <c r="D24" s="345">
        <f>'[1]Primary and Summary'!D126</f>
        <v>6.25E-2</v>
      </c>
      <c r="J24" s="359"/>
      <c r="K24" s="359"/>
    </row>
    <row r="25" spans="1:11" x14ac:dyDescent="0.35">
      <c r="A25" s="347">
        <f t="shared" si="0"/>
        <v>23</v>
      </c>
      <c r="B25" s="346" t="s">
        <v>515</v>
      </c>
      <c r="C25" s="345">
        <f t="shared" si="1"/>
        <v>0.96679999999999999</v>
      </c>
      <c r="D25" s="345">
        <f>'[1]Primary and Summary'!D127</f>
        <v>3.3200000000000007E-2</v>
      </c>
      <c r="J25" s="359"/>
      <c r="K25" s="359"/>
    </row>
    <row r="26" spans="1:11" x14ac:dyDescent="0.35">
      <c r="A26" s="347">
        <f t="shared" ref="A26:A27" si="2">A25+1</f>
        <v>24</v>
      </c>
      <c r="B26" s="61" t="s">
        <v>537</v>
      </c>
      <c r="C26" s="345">
        <f t="shared" si="1"/>
        <v>0.86480682756809357</v>
      </c>
      <c r="D26" s="345">
        <f>'[1]Primary and Summary'!D128</f>
        <v>0.13519317243190643</v>
      </c>
      <c r="J26" s="359"/>
      <c r="K26" s="359"/>
    </row>
    <row r="27" spans="1:11" x14ac:dyDescent="0.35">
      <c r="A27" s="347">
        <f t="shared" si="2"/>
        <v>25</v>
      </c>
      <c r="B27" s="61" t="s">
        <v>337</v>
      </c>
      <c r="C27" s="345">
        <f t="shared" si="1"/>
        <v>0.89327933302276075</v>
      </c>
      <c r="D27" s="345">
        <f>'[1]Primary and Summary'!D129</f>
        <v>0.1067206669772393</v>
      </c>
      <c r="J27" s="359"/>
      <c r="K27" s="3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72E7-2250-4B9C-8686-0AE869554201}">
  <dimension ref="A1:O35"/>
  <sheetViews>
    <sheetView workbookViewId="0">
      <selection activeCell="D4" sqref="D4"/>
    </sheetView>
  </sheetViews>
  <sheetFormatPr defaultRowHeight="14.5" x14ac:dyDescent="0.35"/>
  <cols>
    <col min="2" max="2" width="56.7265625" bestFit="1" customWidth="1"/>
    <col min="3" max="3" width="22.453125" customWidth="1"/>
    <col min="4" max="4" width="26.7265625" bestFit="1" customWidth="1"/>
    <col min="5" max="5" width="15.54296875" customWidth="1"/>
    <col min="6" max="6" width="22.81640625" bestFit="1" customWidth="1"/>
    <col min="7" max="7" width="15" customWidth="1"/>
    <col min="8" max="8" width="12.7265625" bestFit="1" customWidth="1"/>
  </cols>
  <sheetData>
    <row r="1" spans="1:15" x14ac:dyDescent="0.35">
      <c r="D1" t="s">
        <v>39</v>
      </c>
    </row>
    <row r="2" spans="1:15" x14ac:dyDescent="0.35">
      <c r="A2" t="s">
        <v>37</v>
      </c>
      <c r="B2" t="s">
        <v>40</v>
      </c>
      <c r="D2" t="s">
        <v>41</v>
      </c>
      <c r="E2" t="s">
        <v>25</v>
      </c>
      <c r="F2" t="s">
        <v>42</v>
      </c>
      <c r="G2" t="s">
        <v>24</v>
      </c>
      <c r="H2" t="s">
        <v>43</v>
      </c>
    </row>
    <row r="3" spans="1:15" x14ac:dyDescent="0.35">
      <c r="A3">
        <v>201812</v>
      </c>
      <c r="B3" t="s">
        <v>4</v>
      </c>
      <c r="C3">
        <v>2271329.6</v>
      </c>
      <c r="D3" s="13">
        <v>1834553.63</v>
      </c>
      <c r="E3" s="13">
        <v>52763.64</v>
      </c>
      <c r="F3">
        <v>0</v>
      </c>
      <c r="G3" s="13">
        <v>384012.33</v>
      </c>
      <c r="H3" s="13">
        <f>SUM(D3:G3)</f>
        <v>2271329.5999999996</v>
      </c>
    </row>
    <row r="4" spans="1:15" x14ac:dyDescent="0.35">
      <c r="A4">
        <v>201758</v>
      </c>
      <c r="B4" t="s">
        <v>0</v>
      </c>
      <c r="C4">
        <v>1226432.6599999999</v>
      </c>
      <c r="D4" s="13">
        <v>1007708.73</v>
      </c>
      <c r="E4">
        <v>20153.43</v>
      </c>
      <c r="F4">
        <v>0</v>
      </c>
      <c r="G4" s="13">
        <v>198570.5</v>
      </c>
      <c r="H4" s="13">
        <f t="shared" ref="H4:H35" si="0">SUM(D4:G4)</f>
        <v>1226432.6600000001</v>
      </c>
      <c r="N4">
        <v>201812</v>
      </c>
    </row>
    <row r="5" spans="1:15" x14ac:dyDescent="0.35">
      <c r="A5">
        <v>201425</v>
      </c>
      <c r="B5" t="s">
        <v>2</v>
      </c>
      <c r="C5">
        <v>368913.37</v>
      </c>
      <c r="D5" s="13">
        <v>315670.20999999996</v>
      </c>
      <c r="E5" s="13">
        <v>26077.279999999999</v>
      </c>
      <c r="F5">
        <v>0</v>
      </c>
      <c r="G5" s="13">
        <v>27165.88</v>
      </c>
      <c r="H5" s="13">
        <f t="shared" si="0"/>
        <v>368913.37</v>
      </c>
      <c r="N5">
        <v>201758</v>
      </c>
      <c r="O5" t="str">
        <f>N4&amp;";"&amp;N5</f>
        <v>201812;201758</v>
      </c>
    </row>
    <row r="6" spans="1:15" x14ac:dyDescent="0.35">
      <c r="A6">
        <v>202129</v>
      </c>
      <c r="B6" t="s">
        <v>15</v>
      </c>
      <c r="C6">
        <v>218630.69</v>
      </c>
      <c r="D6" s="13">
        <v>155820.07</v>
      </c>
      <c r="E6" s="13">
        <v>1246.04</v>
      </c>
      <c r="F6">
        <v>0</v>
      </c>
      <c r="G6" s="13">
        <v>61564.58</v>
      </c>
      <c r="H6" s="13">
        <f t="shared" si="0"/>
        <v>218630.69</v>
      </c>
      <c r="N6">
        <v>201425</v>
      </c>
      <c r="O6" t="str">
        <f>O5&amp;";"&amp;N6</f>
        <v>201812;201758;201425</v>
      </c>
    </row>
    <row r="7" spans="1:15" x14ac:dyDescent="0.35">
      <c r="B7" t="s">
        <v>14</v>
      </c>
      <c r="D7" s="13"/>
      <c r="H7" s="13">
        <f t="shared" si="0"/>
        <v>0</v>
      </c>
      <c r="N7">
        <v>202129</v>
      </c>
      <c r="O7" t="str">
        <f t="shared" ref="O7:O24" si="1">O6&amp;";"&amp;N7</f>
        <v>201812;201758;201425;202129</v>
      </c>
    </row>
    <row r="8" spans="1:15" x14ac:dyDescent="0.35">
      <c r="A8">
        <v>202110</v>
      </c>
      <c r="B8" t="s">
        <v>23</v>
      </c>
      <c r="C8">
        <v>33626.75</v>
      </c>
      <c r="D8" s="13">
        <v>23290.519999999997</v>
      </c>
      <c r="E8">
        <v>375.65</v>
      </c>
      <c r="F8">
        <v>0</v>
      </c>
      <c r="G8" s="13">
        <v>9960.58</v>
      </c>
      <c r="H8" s="13">
        <f t="shared" si="0"/>
        <v>33626.75</v>
      </c>
      <c r="N8">
        <v>202110</v>
      </c>
      <c r="O8" t="str">
        <f t="shared" si="1"/>
        <v>201812;201758;201425;202129;202110</v>
      </c>
    </row>
    <row r="9" spans="1:15" x14ac:dyDescent="0.35">
      <c r="A9">
        <v>201844</v>
      </c>
      <c r="B9" t="s">
        <v>6</v>
      </c>
      <c r="C9">
        <v>748866.53</v>
      </c>
      <c r="D9" s="13">
        <v>632511.68999999994</v>
      </c>
      <c r="E9" s="13">
        <v>25126.04</v>
      </c>
      <c r="F9">
        <v>0</v>
      </c>
      <c r="G9" s="13">
        <v>91228.800000000003</v>
      </c>
      <c r="H9" s="13">
        <f t="shared" si="0"/>
        <v>748866.53</v>
      </c>
      <c r="N9">
        <v>201844</v>
      </c>
      <c r="O9" t="str">
        <f t="shared" si="1"/>
        <v>201812;201758;201425;202129;202110;201844</v>
      </c>
    </row>
    <row r="10" spans="1:15" x14ac:dyDescent="0.35">
      <c r="B10" t="s">
        <v>44</v>
      </c>
      <c r="D10" s="13"/>
      <c r="H10" s="13">
        <f t="shared" si="0"/>
        <v>0</v>
      </c>
      <c r="N10">
        <v>201663</v>
      </c>
      <c r="O10" t="str">
        <f t="shared" si="1"/>
        <v>201812;201758;201425;202129;202110;201844;201663</v>
      </c>
    </row>
    <row r="11" spans="1:15" x14ac:dyDescent="0.35">
      <c r="B11" t="s">
        <v>45</v>
      </c>
      <c r="D11" s="13"/>
      <c r="H11" s="13">
        <f t="shared" si="0"/>
        <v>0</v>
      </c>
      <c r="N11">
        <v>202068</v>
      </c>
      <c r="O11" t="str">
        <f t="shared" si="1"/>
        <v>201812;201758;201425;202129;202110;201844;201663;202068</v>
      </c>
    </row>
    <row r="12" spans="1:15" x14ac:dyDescent="0.35">
      <c r="A12">
        <v>201663</v>
      </c>
      <c r="B12" t="s">
        <v>7</v>
      </c>
      <c r="C12">
        <v>24520720.350000001</v>
      </c>
      <c r="D12" s="13">
        <v>23970423.140000004</v>
      </c>
      <c r="E12" s="13">
        <v>345813.47</v>
      </c>
      <c r="F12">
        <v>0</v>
      </c>
      <c r="G12" s="13">
        <v>204483.74</v>
      </c>
      <c r="H12" s="13">
        <f t="shared" si="0"/>
        <v>24520720.350000001</v>
      </c>
      <c r="N12">
        <v>202174</v>
      </c>
      <c r="O12" t="str">
        <f t="shared" si="1"/>
        <v>201812;201758;201425;202129;202110;201844;201663;202068;202174</v>
      </c>
    </row>
    <row r="13" spans="1:15" x14ac:dyDescent="0.35">
      <c r="A13">
        <v>202068</v>
      </c>
      <c r="B13" t="s">
        <v>8</v>
      </c>
      <c r="C13">
        <v>852318.27</v>
      </c>
      <c r="D13" s="13">
        <v>750127.1100000001</v>
      </c>
      <c r="E13" s="13">
        <v>5215.82</v>
      </c>
      <c r="F13">
        <v>0</v>
      </c>
      <c r="G13" s="13">
        <v>96975.34</v>
      </c>
      <c r="H13" s="13">
        <f t="shared" si="0"/>
        <v>852318.27</v>
      </c>
      <c r="N13">
        <v>202029</v>
      </c>
      <c r="O13" t="str">
        <f t="shared" si="1"/>
        <v>201812;201758;201425;202129;202110;201844;201663;202068;202174;202029</v>
      </c>
    </row>
    <row r="14" spans="1:15" x14ac:dyDescent="0.35">
      <c r="B14" t="s">
        <v>9</v>
      </c>
      <c r="D14" s="13"/>
      <c r="H14" s="13">
        <f t="shared" si="0"/>
        <v>0</v>
      </c>
      <c r="N14">
        <v>202008</v>
      </c>
      <c r="O14" t="str">
        <f t="shared" si="1"/>
        <v>201812;201758;201425;202129;202110;201844;201663;202068;202174;202029;202008</v>
      </c>
    </row>
    <row r="15" spans="1:15" x14ac:dyDescent="0.35">
      <c r="A15">
        <v>202174</v>
      </c>
      <c r="B15" t="s">
        <v>10</v>
      </c>
      <c r="C15">
        <v>2951434.1</v>
      </c>
      <c r="D15" s="13">
        <v>2374640.81</v>
      </c>
      <c r="E15" s="13">
        <v>5468.37</v>
      </c>
      <c r="F15">
        <v>0</v>
      </c>
      <c r="G15" s="13">
        <v>571324.92000000004</v>
      </c>
      <c r="H15" s="13">
        <f t="shared" si="0"/>
        <v>2951434.1</v>
      </c>
      <c r="N15">
        <v>202170</v>
      </c>
      <c r="O15" t="str">
        <f t="shared" si="1"/>
        <v>201812;201758;201425;202129;202110;201844;201663;202068;202174;202029;202008;202170</v>
      </c>
    </row>
    <row r="16" spans="1:15" x14ac:dyDescent="0.35">
      <c r="A16">
        <v>202029</v>
      </c>
      <c r="B16" t="s">
        <v>11</v>
      </c>
      <c r="C16">
        <v>3495242.77</v>
      </c>
      <c r="D16" s="13">
        <v>2910314.1300000004</v>
      </c>
      <c r="E16" s="13">
        <v>46855.07</v>
      </c>
      <c r="F16">
        <v>0</v>
      </c>
      <c r="G16" s="13">
        <v>538073.56999999995</v>
      </c>
      <c r="H16" s="13">
        <f t="shared" si="0"/>
        <v>3495242.77</v>
      </c>
      <c r="N16">
        <v>202075</v>
      </c>
      <c r="O16" t="str">
        <f t="shared" si="1"/>
        <v>201812;201758;201425;202129;202110;201844;201663;202068;202174;202029;202008;202170;202075</v>
      </c>
    </row>
    <row r="17" spans="1:15" x14ac:dyDescent="0.35">
      <c r="A17">
        <v>202008</v>
      </c>
      <c r="B17" t="s">
        <v>16</v>
      </c>
      <c r="C17">
        <v>1153203.19</v>
      </c>
      <c r="D17" s="13">
        <v>976968.59</v>
      </c>
      <c r="E17" s="13">
        <v>3738.48</v>
      </c>
      <c r="F17">
        <v>0</v>
      </c>
      <c r="G17" s="13">
        <v>172496.12</v>
      </c>
      <c r="H17" s="13">
        <f t="shared" si="0"/>
        <v>1153203.19</v>
      </c>
      <c r="N17">
        <v>202045</v>
      </c>
      <c r="O17" t="str">
        <f t="shared" si="1"/>
        <v>201812;201758;201425;202129;202110;201844;201663;202068;202174;202029;202008;202170;202075;202045</v>
      </c>
    </row>
    <row r="18" spans="1:15" x14ac:dyDescent="0.35">
      <c r="A18">
        <v>202170</v>
      </c>
      <c r="B18" t="s">
        <v>17</v>
      </c>
      <c r="C18">
        <v>70565.429999999993</v>
      </c>
      <c r="D18" s="13">
        <v>59578.979999999989</v>
      </c>
      <c r="E18">
        <v>499.46</v>
      </c>
      <c r="F18">
        <v>0</v>
      </c>
      <c r="G18" s="13">
        <v>10486.99</v>
      </c>
      <c r="H18" s="13">
        <f t="shared" si="0"/>
        <v>70565.429999999993</v>
      </c>
      <c r="N18">
        <v>202003</v>
      </c>
      <c r="O18" t="str">
        <f t="shared" si="1"/>
        <v>201812;201758;201425;202129;202110;201844;201663;202068;202174;202029;202008;202170;202075;202045;202003</v>
      </c>
    </row>
    <row r="19" spans="1:15" x14ac:dyDescent="0.35">
      <c r="A19">
        <v>202075</v>
      </c>
      <c r="B19" t="s">
        <v>12</v>
      </c>
      <c r="C19">
        <v>971171.87</v>
      </c>
      <c r="D19" s="13">
        <v>778197.25</v>
      </c>
      <c r="E19" s="13">
        <v>4095.37</v>
      </c>
      <c r="F19">
        <v>0</v>
      </c>
      <c r="G19" s="13">
        <v>188879.25</v>
      </c>
      <c r="H19" s="13">
        <f t="shared" si="0"/>
        <v>971171.87</v>
      </c>
      <c r="N19">
        <v>202168</v>
      </c>
      <c r="O19" t="str">
        <f t="shared" si="1"/>
        <v>201812;201758;201425;202129;202110;201844;201663;202068;202174;202029;202008;202170;202075;202045;202003;202168</v>
      </c>
    </row>
    <row r="20" spans="1:15" x14ac:dyDescent="0.35">
      <c r="A20">
        <v>202045</v>
      </c>
      <c r="B20" t="s">
        <v>13</v>
      </c>
      <c r="C20">
        <v>2695587.18</v>
      </c>
      <c r="D20" s="13">
        <v>2299930.9300000002</v>
      </c>
      <c r="E20" s="13">
        <v>22455.21</v>
      </c>
      <c r="F20">
        <v>0</v>
      </c>
      <c r="G20" s="13">
        <v>373201.04</v>
      </c>
      <c r="H20" s="13">
        <f t="shared" si="0"/>
        <v>2695587.18</v>
      </c>
      <c r="N20">
        <v>201748</v>
      </c>
      <c r="O20" t="str">
        <f t="shared" si="1"/>
        <v>201812;201758;201425;202129;202110;201844;201663;202068;202174;202029;202008;202170;202075;202045;202003;202168;201748</v>
      </c>
    </row>
    <row r="21" spans="1:15" x14ac:dyDescent="0.35">
      <c r="D21" s="13"/>
      <c r="H21" s="13">
        <f t="shared" si="0"/>
        <v>0</v>
      </c>
      <c r="N21">
        <v>201897</v>
      </c>
      <c r="O21" t="str">
        <f t="shared" si="1"/>
        <v>201812;201758;201425;202129;202110;201844;201663;202068;202174;202029;202008;202170;202075;202045;202003;202168;201748;201897</v>
      </c>
    </row>
    <row r="22" spans="1:15" x14ac:dyDescent="0.35">
      <c r="B22" t="s">
        <v>18</v>
      </c>
      <c r="D22" s="13"/>
      <c r="H22" s="13">
        <f t="shared" si="0"/>
        <v>0</v>
      </c>
      <c r="N22">
        <v>201999</v>
      </c>
      <c r="O22" t="str">
        <f t="shared" si="1"/>
        <v>201812;201758;201425;202129;202110;201844;201663;202068;202174;202029;202008;202170;202075;202045;202003;202168;201748;201897;201999</v>
      </c>
    </row>
    <row r="23" spans="1:15" x14ac:dyDescent="0.35">
      <c r="A23">
        <v>202003</v>
      </c>
      <c r="B23" t="s">
        <v>19</v>
      </c>
      <c r="C23">
        <v>6513509.5099999998</v>
      </c>
      <c r="D23" s="13">
        <v>5852449.6899999995</v>
      </c>
      <c r="E23" s="13">
        <v>38976.04</v>
      </c>
      <c r="F23">
        <v>0</v>
      </c>
      <c r="G23" s="13">
        <v>622083.78</v>
      </c>
      <c r="H23" s="13">
        <f t="shared" si="0"/>
        <v>6513509.5099999998</v>
      </c>
      <c r="N23">
        <v>202094</v>
      </c>
      <c r="O23" t="str">
        <f t="shared" si="1"/>
        <v>201812;201758;201425;202129;202110;201844;201663;202068;202174;202029;202008;202170;202075;202045;202003;202168;201748;201897;201999;202094</v>
      </c>
    </row>
    <row r="24" spans="1:15" x14ac:dyDescent="0.35">
      <c r="B24" t="s">
        <v>20</v>
      </c>
      <c r="D24" s="13"/>
      <c r="H24" s="13">
        <f t="shared" si="0"/>
        <v>0</v>
      </c>
      <c r="N24">
        <v>202182</v>
      </c>
      <c r="O24" t="str">
        <f t="shared" si="1"/>
        <v>201812;201758;201425;202129;202110;201844;201663;202068;202174;202029;202008;202170;202075;202045;202003;202168;201748;201897;201999;202094;202182</v>
      </c>
    </row>
    <row r="25" spans="1:15" x14ac:dyDescent="0.35">
      <c r="D25" s="13"/>
      <c r="H25" s="13">
        <f t="shared" si="0"/>
        <v>0</v>
      </c>
    </row>
    <row r="26" spans="1:15" x14ac:dyDescent="0.35">
      <c r="B26" t="s">
        <v>21</v>
      </c>
      <c r="D26" s="13"/>
      <c r="H26" s="13">
        <f t="shared" si="0"/>
        <v>0</v>
      </c>
    </row>
    <row r="27" spans="1:15" x14ac:dyDescent="0.35">
      <c r="A27">
        <v>202168</v>
      </c>
      <c r="B27" t="s">
        <v>22</v>
      </c>
      <c r="C27">
        <v>1781378.07</v>
      </c>
      <c r="D27" s="13">
        <v>1630649.7900000003</v>
      </c>
      <c r="E27" s="13">
        <v>8571.6299999999992</v>
      </c>
      <c r="F27">
        <v>0</v>
      </c>
      <c r="G27" s="13">
        <v>142156.65</v>
      </c>
      <c r="H27" s="13">
        <f t="shared" si="0"/>
        <v>1781378.07</v>
      </c>
      <c r="O27" t="s">
        <v>38</v>
      </c>
    </row>
    <row r="28" spans="1:15" x14ac:dyDescent="0.35">
      <c r="D28" s="13"/>
      <c r="H28" s="13">
        <f t="shared" si="0"/>
        <v>0</v>
      </c>
    </row>
    <row r="29" spans="1:15" x14ac:dyDescent="0.35">
      <c r="D29" s="13"/>
      <c r="H29" s="13">
        <f t="shared" si="0"/>
        <v>0</v>
      </c>
    </row>
    <row r="30" spans="1:15" x14ac:dyDescent="0.35">
      <c r="B30" t="s">
        <v>29</v>
      </c>
      <c r="D30" s="13"/>
      <c r="H30" s="13">
        <f t="shared" si="0"/>
        <v>0</v>
      </c>
    </row>
    <row r="31" spans="1:15" x14ac:dyDescent="0.35">
      <c r="A31">
        <v>201748</v>
      </c>
      <c r="B31" t="s">
        <v>32</v>
      </c>
      <c r="C31">
        <v>11915908.720000001</v>
      </c>
      <c r="D31" s="13">
        <v>10296268.870000001</v>
      </c>
      <c r="E31" s="13">
        <v>581377.76</v>
      </c>
      <c r="F31">
        <v>0</v>
      </c>
      <c r="G31" s="13">
        <v>1038262.09</v>
      </c>
      <c r="H31" s="13">
        <f t="shared" si="0"/>
        <v>11915908.720000001</v>
      </c>
    </row>
    <row r="32" spans="1:15" x14ac:dyDescent="0.35">
      <c r="A32">
        <v>201897</v>
      </c>
      <c r="B32" t="s">
        <v>33</v>
      </c>
      <c r="C32">
        <v>3943074.74</v>
      </c>
      <c r="D32" s="13">
        <v>3523443.73</v>
      </c>
      <c r="E32" s="13">
        <v>92436.89</v>
      </c>
      <c r="F32">
        <v>0</v>
      </c>
      <c r="G32" s="13">
        <v>327194.12</v>
      </c>
      <c r="H32" s="13">
        <f t="shared" si="0"/>
        <v>3943074.74</v>
      </c>
    </row>
    <row r="33" spans="1:8" x14ac:dyDescent="0.35">
      <c r="A33">
        <v>201999</v>
      </c>
      <c r="B33" t="s">
        <v>34</v>
      </c>
      <c r="C33">
        <v>3640183.2</v>
      </c>
      <c r="D33" s="13">
        <v>3327074.58</v>
      </c>
      <c r="E33" s="13">
        <v>54362.29</v>
      </c>
      <c r="F33">
        <v>0</v>
      </c>
      <c r="G33" s="13">
        <v>258746.33</v>
      </c>
      <c r="H33" s="13">
        <f t="shared" si="0"/>
        <v>3640183.2</v>
      </c>
    </row>
    <row r="34" spans="1:8" x14ac:dyDescent="0.35">
      <c r="A34">
        <v>202094</v>
      </c>
      <c r="B34" t="s">
        <v>35</v>
      </c>
      <c r="C34">
        <v>770848.72</v>
      </c>
      <c r="D34" s="13">
        <v>698637.04999999993</v>
      </c>
      <c r="E34" s="13">
        <v>3818.54</v>
      </c>
      <c r="F34">
        <v>0</v>
      </c>
      <c r="G34" s="13">
        <v>68393.13</v>
      </c>
      <c r="H34" s="13">
        <f t="shared" si="0"/>
        <v>770848.72</v>
      </c>
    </row>
    <row r="35" spans="1:8" x14ac:dyDescent="0.35">
      <c r="A35">
        <v>202182</v>
      </c>
      <c r="B35" t="s">
        <v>36</v>
      </c>
      <c r="C35">
        <v>389322.28</v>
      </c>
      <c r="D35" s="13">
        <v>353628.11000000004</v>
      </c>
      <c r="E35" s="13">
        <v>1321.87</v>
      </c>
      <c r="F35">
        <v>0</v>
      </c>
      <c r="G35" s="13">
        <v>34372.300000000003</v>
      </c>
      <c r="H35" s="13">
        <f t="shared" si="0"/>
        <v>389322.28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2021-08-03T07:00:00+00:00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DD12F5A-5FFA-4D7D-8351-7648E0628A1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0745C71-D50B-43CA-BE98-52C9A30E9139}"/>
</file>

<file path=customXml/itemProps3.xml><?xml version="1.0" encoding="utf-8"?>
<ds:datastoreItem xmlns:ds="http://schemas.openxmlformats.org/officeDocument/2006/customXml" ds:itemID="{90D341BB-F742-4618-B59E-CA512B2548F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61476D-9989-4C62-AEAD-33C75CAF4554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224B0372-13DF-480E-9478-9065470E5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FERC Summary</vt:lpstr>
      <vt:lpstr>BI Strategy_Power BI</vt:lpstr>
      <vt:lpstr>Horizon 1 breakout</vt:lpstr>
      <vt:lpstr>Accounting Alignment</vt:lpstr>
      <vt:lpstr>Projects</vt:lpstr>
      <vt:lpstr>Dep Rates</vt:lpstr>
      <vt:lpstr>Factors</vt:lpstr>
      <vt:lpstr>Actuals (BI Report)</vt:lpstr>
      <vt:lpstr>INP (A) Plant Construction</vt:lpstr>
      <vt:lpstr>'INP (A) Plant Construction'!Print_Area</vt:lpstr>
      <vt:lpstr>Projects!Print_Area</vt:lpstr>
      <vt:lpstr>Summary!Print_Area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Tobin Davilla</dc:creator>
  <cp:lastModifiedBy>Wyman, Robert</cp:lastModifiedBy>
  <cp:lastPrinted>2021-06-24T21:06:01Z</cp:lastPrinted>
  <dcterms:created xsi:type="dcterms:W3CDTF">2020-10-14T20:52:17Z</dcterms:created>
  <dcterms:modified xsi:type="dcterms:W3CDTF">2021-08-04T17:08:40Z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