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10" windowWidth="16860" windowHeight="9150" activeTab="0"/>
  </bookViews>
  <sheets>
    <sheet name="WAG9 2001" sheetId="1" r:id="rId1"/>
  </sheets>
  <externalReferences>
    <externalReference r:id="rId4"/>
    <externalReference r:id="rId5"/>
    <externalReference r:id="rId6"/>
  </externalReferences>
  <definedNames>
    <definedName name="_xlnm.Print_Area" localSheetId="0">'WAG9 2001'!$A$1:$P$39</definedName>
    <definedName name="_xlnm.Print_Titles" localSheetId="0">'WAG9 2001'!$A:$C,'WAG9 2001'!$3:$4</definedName>
  </definedNames>
  <calcPr fullCalcOnLoad="1"/>
</workbook>
</file>

<file path=xl/comments1.xml><?xml version="1.0" encoding="utf-8"?>
<comments xmlns="http://schemas.openxmlformats.org/spreadsheetml/2006/main">
  <authors>
    <author>PSE</author>
  </authors>
  <commentList>
    <comment ref="D26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Source Pam Rasanan for actual results through June 2001</t>
        </r>
      </text>
    </comment>
    <comment ref="D25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Source actual 456 accounts and misc. revenue forecast of non-core gas hedges</t>
        </r>
      </text>
    </comment>
    <comment ref="M26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Don't know yet</t>
        </r>
      </text>
    </comment>
    <comment ref="N10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Sales and purchase to plug to Nov 6th OUTLOOK</t>
        </r>
      </text>
    </comment>
  </commentList>
</comments>
</file>

<file path=xl/sharedStrings.xml><?xml version="1.0" encoding="utf-8"?>
<sst xmlns="http://schemas.openxmlformats.org/spreadsheetml/2006/main" count="28" uniqueCount="28">
  <si>
    <t>Total</t>
  </si>
  <si>
    <t xml:space="preserve">447 Sales for Resale </t>
  </si>
  <si>
    <t>565 Wheeling</t>
  </si>
  <si>
    <t>BEP Amortization (ends 6/2016)</t>
  </si>
  <si>
    <t>TOTAL Net Power Costs</t>
  </si>
  <si>
    <t>Non-Core Gas (Credit) / Cost</t>
  </si>
  <si>
    <t>Rate Increase Needed $/MWh</t>
  </si>
  <si>
    <t>Unit Cost  $/MWh  Actual / Forecast</t>
  </si>
  <si>
    <t>Index Revenue (greater) than Original Schedules</t>
  </si>
  <si>
    <t>Load MWh (GPI)</t>
  </si>
  <si>
    <t>Delivered Load MWh (including losses)</t>
  </si>
  <si>
    <t>Tracked Mills in Rates</t>
  </si>
  <si>
    <t xml:space="preserve">&lt;---- ACTUAL           </t>
  </si>
  <si>
    <t xml:space="preserve">        FORECAST   -------&gt;</t>
  </si>
  <si>
    <t>501 Fuel</t>
  </si>
  <si>
    <t>547 Fuel</t>
  </si>
  <si>
    <t>Fuel - Total</t>
  </si>
  <si>
    <t>557 Brokerage Fees Pur/Sale Elec.</t>
  </si>
  <si>
    <t>TOTAL Tracked Power Costs  $x1000</t>
  </si>
  <si>
    <t>Deferral &amp; Increase Needed  $x1000</t>
  </si>
  <si>
    <t>Subtotal</t>
  </si>
  <si>
    <t>Comp. Bid,  Consulting, &amp; Other Exp. in 557</t>
  </si>
  <si>
    <t>555 Purchased &amp; Interchange w/o BEP Amort</t>
  </si>
  <si>
    <t>Nov 6 Outlook</t>
  </si>
  <si>
    <t>~ actual</t>
  </si>
  <si>
    <t>Accumulated Deferral &amp; Increase needed x1000</t>
  </si>
  <si>
    <t>Actual and Forecast Power Costs 2001</t>
  </si>
  <si>
    <t>Format similar to Docket UE-011170 - Interim Case</t>
  </si>
</sst>
</file>

<file path=xl/styles.xml><?xml version="1.0" encoding="utf-8"?>
<styleSheet xmlns="http://schemas.openxmlformats.org/spreadsheetml/2006/main">
  <numFmts count="8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#,##0.0"/>
    <numFmt numFmtId="166" formatCode="&quot;+&quot;#,##0.0;&quot;-&quot;#,##0.0;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0.0000"/>
    <numFmt numFmtId="175" formatCode="0.000"/>
    <numFmt numFmtId="176" formatCode="0.00000"/>
    <numFmt numFmtId="177" formatCode="#,##0.000000000"/>
    <numFmt numFmtId="178" formatCode="0.000000"/>
    <numFmt numFmtId="179" formatCode="0.\9\3\6"/>
    <numFmt numFmtId="180" formatCode="mmm\-yy&quot;**&quot;"/>
    <numFmt numFmtId="181" formatCode="mmm\-yy&quot;***&quot;"/>
    <numFmt numFmtId="182" formatCode="&quot;TOT&quot;\ mmm\-yy"/>
    <numFmt numFmtId="183" formatCode="&quot;Tot &quot;\ mmm\-yy"/>
    <numFmt numFmtId="184" formatCode="&quot;Tot   &quot;\ mmm\-yy"/>
    <numFmt numFmtId="185" formatCode="&quot;Tot     &quot;\ mmm\-yy"/>
    <numFmt numFmtId="186" formatCode="&quot;To  &quot;mmm\-yy"/>
    <numFmt numFmtId="187" formatCode="&quot;Total   &quot;\ mmm\-yy"/>
    <numFmt numFmtId="188" formatCode="&quot;Total &quot;\ mmm\-yy"/>
    <numFmt numFmtId="189" formatCode="&quot;(1)&quot;\ #,##0.0"/>
    <numFmt numFmtId="190" formatCode="&quot;(2)&quot;\ #,##0.0"/>
    <numFmt numFmtId="191" formatCode="&quot;(2)&quot;\ #,##0.0;&quot;(2)&quot;\ \-#,##0.0"/>
    <numFmt numFmtId="192" formatCode="&quot;(3)&quot;\ #,##0.0;&quot;(3)&quot;\ \-#,##0.0"/>
    <numFmt numFmtId="193" formatCode="&quot;(4)&quot;\ #,##0.0;&quot;(4)&quot;\ \-#,##0.0"/>
    <numFmt numFmtId="194" formatCode="&quot;(5)&quot;\ #,##0.0;&quot;(5)&quot;\ \-#,##0.0"/>
    <numFmt numFmtId="195" formatCode="&quot;(6)&quot;\ #,##0.0;&quot;(6)&quot;\ \-#,##0.0"/>
    <numFmt numFmtId="196" formatCode="&quot;(7)&quot;\ #,##0.0;&quot;(7)&quot;\ \-#,##0.0"/>
    <numFmt numFmtId="197" formatCode="&quot;(8)&quot;\ #,##0.0;&quot;(8)&quot;\ \-#,##0.0"/>
    <numFmt numFmtId="198" formatCode="&quot;(9)&quot;\ #,##0.0;&quot;(9)&quot;\ \-#,##0.0"/>
    <numFmt numFmtId="199" formatCode="&quot;(9)(10)&quot;\ #,##0.0;&quot;(9)&quot;\ \-#,##0.0"/>
    <numFmt numFmtId="200" formatCode="&quot;(11)&quot;\ #,##0.0;&quot;(11)&quot;\ \-#,##0.0"/>
    <numFmt numFmtId="201" formatCode="mmmm\-dd\-yyyy"/>
    <numFmt numFmtId="202" formatCode="&quot;+&quot;0.0;&quot;-&quot;0.0"/>
    <numFmt numFmtId="203" formatCode="&quot;+&quot;0.0;&quot;-&quot;0.0;0.0"/>
    <numFmt numFmtId="204" formatCode="mmmm\-yyyy\ &quot;To&quot;"/>
    <numFmt numFmtId="205" formatCode="mmm\-dd\-yy"/>
    <numFmt numFmtId="206" formatCode="mmmm\-yyyy\ "/>
    <numFmt numFmtId="207" formatCode="mmm\-yyyy"/>
    <numFmt numFmtId="208" formatCode="mmm\ yyyy"/>
    <numFmt numFmtId="209" formatCode="\(#0\)"/>
    <numFmt numFmtId="210" formatCode="#,##0\ &quot;Hours&quot;"/>
    <numFmt numFmtId="211" formatCode="&quot;$&quot;#,##0.0_);\(&quot;$&quot;#,##0.0\)"/>
    <numFmt numFmtId="212" formatCode="&quot;$&quot;#,##0.0"/>
    <numFmt numFmtId="213" formatCode="&quot;$&quot;#,##0"/>
    <numFmt numFmtId="214" formatCode="#,##0\ "/>
    <numFmt numFmtId="215" formatCode="#,##0.00\ &quot;Mills&quot;"/>
    <numFmt numFmtId="216" formatCode="#,##0.0\ &quot;Amw&quot;"/>
    <numFmt numFmtId="217" formatCode="#,##0.0000000000"/>
    <numFmt numFmtId="218" formatCode="##,##0.0"/>
    <numFmt numFmtId="219" formatCode="0.0000000"/>
    <numFmt numFmtId="220" formatCode="0.000000000"/>
    <numFmt numFmtId="221" formatCode="0.0000000000"/>
    <numFmt numFmtId="222" formatCode="0.00000000"/>
    <numFmt numFmtId="223" formatCode="0.0%"/>
    <numFmt numFmtId="224" formatCode="mmm"/>
    <numFmt numFmtId="225" formatCode="mmm;"/>
    <numFmt numFmtId="226" formatCode="##,##0"/>
    <numFmt numFmtId="227" formatCode="&quot;$&quot;#,##0.00"/>
    <numFmt numFmtId="228" formatCode="0000"/>
    <numFmt numFmtId="229" formatCode="yyyy"/>
    <numFmt numFmtId="230" formatCode="#,##0.0_);[Red]\(#,##0.0\)"/>
    <numFmt numFmtId="231" formatCode="#,##0.000_);[Red]\(#,##0.000\)"/>
    <numFmt numFmtId="232" formatCode="#,##0.0000_);[Red]\(#,##0.0000\)"/>
    <numFmt numFmtId="233" formatCode="#,##0.00000_);[Red]\(#,##0.00000\)"/>
    <numFmt numFmtId="234" formatCode="#,##0.000000_);[Red]\(#,##0.000000\)"/>
    <numFmt numFmtId="235" formatCode="#,##0.00000000000000_);[Red]\(#,##0.00000000000000\)"/>
    <numFmt numFmtId="236" formatCode="&quot;$&quot;#,##0.0_);[Red]\(&quot;$&quot;#,##0.0\)"/>
    <numFmt numFmtId="237" formatCode="#,##0.0000000000000_);[Red]\(#,##0.0000000000000\)"/>
    <numFmt numFmtId="238" formatCode="#,##0.000000000000_);[Red]\(#,##0.000000000000\)"/>
    <numFmt numFmtId="239" formatCode="#,##0.00000000000_);[Red]\(#,##0.00000000000\)"/>
    <numFmt numFmtId="240" formatCode="#,##0.0000000000_);[Red]\(#,##0.0000000000\)"/>
    <numFmt numFmtId="241" formatCode="#,##0.000000000_);[Red]\(#,##0.000000000\)"/>
    <numFmt numFmtId="242" formatCode="#,##0.00000000_);[Red]\(#,##0.00000000\)"/>
    <numFmt numFmtId="243" formatCode="#,##0.0000000_);[Red]\(#,##0.0000000\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0"/>
    </font>
    <font>
      <sz val="10"/>
      <name val="MS Sans Serif"/>
      <family val="0"/>
    </font>
    <font>
      <b/>
      <sz val="10"/>
      <color indexed="10"/>
      <name val="Geneva"/>
      <family val="0"/>
    </font>
    <font>
      <b/>
      <sz val="10"/>
      <color indexed="48"/>
      <name val="Geneva"/>
      <family val="0"/>
    </font>
    <font>
      <b/>
      <sz val="10"/>
      <name val="Arial"/>
      <family val="2"/>
    </font>
    <font>
      <b/>
      <sz val="12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0" fontId="0" fillId="0" borderId="0" xfId="15" applyAlignment="1">
      <alignment/>
    </xf>
    <xf numFmtId="38" fontId="0" fillId="0" borderId="0" xfId="15" applyNumberFormat="1" applyAlignment="1">
      <alignment/>
    </xf>
    <xf numFmtId="2" fontId="0" fillId="0" borderId="0" xfId="0" applyNumberFormat="1" applyAlignment="1">
      <alignment/>
    </xf>
    <xf numFmtId="40" fontId="7" fillId="0" borderId="0" xfId="15" applyFont="1" applyAlignment="1">
      <alignment/>
    </xf>
    <xf numFmtId="40" fontId="0" fillId="0" borderId="0" xfId="0" applyNumberFormat="1" applyAlignment="1">
      <alignment/>
    </xf>
    <xf numFmtId="6" fontId="0" fillId="0" borderId="0" xfId="32" applyNumberFormat="1" applyAlignment="1">
      <alignment/>
    </xf>
    <xf numFmtId="6" fontId="0" fillId="0" borderId="2" xfId="32" applyNumberFormat="1" applyBorder="1" applyAlignment="1">
      <alignment/>
    </xf>
    <xf numFmtId="6" fontId="0" fillId="0" borderId="3" xfId="32" applyNumberFormat="1" applyBorder="1" applyAlignment="1">
      <alignment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7" fontId="1" fillId="0" borderId="5" xfId="0" applyNumberFormat="1" applyFont="1" applyBorder="1" applyAlignment="1">
      <alignment horizontal="center"/>
    </xf>
    <xf numFmtId="6" fontId="0" fillId="0" borderId="6" xfId="32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4" xfId="0" applyNumberFormat="1" applyFill="1" applyBorder="1" applyAlignment="1">
      <alignment/>
    </xf>
    <xf numFmtId="38" fontId="0" fillId="0" borderId="0" xfId="15" applyNumberFormat="1" applyFill="1" applyAlignment="1">
      <alignment/>
    </xf>
    <xf numFmtId="2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15" applyFill="1" applyAlignment="1">
      <alignment/>
    </xf>
    <xf numFmtId="17" fontId="1" fillId="2" borderId="0" xfId="0" applyNumberFormat="1" applyFont="1" applyFill="1" applyAlignment="1">
      <alignment horizontal="center"/>
    </xf>
    <xf numFmtId="17" fontId="1" fillId="2" borderId="0" xfId="0" applyNumberFormat="1" applyFont="1" applyFill="1" applyAlignment="1">
      <alignment horizontal="left" indent="2"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4" xfId="0" applyNumberFormat="1" applyFill="1" applyBorder="1" applyAlignment="1">
      <alignment/>
    </xf>
    <xf numFmtId="6" fontId="0" fillId="0" borderId="0" xfId="32" applyNumberFormat="1" applyBorder="1" applyAlignment="1">
      <alignment/>
    </xf>
    <xf numFmtId="6" fontId="0" fillId="0" borderId="7" xfId="32" applyNumberFormat="1" applyBorder="1" applyAlignment="1">
      <alignment/>
    </xf>
    <xf numFmtId="21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6" fontId="0" fillId="0" borderId="9" xfId="32" applyNumberFormat="1" applyBorder="1" applyAlignment="1">
      <alignment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6" fontId="1" fillId="2" borderId="12" xfId="0" applyNumberFormat="1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</cellXfs>
  <cellStyles count="29">
    <cellStyle name="Normal" xfId="0"/>
    <cellStyle name="Comma" xfId="15"/>
    <cellStyle name="Comma [0]" xfId="16"/>
    <cellStyle name="Comma [0]_DTS_ADJUSTED_H" xfId="17"/>
    <cellStyle name="Comma [0]_ICPFEB97A" xfId="18"/>
    <cellStyle name="Comma [0]_Sheet1" xfId="19"/>
    <cellStyle name="Comma_DT_A_AMW93" xfId="20"/>
    <cellStyle name="Comma_DT_A_CUROPS" xfId="21"/>
    <cellStyle name="Comma_DT_A_DOL93" xfId="22"/>
    <cellStyle name="Comma_DTS_ADJUSTED" xfId="23"/>
    <cellStyle name="Comma_DTS_ADJUSTED_H" xfId="24"/>
    <cellStyle name="Comma_DTS_ALLOWED" xfId="25"/>
    <cellStyle name="Comma_DTS_PROJECTED" xfId="26"/>
    <cellStyle name="Comma_ICPFEB97A" xfId="27"/>
    <cellStyle name="Comma_REP_PRAM_SecRate" xfId="28"/>
    <cellStyle name="Comma_REP_PRAM_YRTDT993" xfId="29"/>
    <cellStyle name="Comma_REPMacro2" xfId="30"/>
    <cellStyle name="Comma_Sheet1" xfId="31"/>
    <cellStyle name="Currency" xfId="32"/>
    <cellStyle name="Currency [0]" xfId="33"/>
    <cellStyle name="Currency [0]_DTS_ADJUSTED_H" xfId="34"/>
    <cellStyle name="Currency [0]_ICPFEB97A" xfId="35"/>
    <cellStyle name="Currency [0]_Sheet1" xfId="36"/>
    <cellStyle name="Currency_DTS_ADJUSTED_H" xfId="37"/>
    <cellStyle name="Currency_ICPFEB97A" xfId="38"/>
    <cellStyle name="Currency_Sheet1" xfId="39"/>
    <cellStyle name="Normal_Exh C Hydro Load Adj" xfId="40"/>
    <cellStyle name="Normal_ICPFEB97A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REPWBook_P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TREA\Rate%20Strategy%202001\Emergency%20Rate%20Relief\Sched%2048%20vs%2049%20-%20Outl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2001\MonthlyV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 48 vs 49"/>
      <sheetName val="Pricing"/>
      <sheetName val="Index Loa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$Comp. to Orig."/>
      <sheetName val="MWHComp. to Orig."/>
      <sheetName val="$Comp. to Previous"/>
      <sheetName val="MWHComp. to Previous"/>
      <sheetName val="$Comp. to Previous Summary"/>
      <sheetName val="MWHComp. to Previous Summary"/>
      <sheetName val="Use Tabs b4 this 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5" zoomScaleNormal="85" workbookViewId="0" topLeftCell="A1">
      <pane xSplit="3" ySplit="4" topLeftCell="D5" activePane="bottomRight" state="frozen"/>
      <selection pane="topLeft" activeCell="A1" sqref="A1"/>
      <selection pane="topRight" activeCell="AP1" sqref="AP1"/>
      <selection pane="bottomLeft" activeCell="A3" sqref="A3"/>
      <selection pane="bottomRight" activeCell="C2" sqref="C2"/>
    </sheetView>
  </sheetViews>
  <sheetFormatPr defaultColWidth="9.00390625" defaultRowHeight="12.75"/>
  <cols>
    <col min="1" max="1" width="5.25390625" style="0" customWidth="1"/>
    <col min="2" max="2" width="5.375" style="0" customWidth="1"/>
    <col min="3" max="3" width="38.00390625" style="0" customWidth="1"/>
    <col min="4" max="4" width="10.625" style="0" bestFit="1" customWidth="1"/>
    <col min="5" max="12" width="9.875" style="0" bestFit="1" customWidth="1"/>
    <col min="13" max="13" width="10.625" style="0" customWidth="1"/>
    <col min="14" max="14" width="9.875" style="0" bestFit="1" customWidth="1"/>
    <col min="15" max="15" width="11.625" style="0" customWidth="1"/>
    <col min="16" max="16" width="13.875" style="0" customWidth="1"/>
  </cols>
  <sheetData>
    <row r="1" spans="2:16" ht="18">
      <c r="B1" s="59" t="s">
        <v>26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6" ht="18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3" ht="15.75">
      <c r="B3" s="61" t="s">
        <v>27</v>
      </c>
      <c r="I3" s="29"/>
      <c r="L3" s="30" t="s">
        <v>12</v>
      </c>
      <c r="M3" t="s">
        <v>13</v>
      </c>
    </row>
    <row r="4" spans="4:16" s="1" customFormat="1" ht="12.75">
      <c r="D4" s="2">
        <v>35430</v>
      </c>
      <c r="E4" s="2">
        <v>35461</v>
      </c>
      <c r="F4" s="2">
        <v>35489</v>
      </c>
      <c r="G4" s="2">
        <v>35520</v>
      </c>
      <c r="H4" s="2">
        <v>35550</v>
      </c>
      <c r="I4" s="2">
        <v>35581</v>
      </c>
      <c r="J4" s="2">
        <v>35611</v>
      </c>
      <c r="K4" s="2">
        <v>35642</v>
      </c>
      <c r="L4" s="31">
        <v>35673</v>
      </c>
      <c r="M4" s="2">
        <v>35703</v>
      </c>
      <c r="N4" s="2">
        <v>35734</v>
      </c>
      <c r="O4" s="2">
        <v>35764</v>
      </c>
      <c r="P4" s="62" t="s">
        <v>0</v>
      </c>
    </row>
    <row r="5" spans="4:15" s="1" customFormat="1" ht="12.75">
      <c r="D5" s="2"/>
      <c r="E5" s="2"/>
      <c r="F5" s="2"/>
      <c r="G5" s="2"/>
      <c r="H5" s="2"/>
      <c r="I5" s="2"/>
      <c r="J5" s="2"/>
      <c r="K5" s="2"/>
      <c r="L5" s="2"/>
      <c r="M5" s="43" t="s">
        <v>24</v>
      </c>
      <c r="N5" s="44" t="s">
        <v>23</v>
      </c>
      <c r="O5" s="43"/>
    </row>
    <row r="6" spans="1:16" ht="12.75">
      <c r="A6" s="20">
        <v>4</v>
      </c>
      <c r="B6" s="23" t="s">
        <v>14</v>
      </c>
      <c r="C6" s="24"/>
      <c r="D6" s="4">
        <v>2360.701</v>
      </c>
      <c r="E6" s="4">
        <v>2873.244</v>
      </c>
      <c r="F6" s="4">
        <v>2383.531</v>
      </c>
      <c r="G6" s="4">
        <v>1769.31859</v>
      </c>
      <c r="H6" s="4">
        <v>2492.116</v>
      </c>
      <c r="I6" s="4">
        <v>2520.01</v>
      </c>
      <c r="J6" s="4">
        <v>2875.05</v>
      </c>
      <c r="K6" s="4">
        <v>3289.517</v>
      </c>
      <c r="L6" s="33">
        <v>2870.379</v>
      </c>
      <c r="M6" s="45"/>
      <c r="N6" s="45"/>
      <c r="O6" s="45"/>
      <c r="P6" s="4"/>
    </row>
    <row r="7" spans="1:16" ht="12.75">
      <c r="A7" s="20">
        <v>5</v>
      </c>
      <c r="B7" s="23" t="s">
        <v>15</v>
      </c>
      <c r="C7" s="24"/>
      <c r="D7" s="4">
        <v>33281.36</v>
      </c>
      <c r="E7" s="4">
        <v>32856.976</v>
      </c>
      <c r="F7" s="4">
        <v>28627.958</v>
      </c>
      <c r="G7" s="4">
        <v>22322.36422</v>
      </c>
      <c r="H7" s="4">
        <v>22245.938</v>
      </c>
      <c r="I7" s="4">
        <v>11784.521</v>
      </c>
      <c r="J7" s="4">
        <v>21156.833</v>
      </c>
      <c r="K7" s="4">
        <v>17058.299</v>
      </c>
      <c r="L7" s="33">
        <v>20699.051</v>
      </c>
      <c r="M7" s="45"/>
      <c r="N7" s="45"/>
      <c r="O7" s="45"/>
      <c r="P7" s="4"/>
    </row>
    <row r="8" spans="1:16" ht="12.75">
      <c r="A8" s="20">
        <v>6</v>
      </c>
      <c r="B8" s="23" t="s">
        <v>16</v>
      </c>
      <c r="C8" s="24"/>
      <c r="D8" s="4">
        <v>35642.022419999994</v>
      </c>
      <c r="E8" s="4">
        <v>35730.870839999996</v>
      </c>
      <c r="F8" s="4">
        <v>31011.502000000004</v>
      </c>
      <c r="G8" s="4">
        <v>24091.68281</v>
      </c>
      <c r="H8" s="4">
        <v>24737.433100000002</v>
      </c>
      <c r="I8" s="4">
        <v>14304.492</v>
      </c>
      <c r="J8" s="4">
        <f>+J7+J6</f>
        <v>24031.882999999998</v>
      </c>
      <c r="K8" s="4">
        <f>+K7+K6</f>
        <v>20347.816</v>
      </c>
      <c r="L8" s="33">
        <f>+L7+L6</f>
        <v>23569.43</v>
      </c>
      <c r="M8" s="45">
        <v>9013</v>
      </c>
      <c r="N8" s="45">
        <v>17316.433070538103</v>
      </c>
      <c r="O8" s="45">
        <v>28521.61901075823</v>
      </c>
      <c r="P8" s="4">
        <f>SUM(D8:O8)</f>
        <v>288318.1842512963</v>
      </c>
    </row>
    <row r="9" spans="1:16" ht="12.75">
      <c r="A9" s="20">
        <v>7</v>
      </c>
      <c r="B9" s="24"/>
      <c r="C9" s="24"/>
      <c r="D9" s="4"/>
      <c r="E9" s="4"/>
      <c r="F9" s="4"/>
      <c r="G9" s="4"/>
      <c r="H9" s="4"/>
      <c r="I9" s="4"/>
      <c r="J9" s="4"/>
      <c r="K9" s="4"/>
      <c r="L9" s="33"/>
      <c r="M9" s="45"/>
      <c r="N9" s="45"/>
      <c r="O9" s="45"/>
      <c r="P9" s="4"/>
    </row>
    <row r="10" spans="1:16" ht="12.75">
      <c r="A10" s="20">
        <v>8</v>
      </c>
      <c r="B10" s="23" t="s">
        <v>22</v>
      </c>
      <c r="C10" s="24"/>
      <c r="D10" s="4">
        <v>121914.383</v>
      </c>
      <c r="E10" s="4">
        <v>118596.618</v>
      </c>
      <c r="F10" s="4">
        <v>138260.685</v>
      </c>
      <c r="G10" s="4">
        <v>242331.201</v>
      </c>
      <c r="H10" s="4">
        <v>164828.346</v>
      </c>
      <c r="I10" s="4">
        <v>115174.695</v>
      </c>
      <c r="J10" s="4">
        <f>95502.356-J18</f>
        <v>95208.506</v>
      </c>
      <c r="K10" s="4">
        <f>65507.216-K18</f>
        <v>65213.316</v>
      </c>
      <c r="L10" s="33">
        <f>88296.829-L18</f>
        <v>88002.929</v>
      </c>
      <c r="M10" s="45">
        <f>62294-M12-M18-M19-M14</f>
        <v>58500.341499999995</v>
      </c>
      <c r="N10" s="45">
        <v>55002.238</v>
      </c>
      <c r="O10" s="45">
        <v>78428.856</v>
      </c>
      <c r="P10" s="4">
        <f>SUM(D10:O10)</f>
        <v>1341462.1145000001</v>
      </c>
    </row>
    <row r="11" spans="1:16" ht="12.75">
      <c r="A11" s="20">
        <v>9</v>
      </c>
      <c r="B11" s="23" t="s">
        <v>1</v>
      </c>
      <c r="C11" s="24"/>
      <c r="D11" s="4">
        <v>-101455.898</v>
      </c>
      <c r="E11" s="4">
        <v>-136700.307</v>
      </c>
      <c r="F11" s="4">
        <v>-99010.073</v>
      </c>
      <c r="G11" s="4">
        <v>-162081.398</v>
      </c>
      <c r="H11" s="4">
        <v>-112214.953</v>
      </c>
      <c r="I11" s="4">
        <v>-103377.967</v>
      </c>
      <c r="J11" s="4">
        <v>-91294.463</v>
      </c>
      <c r="K11" s="4">
        <v>-81918.541</v>
      </c>
      <c r="L11" s="33">
        <v>-64467.149</v>
      </c>
      <c r="M11" s="45">
        <v>-22817</v>
      </c>
      <c r="N11" s="45">
        <v>-9992.779424999995</v>
      </c>
      <c r="O11" s="45">
        <v>-20326.73652499998</v>
      </c>
      <c r="P11" s="4">
        <f>SUM(D11:O11)</f>
        <v>-1005657.26495</v>
      </c>
    </row>
    <row r="12" spans="1:16" ht="12.75">
      <c r="A12" s="20">
        <v>10</v>
      </c>
      <c r="B12" s="24" t="s">
        <v>2</v>
      </c>
      <c r="C12" s="24"/>
      <c r="D12" s="6">
        <v>2719.861</v>
      </c>
      <c r="E12" s="6">
        <v>2812.98</v>
      </c>
      <c r="F12" s="6">
        <v>2831.772</v>
      </c>
      <c r="G12" s="6">
        <v>2718.24594</v>
      </c>
      <c r="H12" s="6">
        <v>2690.529</v>
      </c>
      <c r="I12" s="6">
        <v>2693.647</v>
      </c>
      <c r="J12" s="6">
        <v>3594.175</v>
      </c>
      <c r="K12" s="6">
        <v>3072.06</v>
      </c>
      <c r="L12" s="34">
        <v>3540</v>
      </c>
      <c r="M12" s="46">
        <f>3007.7-121.9</f>
        <v>2885.7999999999997</v>
      </c>
      <c r="N12" s="46">
        <v>3553.036605</v>
      </c>
      <c r="O12" s="46">
        <v>3553.036605</v>
      </c>
      <c r="P12" s="4">
        <f>SUM(D12:O12)</f>
        <v>36665.14315</v>
      </c>
    </row>
    <row r="13" spans="1:16" ht="12.75">
      <c r="A13" s="20">
        <v>11</v>
      </c>
      <c r="B13" s="24"/>
      <c r="C13" s="24"/>
      <c r="D13" s="6"/>
      <c r="E13" s="6"/>
      <c r="F13" s="6"/>
      <c r="G13" s="6"/>
      <c r="H13" s="6"/>
      <c r="I13" s="6"/>
      <c r="J13" s="6"/>
      <c r="K13" s="6"/>
      <c r="L13" s="34"/>
      <c r="M13" s="46"/>
      <c r="N13" s="46"/>
      <c r="O13" s="46"/>
      <c r="P13" s="6"/>
    </row>
    <row r="14" spans="1:16" s="3" customFormat="1" ht="12.75">
      <c r="A14" s="20">
        <v>12</v>
      </c>
      <c r="B14" s="27" t="s">
        <v>17</v>
      </c>
      <c r="C14" s="27"/>
      <c r="D14" s="6">
        <v>7.446</v>
      </c>
      <c r="E14" s="6">
        <v>19.846</v>
      </c>
      <c r="F14" s="6">
        <v>25.299</v>
      </c>
      <c r="G14" s="6">
        <v>21.083</v>
      </c>
      <c r="H14" s="6">
        <v>25.025</v>
      </c>
      <c r="I14" s="6">
        <v>10.035</v>
      </c>
      <c r="J14" s="6">
        <v>43.942</v>
      </c>
      <c r="K14" s="6">
        <v>21.847</v>
      </c>
      <c r="L14" s="34">
        <v>1.361</v>
      </c>
      <c r="M14" s="46">
        <v>25</v>
      </c>
      <c r="N14" s="46">
        <v>25</v>
      </c>
      <c r="O14" s="46">
        <v>25</v>
      </c>
      <c r="P14" s="4">
        <f>SUM(D14:O14)</f>
        <v>250.88400000000001</v>
      </c>
    </row>
    <row r="15" spans="1:16" s="3" customFormat="1" ht="12.75">
      <c r="A15" s="20">
        <v>13</v>
      </c>
      <c r="B15" s="26"/>
      <c r="C15" s="27"/>
      <c r="D15" s="6"/>
      <c r="E15" s="6"/>
      <c r="F15" s="6"/>
      <c r="G15" s="6"/>
      <c r="H15" s="6"/>
      <c r="I15" s="6"/>
      <c r="J15" s="6"/>
      <c r="K15" s="6"/>
      <c r="L15" s="34"/>
      <c r="M15" s="46"/>
      <c r="N15" s="46"/>
      <c r="O15" s="46"/>
      <c r="P15" s="6"/>
    </row>
    <row r="16" spans="1:16" ht="12.75">
      <c r="A16" s="20">
        <v>14</v>
      </c>
      <c r="B16" s="25" t="s">
        <v>20</v>
      </c>
      <c r="C16" s="24"/>
      <c r="D16" s="7">
        <f>+SUM(D8:D14)</f>
        <v>58827.814419999995</v>
      </c>
      <c r="E16" s="7">
        <f aca="true" t="shared" si="0" ref="E16:O16">+SUM(E8:E14)</f>
        <v>20460.007840000006</v>
      </c>
      <c r="F16" s="7">
        <f t="shared" si="0"/>
        <v>73119.185</v>
      </c>
      <c r="G16" s="7">
        <f t="shared" si="0"/>
        <v>107080.81475000003</v>
      </c>
      <c r="H16" s="7">
        <f t="shared" si="0"/>
        <v>80066.38009999998</v>
      </c>
      <c r="I16" s="7">
        <f t="shared" si="0"/>
        <v>28804.902000000002</v>
      </c>
      <c r="J16" s="7">
        <f t="shared" si="0"/>
        <v>31584.04299999999</v>
      </c>
      <c r="K16" s="7">
        <f t="shared" si="0"/>
        <v>6736.498</v>
      </c>
      <c r="L16" s="35">
        <f t="shared" si="0"/>
        <v>50646.570999999996</v>
      </c>
      <c r="M16" s="47">
        <f t="shared" si="0"/>
        <v>47607.1415</v>
      </c>
      <c r="N16" s="47">
        <f t="shared" si="0"/>
        <v>65903.9282505381</v>
      </c>
      <c r="O16" s="47">
        <f t="shared" si="0"/>
        <v>90201.77509075825</v>
      </c>
      <c r="P16" s="7">
        <f>SUM(D16:O16)</f>
        <v>661039.0609512962</v>
      </c>
    </row>
    <row r="17" spans="1:16" ht="12.75">
      <c r="A17" s="20">
        <v>15</v>
      </c>
      <c r="B17" s="25"/>
      <c r="C17" s="24"/>
      <c r="D17" s="6"/>
      <c r="E17" s="6"/>
      <c r="F17" s="6"/>
      <c r="G17" s="6"/>
      <c r="H17" s="6"/>
      <c r="I17" s="6"/>
      <c r="J17" s="6"/>
      <c r="K17" s="6"/>
      <c r="L17" s="34"/>
      <c r="M17" s="46"/>
      <c r="N17" s="46"/>
      <c r="O17" s="46"/>
      <c r="P17" s="6"/>
    </row>
    <row r="18" spans="1:16" ht="12.75">
      <c r="A18" s="20">
        <v>16</v>
      </c>
      <c r="B18" s="24" t="s">
        <v>3</v>
      </c>
      <c r="C18" s="24"/>
      <c r="D18" s="6">
        <v>293.885</v>
      </c>
      <c r="E18" s="6">
        <v>293.885</v>
      </c>
      <c r="F18" s="6">
        <v>293.885</v>
      </c>
      <c r="G18" s="6">
        <v>293.885</v>
      </c>
      <c r="H18" s="6">
        <v>293.885</v>
      </c>
      <c r="I18" s="6">
        <v>293.885</v>
      </c>
      <c r="J18" s="6">
        <v>293.85</v>
      </c>
      <c r="K18" s="6">
        <v>293.9</v>
      </c>
      <c r="L18" s="34">
        <v>293.9</v>
      </c>
      <c r="M18" s="46">
        <v>293.9</v>
      </c>
      <c r="N18" s="46">
        <v>293.9</v>
      </c>
      <c r="O18" s="46">
        <v>293.9</v>
      </c>
      <c r="P18" s="6">
        <v>3526.77</v>
      </c>
    </row>
    <row r="19" spans="1:16" ht="12" customHeight="1">
      <c r="A19" s="20">
        <v>17</v>
      </c>
      <c r="B19" s="24" t="s">
        <v>21</v>
      </c>
      <c r="C19" s="24"/>
      <c r="D19" s="6">
        <v>361.782</v>
      </c>
      <c r="E19" s="6">
        <v>811.185</v>
      </c>
      <c r="F19" s="6">
        <v>972.649</v>
      </c>
      <c r="G19" s="6">
        <v>830.182</v>
      </c>
      <c r="H19" s="6">
        <v>1253.7279999999998</v>
      </c>
      <c r="I19" s="6">
        <v>1818.285</v>
      </c>
      <c r="J19" s="6">
        <f>1054.582-J14</f>
        <v>1010.6400000000001</v>
      </c>
      <c r="K19" s="6">
        <f>166.029-K14</f>
        <v>144.182</v>
      </c>
      <c r="L19" s="34">
        <f>414.425-L14</f>
        <v>413.064</v>
      </c>
      <c r="M19" s="46">
        <v>588.9585000000001</v>
      </c>
      <c r="N19" s="46">
        <v>588.958466666667</v>
      </c>
      <c r="O19" s="46">
        <v>588.958466666667</v>
      </c>
      <c r="P19" s="6">
        <f>SUM(D19:O19)</f>
        <v>9382.572433333335</v>
      </c>
    </row>
    <row r="20" spans="1:16" ht="12" customHeight="1">
      <c r="A20" s="20">
        <v>18</v>
      </c>
      <c r="B20" s="25"/>
      <c r="C20" s="24"/>
      <c r="D20" s="4"/>
      <c r="E20" s="4"/>
      <c r="F20" s="4"/>
      <c r="G20" s="4"/>
      <c r="H20" s="4"/>
      <c r="I20" s="4"/>
      <c r="J20" s="4"/>
      <c r="K20" s="4"/>
      <c r="L20" s="33"/>
      <c r="M20" s="45"/>
      <c r="N20" s="45"/>
      <c r="O20" s="45"/>
      <c r="P20" s="6"/>
    </row>
    <row r="21" spans="1:16" ht="12" customHeight="1">
      <c r="A21" s="20">
        <v>19</v>
      </c>
      <c r="B21" s="25" t="s">
        <v>4</v>
      </c>
      <c r="C21" s="24"/>
      <c r="D21" s="7">
        <f>+SUM(D16:D20)</f>
        <v>59483.48142</v>
      </c>
      <c r="E21" s="7">
        <f aca="true" t="shared" si="1" ref="E21:P21">+SUM(E16:E20)</f>
        <v>21565.077840000005</v>
      </c>
      <c r="F21" s="7">
        <f t="shared" si="1"/>
        <v>74385.719</v>
      </c>
      <c r="G21" s="7">
        <f t="shared" si="1"/>
        <v>108204.88175000003</v>
      </c>
      <c r="H21" s="7">
        <f t="shared" si="1"/>
        <v>81613.99309999998</v>
      </c>
      <c r="I21" s="7">
        <f t="shared" si="1"/>
        <v>30917.072</v>
      </c>
      <c r="J21" s="7">
        <f t="shared" si="1"/>
        <v>32888.53299999999</v>
      </c>
      <c r="K21" s="7">
        <f t="shared" si="1"/>
        <v>7174.579999999999</v>
      </c>
      <c r="L21" s="35">
        <f t="shared" si="1"/>
        <v>51353.534999999996</v>
      </c>
      <c r="M21" s="47">
        <f t="shared" si="1"/>
        <v>48490</v>
      </c>
      <c r="N21" s="47">
        <f t="shared" si="1"/>
        <v>66786.78671720476</v>
      </c>
      <c r="O21" s="47">
        <f t="shared" si="1"/>
        <v>91084.63355742491</v>
      </c>
      <c r="P21" s="7">
        <f t="shared" si="1"/>
        <v>673948.4033846296</v>
      </c>
    </row>
    <row r="22" spans="1:16" ht="12" customHeight="1">
      <c r="A22" s="20">
        <v>20</v>
      </c>
      <c r="B22" s="5"/>
      <c r="D22" s="3"/>
      <c r="E22" s="3"/>
      <c r="F22" s="3"/>
      <c r="G22" s="3"/>
      <c r="H22" s="3"/>
      <c r="I22" s="3"/>
      <c r="J22" s="3"/>
      <c r="K22" s="3"/>
      <c r="L22" s="36"/>
      <c r="M22" s="48"/>
      <c r="N22" s="48"/>
      <c r="O22" s="48"/>
      <c r="P22" s="6"/>
    </row>
    <row r="23" spans="1:15" ht="12.75">
      <c r="A23" s="20">
        <v>21</v>
      </c>
      <c r="B23" s="9"/>
      <c r="C23" s="10"/>
      <c r="L23" s="37"/>
      <c r="M23" s="49"/>
      <c r="N23" s="49"/>
      <c r="O23" s="49"/>
    </row>
    <row r="24" spans="1:16" ht="12.75">
      <c r="A24" s="20">
        <v>22</v>
      </c>
      <c r="B24" s="22" t="str">
        <f>"Remove line #"&amp;A19&amp;"  Other 557"</f>
        <v>Remove line #17  Other 557</v>
      </c>
      <c r="C24" s="10"/>
      <c r="D24" s="4">
        <f>-D19</f>
        <v>-361.782</v>
      </c>
      <c r="E24" s="4">
        <f aca="true" t="shared" si="2" ref="E24:O24">-E19</f>
        <v>-811.185</v>
      </c>
      <c r="F24" s="4">
        <f t="shared" si="2"/>
        <v>-972.649</v>
      </c>
      <c r="G24" s="4">
        <f t="shared" si="2"/>
        <v>-830.182</v>
      </c>
      <c r="H24" s="4">
        <f t="shared" si="2"/>
        <v>-1253.7279999999998</v>
      </c>
      <c r="I24" s="4">
        <f t="shared" si="2"/>
        <v>-1818.285</v>
      </c>
      <c r="J24" s="4">
        <f t="shared" si="2"/>
        <v>-1010.6400000000001</v>
      </c>
      <c r="K24" s="4">
        <f t="shared" si="2"/>
        <v>-144.182</v>
      </c>
      <c r="L24" s="33">
        <f t="shared" si="2"/>
        <v>-413.064</v>
      </c>
      <c r="M24" s="45">
        <f t="shared" si="2"/>
        <v>-588.9585000000001</v>
      </c>
      <c r="N24" s="45">
        <f t="shared" si="2"/>
        <v>-588.958466666667</v>
      </c>
      <c r="O24" s="45">
        <f t="shared" si="2"/>
        <v>-588.958466666667</v>
      </c>
      <c r="P24" s="6">
        <f>SUM(D24:O24)</f>
        <v>-9382.572433333335</v>
      </c>
    </row>
    <row r="25" spans="1:16" ht="12.75">
      <c r="A25" s="20">
        <v>23</v>
      </c>
      <c r="B25" s="8" t="s">
        <v>5</v>
      </c>
      <c r="D25" s="6">
        <v>-5833.726000000002</v>
      </c>
      <c r="E25" s="6">
        <v>-1198.0319999999992</v>
      </c>
      <c r="F25" s="6">
        <v>-567.9359999999997</v>
      </c>
      <c r="G25" s="6">
        <v>422.4920000000002</v>
      </c>
      <c r="H25" s="6">
        <v>1288.069</v>
      </c>
      <c r="I25" s="6">
        <v>5347.272999999999</v>
      </c>
      <c r="J25" s="6">
        <v>5487.169000000001</v>
      </c>
      <c r="K25" s="6">
        <v>5593.377</v>
      </c>
      <c r="L25" s="34">
        <v>8175</v>
      </c>
      <c r="M25" s="46">
        <v>5426</v>
      </c>
      <c r="N25" s="46">
        <v>5112</v>
      </c>
      <c r="O25" s="46">
        <v>4831.35</v>
      </c>
      <c r="P25" s="6">
        <f>SUM(D25:O25)</f>
        <v>34083.036</v>
      </c>
    </row>
    <row r="26" spans="1:16" ht="12.75">
      <c r="A26" s="20">
        <v>24</v>
      </c>
      <c r="B26" s="8" t="s">
        <v>8</v>
      </c>
      <c r="C26" s="8"/>
      <c r="D26" s="6">
        <v>-57087.50776000001</v>
      </c>
      <c r="E26" s="6">
        <v>-29144.568600000002</v>
      </c>
      <c r="F26" s="6">
        <v>7663.95925</v>
      </c>
      <c r="G26" s="6">
        <v>-26615.09507</v>
      </c>
      <c r="H26" s="6">
        <v>-25695.917869999997</v>
      </c>
      <c r="I26" s="6">
        <v>-21454.7495</v>
      </c>
      <c r="J26" s="6">
        <v>-5386.079970000001</v>
      </c>
      <c r="K26" s="6">
        <v>-1161.8619099999999</v>
      </c>
      <c r="L26" s="34">
        <v>-145.55136</v>
      </c>
      <c r="M26" s="46">
        <v>0</v>
      </c>
      <c r="N26" s="46">
        <v>0</v>
      </c>
      <c r="O26" s="46">
        <v>0</v>
      </c>
      <c r="P26" s="6">
        <f>SUM(D26:O26)</f>
        <v>-159027.37279000002</v>
      </c>
    </row>
    <row r="27" spans="1:15" ht="12.75">
      <c r="A27" s="20">
        <v>25</v>
      </c>
      <c r="B27" s="9"/>
      <c r="C27" s="8"/>
      <c r="D27" s="6"/>
      <c r="L27" s="37"/>
      <c r="M27" s="49"/>
      <c r="N27" s="49"/>
      <c r="O27" s="49"/>
    </row>
    <row r="28" spans="1:16" ht="13.5" thickBot="1">
      <c r="A28" s="20">
        <v>26</v>
      </c>
      <c r="B28" s="25" t="s">
        <v>18</v>
      </c>
      <c r="C28" s="8"/>
      <c r="D28" s="21">
        <f aca="true" t="shared" si="3" ref="D28:P28">+D21+D25+D26+D24</f>
        <v>-3799.534340000014</v>
      </c>
      <c r="E28" s="21">
        <f t="shared" si="3"/>
        <v>-9588.707759999996</v>
      </c>
      <c r="F28" s="21">
        <f t="shared" si="3"/>
        <v>80509.09324999999</v>
      </c>
      <c r="G28" s="21">
        <f t="shared" si="3"/>
        <v>81182.09668000003</v>
      </c>
      <c r="H28" s="21">
        <f t="shared" si="3"/>
        <v>55952.41622999998</v>
      </c>
      <c r="I28" s="21">
        <f t="shared" si="3"/>
        <v>12991.3105</v>
      </c>
      <c r="J28" s="21">
        <f t="shared" si="3"/>
        <v>31978.982029999992</v>
      </c>
      <c r="K28" s="21">
        <f t="shared" si="3"/>
        <v>11461.913089999998</v>
      </c>
      <c r="L28" s="38">
        <f t="shared" si="3"/>
        <v>58969.91964</v>
      </c>
      <c r="M28" s="50">
        <f t="shared" si="3"/>
        <v>53327.0415</v>
      </c>
      <c r="N28" s="50">
        <f t="shared" si="3"/>
        <v>71309.82825053809</v>
      </c>
      <c r="O28" s="50">
        <f t="shared" si="3"/>
        <v>95327.02509075825</v>
      </c>
      <c r="P28" s="21">
        <f t="shared" si="3"/>
        <v>539621.4941612962</v>
      </c>
    </row>
    <row r="29" spans="1:16" ht="13.5" thickTop="1">
      <c r="A29" s="20">
        <v>27</v>
      </c>
      <c r="B29" s="8" t="s">
        <v>9</v>
      </c>
      <c r="C29" s="8"/>
      <c r="D29" s="13">
        <v>2182909.542</v>
      </c>
      <c r="E29" s="13">
        <v>1926559.7</v>
      </c>
      <c r="F29" s="13">
        <v>1942061</v>
      </c>
      <c r="G29" s="13">
        <v>1733609.157</v>
      </c>
      <c r="H29" s="13">
        <v>1638249</v>
      </c>
      <c r="I29" s="13">
        <v>1542373.557</v>
      </c>
      <c r="J29" s="13">
        <v>1473578</v>
      </c>
      <c r="K29" s="13">
        <v>1535296</v>
      </c>
      <c r="L29" s="39">
        <v>1479277</v>
      </c>
      <c r="M29" s="13">
        <v>1754305</v>
      </c>
      <c r="N29" s="13">
        <v>1814976</v>
      </c>
      <c r="O29" s="13">
        <v>2112439.2</v>
      </c>
      <c r="P29" s="13">
        <f>SUM(D29:O29)</f>
        <v>21135633.156</v>
      </c>
    </row>
    <row r="30" spans="1:16" ht="12.75">
      <c r="A30" s="20">
        <v>28</v>
      </c>
      <c r="B30" s="8" t="s">
        <v>10</v>
      </c>
      <c r="C30" s="8"/>
      <c r="D30" s="13">
        <v>2030804.4</v>
      </c>
      <c r="E30" s="13">
        <v>1790730.4</v>
      </c>
      <c r="F30" s="13">
        <v>1837009.6</v>
      </c>
      <c r="G30" s="13">
        <v>1711918.9</v>
      </c>
      <c r="H30" s="13">
        <v>1535090.6</v>
      </c>
      <c r="I30" s="13">
        <v>1429219.7</v>
      </c>
      <c r="J30" s="13">
        <v>1468044.952</v>
      </c>
      <c r="K30" s="13">
        <v>1410294.508</v>
      </c>
      <c r="L30" s="39">
        <v>1449505.543</v>
      </c>
      <c r="M30" s="13">
        <f>+M29*0.935</f>
        <v>1640275.175</v>
      </c>
      <c r="N30" s="13">
        <f>+N29*0.935</f>
        <v>1697002.56</v>
      </c>
      <c r="O30" s="13">
        <f>+O29*0.935</f>
        <v>1975130.6520000002</v>
      </c>
      <c r="P30" s="13">
        <f>SUM(D30:O30)</f>
        <v>19975026.99</v>
      </c>
    </row>
    <row r="31" spans="1:16" ht="12.75">
      <c r="A31" s="20">
        <v>29</v>
      </c>
      <c r="B31" s="8" t="s">
        <v>7</v>
      </c>
      <c r="C31" s="10"/>
      <c r="D31" s="14">
        <f>+D28*1000/D30</f>
        <v>-1.870950417479898</v>
      </c>
      <c r="E31" s="14">
        <f aca="true" t="shared" si="4" ref="E31:P31">+E28*1000/E30</f>
        <v>-5.354635047241056</v>
      </c>
      <c r="F31" s="14">
        <f t="shared" si="4"/>
        <v>43.82616903580688</v>
      </c>
      <c r="G31" s="14">
        <f t="shared" si="4"/>
        <v>47.42169543195069</v>
      </c>
      <c r="H31" s="14">
        <f t="shared" si="4"/>
        <v>36.44893417365723</v>
      </c>
      <c r="I31" s="14">
        <f t="shared" si="4"/>
        <v>9.089792493064573</v>
      </c>
      <c r="J31" s="14">
        <f t="shared" si="4"/>
        <v>21.783380669940133</v>
      </c>
      <c r="K31" s="14">
        <f t="shared" si="4"/>
        <v>8.127318815312297</v>
      </c>
      <c r="L31" s="40">
        <f t="shared" si="4"/>
        <v>40.68278312199597</v>
      </c>
      <c r="M31" s="14">
        <f t="shared" si="4"/>
        <v>32.5110337050611</v>
      </c>
      <c r="N31" s="14">
        <f t="shared" si="4"/>
        <v>42.02104930857505</v>
      </c>
      <c r="O31" s="14">
        <f t="shared" si="4"/>
        <v>48.263655365902466</v>
      </c>
      <c r="P31" s="14">
        <f t="shared" si="4"/>
        <v>27.014806760033128</v>
      </c>
    </row>
    <row r="32" spans="1:16" ht="12.75">
      <c r="A32" s="20">
        <v>30</v>
      </c>
      <c r="B32" s="9"/>
      <c r="C32" s="8"/>
      <c r="L32" s="37"/>
      <c r="P32" s="4"/>
    </row>
    <row r="33" spans="1:16" ht="15.75">
      <c r="A33" s="20">
        <v>31</v>
      </c>
      <c r="B33" s="11" t="s">
        <v>11</v>
      </c>
      <c r="C33" s="8"/>
      <c r="D33" s="15">
        <v>24.738716649537594</v>
      </c>
      <c r="E33" s="16">
        <f>+$D$33</f>
        <v>24.738716649537594</v>
      </c>
      <c r="F33" s="16">
        <f aca="true" t="shared" si="5" ref="F33:P33">+$D$33</f>
        <v>24.738716649537594</v>
      </c>
      <c r="G33" s="16">
        <f t="shared" si="5"/>
        <v>24.738716649537594</v>
      </c>
      <c r="H33" s="16">
        <f t="shared" si="5"/>
        <v>24.738716649537594</v>
      </c>
      <c r="I33" s="16">
        <f t="shared" si="5"/>
        <v>24.738716649537594</v>
      </c>
      <c r="J33" s="16">
        <f t="shared" si="5"/>
        <v>24.738716649537594</v>
      </c>
      <c r="K33" s="16">
        <f t="shared" si="5"/>
        <v>24.738716649537594</v>
      </c>
      <c r="L33" s="41">
        <f t="shared" si="5"/>
        <v>24.738716649537594</v>
      </c>
      <c r="M33" s="16">
        <f t="shared" si="5"/>
        <v>24.738716649537594</v>
      </c>
      <c r="N33" s="16">
        <f t="shared" si="5"/>
        <v>24.738716649537594</v>
      </c>
      <c r="O33" s="16">
        <f t="shared" si="5"/>
        <v>24.738716649537594</v>
      </c>
      <c r="P33" s="16">
        <f t="shared" si="5"/>
        <v>24.738716649537594</v>
      </c>
    </row>
    <row r="34" spans="1:12" ht="12.75">
      <c r="A34" s="20">
        <v>32</v>
      </c>
      <c r="B34" s="8"/>
      <c r="C34" s="8"/>
      <c r="L34" s="37"/>
    </row>
    <row r="35" spans="1:16" ht="13.5" thickBot="1">
      <c r="A35" s="20">
        <v>33</v>
      </c>
      <c r="B35" s="8" t="s">
        <v>6</v>
      </c>
      <c r="C35" s="8"/>
      <c r="D35" s="12">
        <f>+D$31-D33</f>
        <v>-26.60966706701749</v>
      </c>
      <c r="E35" s="12">
        <f aca="true" t="shared" si="6" ref="E35:P35">+E$31-E33</f>
        <v>-30.09335169677865</v>
      </c>
      <c r="F35" s="12">
        <f t="shared" si="6"/>
        <v>19.087452386269284</v>
      </c>
      <c r="G35" s="12">
        <f t="shared" si="6"/>
        <v>22.682978782413095</v>
      </c>
      <c r="H35" s="12">
        <f t="shared" si="6"/>
        <v>11.710217524119635</v>
      </c>
      <c r="I35" s="12">
        <f t="shared" si="6"/>
        <v>-15.64892415647302</v>
      </c>
      <c r="J35" s="12">
        <f t="shared" si="6"/>
        <v>-2.9553359795974607</v>
      </c>
      <c r="K35" s="12">
        <f t="shared" si="6"/>
        <v>-16.611397834225297</v>
      </c>
      <c r="L35" s="42">
        <f t="shared" si="6"/>
        <v>15.944066472458374</v>
      </c>
      <c r="M35" s="12">
        <f t="shared" si="6"/>
        <v>7.772317055523509</v>
      </c>
      <c r="N35" s="12">
        <f t="shared" si="6"/>
        <v>17.282332659037458</v>
      </c>
      <c r="O35" s="12">
        <f t="shared" si="6"/>
        <v>23.524938716364872</v>
      </c>
      <c r="P35" s="12">
        <f t="shared" si="6"/>
        <v>2.2760901104955344</v>
      </c>
    </row>
    <row r="36" spans="1:16" ht="12.75">
      <c r="A36" s="20">
        <v>34</v>
      </c>
      <c r="B36" s="28" t="s">
        <v>19</v>
      </c>
      <c r="C36" s="10"/>
      <c r="D36" s="17">
        <f>(+D35*D$30)/1000</f>
        <v>-54039.02896223422</v>
      </c>
      <c r="E36" s="17">
        <f aca="true" t="shared" si="7" ref="E36:O36">(+E35*E$30)/1000</f>
        <v>-53889.07972131311</v>
      </c>
      <c r="F36" s="17">
        <f t="shared" si="7"/>
        <v>35063.833273119584</v>
      </c>
      <c r="G36" s="17">
        <f t="shared" si="7"/>
        <v>38831.42008591196</v>
      </c>
      <c r="H36" s="17">
        <f t="shared" si="7"/>
        <v>17976.244845231326</v>
      </c>
      <c r="I36" s="17">
        <f t="shared" si="7"/>
        <v>-22365.750688237124</v>
      </c>
      <c r="J36" s="17">
        <f t="shared" si="7"/>
        <v>-4338.566066312027</v>
      </c>
      <c r="K36" s="17">
        <f t="shared" si="7"/>
        <v>-23426.96313581103</v>
      </c>
      <c r="L36" s="32">
        <f t="shared" si="7"/>
        <v>23111.01272978887</v>
      </c>
      <c r="M36" s="18">
        <f t="shared" si="7"/>
        <v>12748.738718404307</v>
      </c>
      <c r="N36" s="18">
        <f t="shared" si="7"/>
        <v>29328.162765158173</v>
      </c>
      <c r="O36" s="19">
        <f t="shared" si="7"/>
        <v>46464.827545113796</v>
      </c>
      <c r="P36" s="17">
        <f>SUM(D36:O36)</f>
        <v>45464.851388820505</v>
      </c>
    </row>
    <row r="37" spans="1:16" ht="13.5" thickBot="1">
      <c r="A37" s="20">
        <v>35</v>
      </c>
      <c r="B37" s="28"/>
      <c r="C37" s="10"/>
      <c r="D37" s="17"/>
      <c r="E37" s="17"/>
      <c r="F37" s="17"/>
      <c r="G37" s="17"/>
      <c r="H37" s="17"/>
      <c r="I37" s="17"/>
      <c r="J37" s="17"/>
      <c r="K37" s="17"/>
      <c r="L37" s="55"/>
      <c r="M37" s="51"/>
      <c r="N37" s="51"/>
      <c r="O37" s="52"/>
      <c r="P37" s="17"/>
    </row>
    <row r="38" spans="1:15" ht="20.25" customHeight="1" thickBot="1">
      <c r="A38" s="20">
        <v>36</v>
      </c>
      <c r="B38" s="54" t="s">
        <v>25</v>
      </c>
      <c r="C38" s="54"/>
      <c r="D38" s="53"/>
      <c r="E38" s="53"/>
      <c r="F38" s="53"/>
      <c r="G38" s="53"/>
      <c r="H38" s="53"/>
      <c r="I38" s="53"/>
      <c r="J38" s="53"/>
      <c r="K38" s="53"/>
      <c r="L38" s="56">
        <f>+L36</f>
        <v>23111.01272978887</v>
      </c>
      <c r="M38" s="57">
        <f>+L38+M36</f>
        <v>35859.75144819317</v>
      </c>
      <c r="N38" s="57">
        <f>+M38+N36</f>
        <v>65187.914213351345</v>
      </c>
      <c r="O38" s="58">
        <f>+N38+O36</f>
        <v>111652.74175846514</v>
      </c>
    </row>
  </sheetData>
  <printOptions/>
  <pageMargins left="0.42" right="0.25" top="1.28" bottom="0.75" header="0.69" footer="0.5"/>
  <pageSetup horizontalDpi="600" verticalDpi="600" orientation="landscape" scale="70" r:id="rId3"/>
  <headerFooter alignWithMargins="0">
    <oddHeader>&amp;C&amp;"Geneva,Bold"Puget Sound Energy
&amp;"Geneva,Regular"&amp;8$'s in 000's</oddHeader>
    <oddFooter>&amp;L&amp;F&amp;A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</dc:creator>
  <cp:keywords/>
  <dc:description/>
  <cp:lastModifiedBy>PSE</cp:lastModifiedBy>
  <cp:lastPrinted>2001-11-21T21:51:26Z</cp:lastPrinted>
  <dcterms:created xsi:type="dcterms:W3CDTF">2001-08-08T22:48:35Z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011570</vt:lpwstr>
  </property>
  <property fmtid="{D5CDD505-2E9C-101B-9397-08002B2CF9AE}" pid="5" name="IsConfidential">
    <vt:lpwstr>0</vt:lpwstr>
  </property>
  <property fmtid="{D5CDD505-2E9C-101B-9397-08002B2CF9AE}" pid="6" name="Date1">
    <vt:lpwstr>2001-12-05T00:00:00Z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