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Regulatory_Affairs\Wyman\Rate Case\2021 UG 200994 Washington\Settlement\Rate Spread\"/>
    </mc:Choice>
  </mc:AlternateContent>
  <xr:revisionPtr revIDLastSave="0" documentId="13_ncr:1_{2733AC61-561C-43E5-A56A-67A1E11987F2}" xr6:coauthVersionLast="36" xr6:coauthVersionMax="46" xr10:uidLastSave="{00000000-0000-0000-0000-000000000000}"/>
  <bookViews>
    <workbookView xWindow="0" yWindow="0" windowWidth="5760" windowHeight="560" xr2:uid="{3D4AE092-8D5C-42C8-9687-3C3BC7E242F1}"/>
  </bookViews>
  <sheets>
    <sheet name="Final for Settlement" sheetId="1" r:id="rId1"/>
  </sheets>
  <definedNames>
    <definedName name="_AtRisk_FitDataRange_FIT_36E1E_42B43" hidden="1">#REF!</definedName>
    <definedName name="_AtRisk_FitDataRange_FIT_95FD2_942D2" hidden="1">#REF!</definedName>
    <definedName name="_AtRisk_FitDataRange_FIT_B5E8B_D24B5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Order1" hidden="1">255</definedName>
    <definedName name="_Order2" hidden="1">255</definedName>
    <definedName name="Pal_Workbook_GUID" hidden="1">"BB4W2MDK8L28BDP7ZM28RT7Q"</definedName>
    <definedName name="_xlnm.Print_Area" localSheetId="0">'Final for Settlement'!$A$1:$J$35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G33" i="1"/>
  <c r="J22" i="1" l="1"/>
  <c r="J24" i="1" s="1"/>
  <c r="G22" i="1"/>
  <c r="G24" i="1" s="1"/>
  <c r="G23" i="1" s="1"/>
  <c r="J12" i="1"/>
  <c r="J13" i="1" s="1"/>
  <c r="J14" i="1" s="1"/>
  <c r="J15" i="1" s="1"/>
  <c r="J16" i="1" s="1"/>
  <c r="J17" i="1" s="1"/>
  <c r="J18" i="1" s="1"/>
  <c r="J20" i="1" s="1"/>
  <c r="J19" i="1" s="1"/>
  <c r="G12" i="1"/>
  <c r="G13" i="1" s="1"/>
  <c r="G25" i="1" l="1"/>
  <c r="G27" i="1" s="1"/>
  <c r="G29" i="1" s="1"/>
  <c r="J25" i="1"/>
  <c r="J27" i="1" s="1"/>
  <c r="J23" i="1"/>
  <c r="G14" i="1"/>
  <c r="F13" i="1"/>
  <c r="J28" i="1" l="1"/>
  <c r="J30" i="1" s="1"/>
  <c r="J29" i="1"/>
  <c r="G15" i="1"/>
  <c r="F14" i="1"/>
  <c r="I13" i="1"/>
  <c r="F12" i="1"/>
  <c r="F22" i="1"/>
  <c r="D33" i="1"/>
  <c r="F11" i="1"/>
  <c r="F21" i="1"/>
  <c r="F26" i="1"/>
  <c r="F27" i="1"/>
  <c r="G28" i="1"/>
  <c r="F31" i="1"/>
  <c r="I31" i="1" s="1"/>
  <c r="F25" i="1"/>
  <c r="F24" i="1"/>
  <c r="F28" i="1" l="1"/>
  <c r="I28" i="1" s="1"/>
  <c r="G30" i="1"/>
  <c r="I24" i="1"/>
  <c r="I14" i="1"/>
  <c r="I25" i="1"/>
  <c r="I11" i="1"/>
  <c r="I26" i="1"/>
  <c r="I27" i="1"/>
  <c r="I12" i="1"/>
  <c r="I21" i="1"/>
  <c r="I22" i="1"/>
  <c r="G16" i="1"/>
  <c r="F15" i="1"/>
  <c r="I15" i="1" l="1"/>
  <c r="F16" i="1"/>
  <c r="G17" i="1"/>
  <c r="I16" i="1" l="1"/>
  <c r="G18" i="1"/>
  <c r="F17" i="1"/>
  <c r="I17" i="1" l="1"/>
  <c r="G20" i="1"/>
  <c r="F18" i="1"/>
  <c r="F20" i="1" l="1"/>
  <c r="F33" i="1" s="1"/>
  <c r="G19" i="1"/>
  <c r="I18" i="1"/>
  <c r="F34" i="1" l="1"/>
  <c r="I20" i="1"/>
  <c r="I33" i="1" l="1"/>
  <c r="I34" i="1" l="1"/>
</calcChain>
</file>

<file path=xl/sharedStrings.xml><?xml version="1.0" encoding="utf-8"?>
<sst xmlns="http://schemas.openxmlformats.org/spreadsheetml/2006/main" count="43" uniqueCount="41">
  <si>
    <t xml:space="preserve">Rev Req. </t>
  </si>
  <si>
    <t xml:space="preserve">Rev. Req. </t>
  </si>
  <si>
    <t>Residential Sales Firm R01</t>
  </si>
  <si>
    <t>Residential Sales Firm R02</t>
  </si>
  <si>
    <t>Commercial Sales Firm R27</t>
  </si>
  <si>
    <t>Commercial Sales Firm C01</t>
  </si>
  <si>
    <t>Commercial Sales Firm C03</t>
  </si>
  <si>
    <t>Industrial Sales Firm I03</t>
  </si>
  <si>
    <t>Commercial Sales Firm C41SF</t>
  </si>
  <si>
    <t>Commercial Sales Firm C42SF</t>
  </si>
  <si>
    <t>Commercial Sales Interruptible C42SI</t>
  </si>
  <si>
    <t>Industrial Sales Firm I41SF</t>
  </si>
  <si>
    <t>Industrial Sales Firm I42SF</t>
  </si>
  <si>
    <t>Industrial Sales Interruptible I42SI</t>
  </si>
  <si>
    <t>Transportation Firm C41TF/I41TF</t>
  </si>
  <si>
    <t>Commercial Transportation Firm C42TF</t>
  </si>
  <si>
    <t>Industrial Transportation Firm I42TF</t>
  </si>
  <si>
    <t>Transportation Interruptible C42TI/I42TI</t>
  </si>
  <si>
    <t>Transportation Firm SPECIAL</t>
  </si>
  <si>
    <t xml:space="preserve">Total </t>
  </si>
  <si>
    <t xml:space="preserve">Settlement </t>
  </si>
  <si>
    <t>Settlement</t>
  </si>
  <si>
    <t>Commercial Sales Interruptible C41SI</t>
  </si>
  <si>
    <t>Industrial Sales Interruptible I41SI</t>
  </si>
  <si>
    <t>Transportation Interruptible I43T</t>
  </si>
  <si>
    <t>Transportation Firm I43T</t>
  </si>
  <si>
    <t>NW Natural</t>
  </si>
  <si>
    <t>Multi-Year Rate Spread</t>
  </si>
  <si>
    <t>Year 1</t>
  </si>
  <si>
    <t>Year 2</t>
  </si>
  <si>
    <t>% Margin</t>
  </si>
  <si>
    <t>Revenue</t>
  </si>
  <si>
    <t>Rate Schedule</t>
  </si>
  <si>
    <t>(1)</t>
  </si>
  <si>
    <t>Note (1): Overall percentage margin increase calculation excludes special contract revenues.</t>
  </si>
  <si>
    <t>Current</t>
  </si>
  <si>
    <t>Margin</t>
  </si>
  <si>
    <t>Note: Rate schedules with no current margin revenue do not currently have customers or volumes.</t>
  </si>
  <si>
    <t>For these schedules, volumetric base billing rate will be increased by indicated percentage margin increase in the table below.</t>
  </si>
  <si>
    <t>UG-200994, UG-200995, UG-200996 &amp; UG-210085</t>
  </si>
  <si>
    <t>Full Multi-Party Settlement Agreement - Attachment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</si>
</sst>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0.000%"/>
    <numFmt numFmtId="165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9"/>
      <color rgb="FF0066FF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name val="Arial"/>
      <family val="2"/>
    </font>
    <font>
      <b/>
      <sz val="10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Fill="1" applyBorder="1"/>
    <xf numFmtId="0" fontId="4" fillId="0" borderId="0" xfId="0" applyFont="1"/>
    <xf numFmtId="0" fontId="2" fillId="0" borderId="3" xfId="0" applyFont="1" applyBorder="1"/>
    <xf numFmtId="164" fontId="2" fillId="0" borderId="5" xfId="1" applyNumberFormat="1" applyFont="1" applyBorder="1"/>
    <xf numFmtId="164" fontId="2" fillId="0" borderId="9" xfId="0" applyNumberFormat="1" applyFont="1" applyBorder="1"/>
    <xf numFmtId="164" fontId="4" fillId="0" borderId="5" xfId="0" applyNumberFormat="1" applyFont="1" applyBorder="1"/>
    <xf numFmtId="41" fontId="3" fillId="0" borderId="6" xfId="0" applyNumberFormat="1" applyFont="1" applyBorder="1"/>
    <xf numFmtId="0" fontId="2" fillId="0" borderId="9" xfId="0" applyFont="1" applyBorder="1"/>
    <xf numFmtId="0" fontId="4" fillId="0" borderId="11" xfId="0" applyFont="1" applyBorder="1"/>
    <xf numFmtId="0" fontId="2" fillId="0" borderId="13" xfId="0" applyFont="1" applyBorder="1"/>
    <xf numFmtId="0" fontId="2" fillId="0" borderId="12" xfId="0" applyFont="1" applyBorder="1"/>
    <xf numFmtId="3" fontId="8" fillId="0" borderId="0" xfId="2" applyNumberFormat="1" applyFont="1" applyFill="1" applyAlignment="1">
      <alignment vertical="center"/>
    </xf>
    <xf numFmtId="3" fontId="9" fillId="0" borderId="0" xfId="2" applyNumberFormat="1" applyFont="1" applyFill="1" applyAlignment="1">
      <alignment vertical="center"/>
    </xf>
    <xf numFmtId="165" fontId="2" fillId="0" borderId="11" xfId="3" applyNumberFormat="1" applyFont="1" applyBorder="1"/>
    <xf numFmtId="165" fontId="2" fillId="0" borderId="13" xfId="3" applyNumberFormat="1" applyFont="1" applyBorder="1"/>
    <xf numFmtId="165" fontId="4" fillId="0" borderId="11" xfId="3" applyNumberFormat="1" applyFont="1" applyBorder="1"/>
    <xf numFmtId="165" fontId="2" fillId="0" borderId="4" xfId="3" applyNumberFormat="1" applyFont="1" applyBorder="1"/>
    <xf numFmtId="165" fontId="2" fillId="0" borderId="8" xfId="3" applyNumberFormat="1" applyFont="1" applyBorder="1"/>
    <xf numFmtId="165" fontId="4" fillId="0" borderId="4" xfId="3" applyNumberFormat="1" applyFont="1" applyBorder="1"/>
    <xf numFmtId="0" fontId="0" fillId="0" borderId="0" xfId="0" applyFont="1"/>
    <xf numFmtId="0" fontId="12" fillId="0" borderId="0" xfId="0" applyFont="1"/>
    <xf numFmtId="0" fontId="12" fillId="0" borderId="4" xfId="0" applyFont="1" applyBorder="1" applyAlignment="1">
      <alignment horizontal="centerContinuous"/>
    </xf>
    <xf numFmtId="0" fontId="12" fillId="0" borderId="5" xfId="0" applyFont="1" applyBorder="1" applyAlignment="1">
      <alignment horizontal="centerContinuous"/>
    </xf>
    <xf numFmtId="0" fontId="12" fillId="0" borderId="1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10" fontId="12" fillId="0" borderId="7" xfId="1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65" fontId="2" fillId="0" borderId="11" xfId="3" applyNumberFormat="1" applyFont="1" applyFill="1" applyBorder="1"/>
    <xf numFmtId="0" fontId="2" fillId="0" borderId="14" xfId="0" applyFont="1" applyFill="1" applyBorder="1"/>
    <xf numFmtId="165" fontId="2" fillId="0" borderId="4" xfId="3" applyNumberFormat="1" applyFont="1" applyFill="1" applyBorder="1"/>
    <xf numFmtId="164" fontId="2" fillId="0" borderId="5" xfId="1" applyNumberFormat="1" applyFont="1" applyFill="1" applyBorder="1"/>
    <xf numFmtId="0" fontId="2" fillId="0" borderId="15" xfId="0" applyFont="1" applyFill="1" applyBorder="1"/>
    <xf numFmtId="0" fontId="5" fillId="0" borderId="10" xfId="0" quotePrefix="1" applyFont="1" applyFill="1" applyBorder="1" applyAlignment="1">
      <alignment vertical="center"/>
    </xf>
    <xf numFmtId="0" fontId="2" fillId="0" borderId="11" xfId="0" applyFont="1" applyBorder="1"/>
    <xf numFmtId="3" fontId="10" fillId="0" borderId="11" xfId="2" applyNumberFormat="1" applyFont="1" applyFill="1" applyBorder="1"/>
    <xf numFmtId="0" fontId="13" fillId="0" borderId="11" xfId="0" applyFont="1" applyBorder="1" applyAlignment="1">
      <alignment horizontal="left"/>
    </xf>
    <xf numFmtId="0" fontId="5" fillId="0" borderId="7" xfId="0" quotePrefix="1" applyFont="1" applyBorder="1" applyAlignment="1">
      <alignment horizontal="center"/>
    </xf>
    <xf numFmtId="0" fontId="14" fillId="0" borderId="0" xfId="0" applyFont="1" applyAlignment="1">
      <alignment vertical="center"/>
    </xf>
    <xf numFmtId="0" fontId="12" fillId="0" borderId="10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</cellXfs>
  <cellStyles count="4">
    <cellStyle name="Currency" xfId="3" builtinId="4"/>
    <cellStyle name="Normal" xfId="0" builtinId="0"/>
    <cellStyle name="Normal 2 13" xfId="2" xr:uid="{B3DA8665-7DF2-4231-A970-3EE239DBEFF3}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B8824-65C5-4AFC-BB19-2C2950030F06}">
  <sheetPr codeName="Sheet6">
    <tabColor theme="9" tint="0.79998168889431442"/>
    <pageSetUpPr fitToPage="1"/>
  </sheetPr>
  <dimension ref="A1:J36"/>
  <sheetViews>
    <sheetView tabSelected="1" zoomScale="110" zoomScaleNormal="110" workbookViewId="0">
      <selection activeCell="J5" sqref="J5"/>
    </sheetView>
  </sheetViews>
  <sheetFormatPr defaultColWidth="9.1796875" defaultRowHeight="14" x14ac:dyDescent="0.3"/>
  <cols>
    <col min="1" max="1" width="1.36328125" style="1" customWidth="1"/>
    <col min="2" max="2" width="4.81640625" style="1" customWidth="1"/>
    <col min="3" max="3" width="33.1796875" style="1" customWidth="1"/>
    <col min="4" max="4" width="14.1796875" style="1" customWidth="1"/>
    <col min="5" max="5" width="3.54296875" style="1" customWidth="1"/>
    <col min="6" max="7" width="14.1796875" style="1" customWidth="1"/>
    <col min="8" max="8" width="3.54296875" style="1" customWidth="1"/>
    <col min="9" max="10" width="14.1796875" style="1" customWidth="1"/>
    <col min="11" max="16384" width="9.1796875" style="1"/>
  </cols>
  <sheetData>
    <row r="1" spans="1:10" x14ac:dyDescent="0.3">
      <c r="B1" s="15" t="s">
        <v>26</v>
      </c>
    </row>
    <row r="2" spans="1:10" x14ac:dyDescent="0.3">
      <c r="B2" s="15" t="s">
        <v>39</v>
      </c>
    </row>
    <row r="3" spans="1:10" x14ac:dyDescent="0.3">
      <c r="B3" s="15" t="s">
        <v>27</v>
      </c>
    </row>
    <row r="4" spans="1:10" x14ac:dyDescent="0.3">
      <c r="B4" s="15" t="s">
        <v>40</v>
      </c>
    </row>
    <row r="5" spans="1:10" x14ac:dyDescent="0.3">
      <c r="A5" s="2"/>
      <c r="B5" s="16" t="s">
        <v>37</v>
      </c>
    </row>
    <row r="6" spans="1:10" x14ac:dyDescent="0.3">
      <c r="A6" s="3"/>
      <c r="B6" s="16" t="s">
        <v>38</v>
      </c>
    </row>
    <row r="7" spans="1:10" x14ac:dyDescent="0.3">
      <c r="A7" s="3"/>
      <c r="B7" s="16"/>
    </row>
    <row r="8" spans="1:10" ht="14.5" x14ac:dyDescent="0.35">
      <c r="B8" s="4"/>
      <c r="C8" s="38"/>
      <c r="D8" s="44" t="s">
        <v>35</v>
      </c>
      <c r="E8" s="23"/>
      <c r="F8" s="45" t="s">
        <v>20</v>
      </c>
      <c r="G8" s="46"/>
      <c r="H8" s="23"/>
      <c r="I8" s="45" t="s">
        <v>21</v>
      </c>
      <c r="J8" s="46"/>
    </row>
    <row r="9" spans="1:10" x14ac:dyDescent="0.3">
      <c r="C9" s="41" t="s">
        <v>32</v>
      </c>
      <c r="D9" s="32" t="s">
        <v>36</v>
      </c>
      <c r="E9" s="24"/>
      <c r="F9" s="25" t="s">
        <v>28</v>
      </c>
      <c r="G9" s="26"/>
      <c r="H9" s="24"/>
      <c r="I9" s="25" t="s">
        <v>29</v>
      </c>
      <c r="J9" s="26"/>
    </row>
    <row r="10" spans="1:10" x14ac:dyDescent="0.3">
      <c r="C10" s="39"/>
      <c r="D10" s="27" t="s">
        <v>31</v>
      </c>
      <c r="E10" s="28"/>
      <c r="F10" s="29" t="s">
        <v>0</v>
      </c>
      <c r="G10" s="30" t="s">
        <v>30</v>
      </c>
      <c r="H10" s="28"/>
      <c r="I10" s="29" t="s">
        <v>1</v>
      </c>
      <c r="J10" s="31" t="s">
        <v>30</v>
      </c>
    </row>
    <row r="11" spans="1:10" x14ac:dyDescent="0.3">
      <c r="C11" s="40" t="s">
        <v>2</v>
      </c>
      <c r="D11" s="17">
        <v>208635</v>
      </c>
      <c r="F11" s="20">
        <f t="shared" ref="F11:F18" si="0">+G11*D11</f>
        <v>21908.068090715322</v>
      </c>
      <c r="G11" s="7">
        <v>0.10500667716689588</v>
      </c>
      <c r="I11" s="20">
        <f t="shared" ref="I11:I18" si="1">+(D11+F11)*J11</f>
        <v>13235.786389627317</v>
      </c>
      <c r="J11" s="7">
        <v>5.7411339665260415E-2</v>
      </c>
    </row>
    <row r="12" spans="1:10" x14ac:dyDescent="0.3">
      <c r="C12" s="40" t="s">
        <v>3</v>
      </c>
      <c r="D12" s="17">
        <v>33798100</v>
      </c>
      <c r="F12" s="20">
        <f t="shared" si="0"/>
        <v>3549026.1755544636</v>
      </c>
      <c r="G12" s="7">
        <f>+G11</f>
        <v>0.10500667716689588</v>
      </c>
      <c r="I12" s="20">
        <f t="shared" si="1"/>
        <v>2144148.5463860952</v>
      </c>
      <c r="J12" s="7">
        <f>+J11</f>
        <v>5.7411339665260415E-2</v>
      </c>
    </row>
    <row r="13" spans="1:10" x14ac:dyDescent="0.3">
      <c r="C13" s="40" t="s">
        <v>4</v>
      </c>
      <c r="D13" s="17">
        <v>201938</v>
      </c>
      <c r="F13" s="20">
        <f t="shared" si="0"/>
        <v>21204.83837372862</v>
      </c>
      <c r="G13" s="7">
        <f t="shared" ref="G13:G17" si="2">+G12</f>
        <v>0.10500667716689588</v>
      </c>
      <c r="I13" s="20">
        <f t="shared" si="1"/>
        <v>12810.92928774444</v>
      </c>
      <c r="J13" s="7">
        <f t="shared" ref="J13:J17" si="3">+J12</f>
        <v>5.7411339665260415E-2</v>
      </c>
    </row>
    <row r="14" spans="1:10" x14ac:dyDescent="0.3">
      <c r="C14" s="40" t="s">
        <v>5</v>
      </c>
      <c r="D14" s="17">
        <v>37604</v>
      </c>
      <c r="F14" s="20">
        <f t="shared" si="0"/>
        <v>3948.6710881839526</v>
      </c>
      <c r="G14" s="7">
        <f t="shared" si="2"/>
        <v>0.10500667716689588</v>
      </c>
      <c r="I14" s="20">
        <f t="shared" si="1"/>
        <v>2385.594513842575</v>
      </c>
      <c r="J14" s="7">
        <f t="shared" si="3"/>
        <v>5.7411339665260415E-2</v>
      </c>
    </row>
    <row r="15" spans="1:10" x14ac:dyDescent="0.3">
      <c r="C15" s="40" t="s">
        <v>6</v>
      </c>
      <c r="D15" s="17">
        <v>9866168</v>
      </c>
      <c r="F15" s="20">
        <f t="shared" si="0"/>
        <v>1036013.5180503587</v>
      </c>
      <c r="G15" s="7">
        <f t="shared" si="2"/>
        <v>0.10500667716689588</v>
      </c>
      <c r="I15" s="20">
        <f t="shared" si="1"/>
        <v>625908.84622511361</v>
      </c>
      <c r="J15" s="7">
        <f t="shared" si="3"/>
        <v>5.7411339665260415E-2</v>
      </c>
    </row>
    <row r="16" spans="1:10" x14ac:dyDescent="0.3">
      <c r="C16" s="40" t="s">
        <v>7</v>
      </c>
      <c r="D16" s="17">
        <v>141889</v>
      </c>
      <c r="F16" s="20">
        <f t="shared" si="0"/>
        <v>14899.29241653369</v>
      </c>
      <c r="G16" s="7">
        <f t="shared" si="2"/>
        <v>0.10500667716689588</v>
      </c>
      <c r="I16" s="20">
        <f t="shared" si="1"/>
        <v>9001.4259114617889</v>
      </c>
      <c r="J16" s="7">
        <f t="shared" si="3"/>
        <v>5.7411339665260415E-2</v>
      </c>
    </row>
    <row r="17" spans="3:10" x14ac:dyDescent="0.3">
      <c r="C17" s="40" t="s">
        <v>8</v>
      </c>
      <c r="D17" s="17">
        <v>1542348</v>
      </c>
      <c r="F17" s="20">
        <f t="shared" si="0"/>
        <v>161956.83851500752</v>
      </c>
      <c r="G17" s="7">
        <f t="shared" si="2"/>
        <v>0.10500667716689588</v>
      </c>
      <c r="I17" s="20">
        <f t="shared" si="1"/>
        <v>97846.423977131897</v>
      </c>
      <c r="J17" s="7">
        <f t="shared" si="3"/>
        <v>5.7411339665260415E-2</v>
      </c>
    </row>
    <row r="18" spans="3:10" x14ac:dyDescent="0.3">
      <c r="C18" s="40" t="s">
        <v>9</v>
      </c>
      <c r="D18" s="17">
        <v>219575</v>
      </c>
      <c r="F18" s="20">
        <f t="shared" si="0"/>
        <v>23056.841138921161</v>
      </c>
      <c r="G18" s="7">
        <f>+G17</f>
        <v>0.10500667716689588</v>
      </c>
      <c r="I18" s="20">
        <f t="shared" si="1"/>
        <v>13929.819045234108</v>
      </c>
      <c r="J18" s="7">
        <f>+J17</f>
        <v>5.7411339665260415E-2</v>
      </c>
    </row>
    <row r="19" spans="3:10" x14ac:dyDescent="0.3">
      <c r="C19" s="40" t="s">
        <v>22</v>
      </c>
      <c r="D19" s="33">
        <v>0</v>
      </c>
      <c r="E19" s="34"/>
      <c r="F19" s="35">
        <v>0</v>
      </c>
      <c r="G19" s="36">
        <f>G20</f>
        <v>0.10500667716689588</v>
      </c>
      <c r="H19" s="37"/>
      <c r="I19" s="35">
        <v>0</v>
      </c>
      <c r="J19" s="36">
        <f>J20</f>
        <v>5.7411339665260415E-2</v>
      </c>
    </row>
    <row r="20" spans="3:10" x14ac:dyDescent="0.3">
      <c r="C20" s="40" t="s">
        <v>10</v>
      </c>
      <c r="D20" s="17">
        <v>160513</v>
      </c>
      <c r="F20" s="20">
        <f>+G20*D20</f>
        <v>16854.936772089957</v>
      </c>
      <c r="G20" s="7">
        <f>+G18</f>
        <v>0.10500667716689588</v>
      </c>
      <c r="I20" s="20">
        <f>+(D20+F20)*J20</f>
        <v>10182.930863748888</v>
      </c>
      <c r="J20" s="7">
        <f>+J18</f>
        <v>5.7411339665260415E-2</v>
      </c>
    </row>
    <row r="21" spans="3:10" x14ac:dyDescent="0.3">
      <c r="C21" s="40" t="s">
        <v>11</v>
      </c>
      <c r="D21" s="17">
        <v>392614</v>
      </c>
      <c r="F21" s="20">
        <f>+G21*D21</f>
        <v>17999.563526258313</v>
      </c>
      <c r="G21" s="7">
        <v>4.5845444956772591E-2</v>
      </c>
      <c r="I21" s="20">
        <f>+(D21+F21)*J21</f>
        <v>8212.271270525167</v>
      </c>
      <c r="J21" s="7">
        <v>0.02</v>
      </c>
    </row>
    <row r="22" spans="3:10" x14ac:dyDescent="0.3">
      <c r="C22" s="40" t="s">
        <v>12</v>
      </c>
      <c r="D22" s="17">
        <v>511672</v>
      </c>
      <c r="F22" s="20">
        <f>+G22*D22</f>
        <v>23457.830511921744</v>
      </c>
      <c r="G22" s="7">
        <f>+G21</f>
        <v>4.5845444956772591E-2</v>
      </c>
      <c r="I22" s="20">
        <f>+(D22+F22)*J22</f>
        <v>10702.596610238435</v>
      </c>
      <c r="J22" s="7">
        <f>+J21</f>
        <v>0.02</v>
      </c>
    </row>
    <row r="23" spans="3:10" x14ac:dyDescent="0.3">
      <c r="C23" s="40" t="s">
        <v>23</v>
      </c>
      <c r="D23" s="33">
        <v>0</v>
      </c>
      <c r="E23" s="34"/>
      <c r="F23" s="35">
        <v>0</v>
      </c>
      <c r="G23" s="36">
        <f>G24</f>
        <v>4.5845444956772591E-2</v>
      </c>
      <c r="H23" s="37"/>
      <c r="I23" s="35">
        <v>0</v>
      </c>
      <c r="J23" s="36">
        <f>J24</f>
        <v>0.02</v>
      </c>
    </row>
    <row r="24" spans="3:10" x14ac:dyDescent="0.3">
      <c r="C24" s="40" t="s">
        <v>13</v>
      </c>
      <c r="D24" s="17">
        <v>81130</v>
      </c>
      <c r="F24" s="20">
        <f>+G24*D24</f>
        <v>3719.4409493429603</v>
      </c>
      <c r="G24" s="7">
        <f>+G22</f>
        <v>4.5845444956772591E-2</v>
      </c>
      <c r="I24" s="20">
        <f>+(D24+F24)*J24</f>
        <v>1696.9888189868591</v>
      </c>
      <c r="J24" s="7">
        <f>+J22</f>
        <v>0.02</v>
      </c>
    </row>
    <row r="25" spans="3:10" x14ac:dyDescent="0.3">
      <c r="C25" s="40" t="s">
        <v>14</v>
      </c>
      <c r="D25" s="17">
        <v>189841</v>
      </c>
      <c r="F25" s="20">
        <f>+G25*D25</f>
        <v>8703.3451160386649</v>
      </c>
      <c r="G25" s="7">
        <f>+G24</f>
        <v>4.5845444956772591E-2</v>
      </c>
      <c r="I25" s="20">
        <f>+(D25+F25)*J25</f>
        <v>3970.8869023207735</v>
      </c>
      <c r="J25" s="7">
        <f>+J24</f>
        <v>0.02</v>
      </c>
    </row>
    <row r="26" spans="3:10" x14ac:dyDescent="0.3">
      <c r="C26" s="40" t="s">
        <v>15</v>
      </c>
      <c r="D26" s="17">
        <v>360785</v>
      </c>
      <c r="F26" s="20">
        <f>+G26*D26</f>
        <v>21647.1</v>
      </c>
      <c r="G26" s="7">
        <v>0.06</v>
      </c>
      <c r="I26" s="20">
        <f>+(D26+F26)*J26</f>
        <v>11472.963</v>
      </c>
      <c r="J26" s="7">
        <v>0.03</v>
      </c>
    </row>
    <row r="27" spans="3:10" x14ac:dyDescent="0.3">
      <c r="C27" s="40" t="s">
        <v>16</v>
      </c>
      <c r="D27" s="17">
        <v>823616</v>
      </c>
      <c r="F27" s="20">
        <f>+G27*D27</f>
        <v>37759.041993517218</v>
      </c>
      <c r="G27" s="7">
        <f>+G25</f>
        <v>4.5845444956772591E-2</v>
      </c>
      <c r="I27" s="20">
        <f>+(D27+F27)*J27</f>
        <v>17227.500839870343</v>
      </c>
      <c r="J27" s="7">
        <f>+J25</f>
        <v>0.02</v>
      </c>
    </row>
    <row r="28" spans="3:10" x14ac:dyDescent="0.3">
      <c r="C28" s="40" t="s">
        <v>17</v>
      </c>
      <c r="D28" s="17">
        <v>825480</v>
      </c>
      <c r="F28" s="20">
        <f>+G28*D28</f>
        <v>37844.497902916635</v>
      </c>
      <c r="G28" s="7">
        <f>+G27</f>
        <v>4.5845444956772591E-2</v>
      </c>
      <c r="I28" s="20">
        <f>+(D28+F28)*J28</f>
        <v>17266.489958058333</v>
      </c>
      <c r="J28" s="7">
        <f>+J27</f>
        <v>0.02</v>
      </c>
    </row>
    <row r="29" spans="3:10" x14ac:dyDescent="0.3">
      <c r="C29" s="40" t="s">
        <v>25</v>
      </c>
      <c r="D29" s="33">
        <v>0</v>
      </c>
      <c r="E29" s="34"/>
      <c r="F29" s="35">
        <v>0</v>
      </c>
      <c r="G29" s="36">
        <f>$G$27</f>
        <v>4.5845444956772591E-2</v>
      </c>
      <c r="H29" s="37"/>
      <c r="I29" s="35">
        <v>0</v>
      </c>
      <c r="J29" s="36">
        <f>$J$27</f>
        <v>0.02</v>
      </c>
    </row>
    <row r="30" spans="3:10" x14ac:dyDescent="0.3">
      <c r="C30" s="40" t="s">
        <v>24</v>
      </c>
      <c r="D30" s="33">
        <v>0</v>
      </c>
      <c r="E30" s="34"/>
      <c r="F30" s="35">
        <v>0</v>
      </c>
      <c r="G30" s="36">
        <f>$G$28</f>
        <v>4.5845444956772591E-2</v>
      </c>
      <c r="H30" s="37"/>
      <c r="I30" s="35">
        <v>0</v>
      </c>
      <c r="J30" s="36">
        <f t="shared" ref="J30" si="4">$J$28</f>
        <v>0.02</v>
      </c>
    </row>
    <row r="31" spans="3:10" x14ac:dyDescent="0.3">
      <c r="C31" s="40" t="s">
        <v>18</v>
      </c>
      <c r="D31" s="17">
        <v>242995</v>
      </c>
      <c r="F31" s="20">
        <f>+G31*D31</f>
        <v>0</v>
      </c>
      <c r="G31" s="7">
        <v>0</v>
      </c>
      <c r="I31" s="20">
        <f>+(D31+F31)*J31</f>
        <v>0</v>
      </c>
      <c r="J31" s="7">
        <v>0</v>
      </c>
    </row>
    <row r="32" spans="3:10" ht="7" customHeight="1" thickBot="1" x14ac:dyDescent="0.35">
      <c r="C32" s="13"/>
      <c r="D32" s="18"/>
      <c r="E32" s="6"/>
      <c r="F32" s="21"/>
      <c r="G32" s="8"/>
      <c r="H32" s="6"/>
      <c r="I32" s="21"/>
      <c r="J32" s="11"/>
    </row>
    <row r="33" spans="3:10" ht="14.5" thickTop="1" x14ac:dyDescent="0.3">
      <c r="C33" s="12" t="s">
        <v>19</v>
      </c>
      <c r="D33" s="19">
        <f>+SUM(D11:D31)</f>
        <v>49604903</v>
      </c>
      <c r="E33" s="5"/>
      <c r="F33" s="22">
        <f>SUM(F11:F31)</f>
        <v>4999999.9999999981</v>
      </c>
      <c r="G33" s="9">
        <f>+F33/($D33-D31)</f>
        <v>0.10129268098793909</v>
      </c>
      <c r="H33" s="5"/>
      <c r="I33" s="22">
        <f>SUM(I11:I31)</f>
        <v>2999999.9999999991</v>
      </c>
      <c r="J33" s="9">
        <f>+I33/($D33-D31+F33)</f>
        <v>5.5185700987537063E-2</v>
      </c>
    </row>
    <row r="34" spans="3:10" x14ac:dyDescent="0.3">
      <c r="C34" s="14"/>
      <c r="D34" s="14"/>
      <c r="F34" s="10">
        <f>+SUM(F11:F31)-F33</f>
        <v>0</v>
      </c>
      <c r="G34" s="42" t="s">
        <v>33</v>
      </c>
      <c r="I34" s="10">
        <f>+SUM(I11:I31)-I33</f>
        <v>0</v>
      </c>
      <c r="J34" s="42" t="s">
        <v>33</v>
      </c>
    </row>
    <row r="35" spans="3:10" ht="6.5" customHeight="1" x14ac:dyDescent="0.3"/>
    <row r="36" spans="3:10" x14ac:dyDescent="0.3">
      <c r="C36" s="43" t="s">
        <v>34</v>
      </c>
    </row>
  </sheetData>
  <mergeCells count="2">
    <mergeCell ref="F8:G8"/>
    <mergeCell ref="I8:J8"/>
  </mergeCells>
  <printOptions verticalCentered="1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Agreement - Settlement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2021-08-03T07:00:00+00:00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20CA5F4-F0D9-49D5-AA09-AB03F9330B3E}"/>
</file>

<file path=customXml/itemProps2.xml><?xml version="1.0" encoding="utf-8"?>
<ds:datastoreItem xmlns:ds="http://schemas.openxmlformats.org/officeDocument/2006/customXml" ds:itemID="{AAA90E3F-7524-46D0-9C74-5F4D183877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D64BCF-831E-45DD-99CE-84D9216D1496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DC36180-6A22-4457-A8AF-C8DEEE727F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for Settlement</vt:lpstr>
      <vt:lpstr>'Final for Settlement'!Print_Area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Mullins</dc:creator>
  <cp:lastModifiedBy>Wyman, Robert</cp:lastModifiedBy>
  <cp:lastPrinted>2021-05-20T22:58:53Z</cp:lastPrinted>
  <dcterms:created xsi:type="dcterms:W3CDTF">2021-04-21T20:10:49Z</dcterms:created>
  <dcterms:modified xsi:type="dcterms:W3CDTF">2021-08-03T19:58:19Z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